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QETDOS\2010 a 2013\"/>
    </mc:Choice>
  </mc:AlternateContent>
  <bookViews>
    <workbookView xWindow="0" yWindow="0" windowWidth="20490" windowHeight="7755"/>
  </bookViews>
  <sheets>
    <sheet name="im prod pays 2012" sheetId="1" r:id="rId1"/>
  </sheets>
  <calcPr calcId="0"/>
</workbook>
</file>

<file path=xl/calcChain.xml><?xml version="1.0" encoding="utf-8"?>
<calcChain xmlns="http://schemas.openxmlformats.org/spreadsheetml/2006/main">
  <c r="B1113" i="1" l="1"/>
  <c r="B1104" i="1"/>
  <c r="B1098" i="1"/>
  <c r="B1076" i="1"/>
  <c r="B1043" i="1"/>
  <c r="B1035" i="1"/>
  <c r="B1026" i="1"/>
  <c r="B1023" i="1"/>
  <c r="B1003" i="1"/>
  <c r="B1000" i="1"/>
  <c r="B991" i="1"/>
  <c r="B984" i="1"/>
  <c r="B978" i="1"/>
  <c r="B975" i="1"/>
  <c r="B972" i="1"/>
  <c r="B956" i="1"/>
  <c r="B932" i="1"/>
  <c r="B925" i="1"/>
  <c r="B909" i="1"/>
  <c r="B888" i="1"/>
  <c r="B824" i="1"/>
  <c r="B703" i="1"/>
  <c r="B688" i="1"/>
  <c r="B666" i="1"/>
  <c r="B642" i="1"/>
  <c r="B626" i="1"/>
  <c r="B623" i="1"/>
  <c r="B610" i="1"/>
  <c r="B603" i="1"/>
  <c r="B594" i="1"/>
  <c r="B589" i="1"/>
  <c r="B583" i="1"/>
  <c r="B575" i="1"/>
  <c r="B564" i="1"/>
  <c r="B554" i="1"/>
  <c r="B545" i="1"/>
  <c r="B542" i="1"/>
  <c r="B538" i="1"/>
  <c r="B514" i="1"/>
  <c r="B502" i="1"/>
  <c r="B499" i="1"/>
  <c r="B496" i="1"/>
  <c r="B463" i="1"/>
  <c r="B454" i="1"/>
  <c r="B447" i="1"/>
  <c r="B443" i="1"/>
  <c r="B428" i="1"/>
  <c r="B419" i="1"/>
  <c r="B401" i="1"/>
  <c r="B389" i="1"/>
  <c r="B334" i="1"/>
  <c r="B327" i="1"/>
  <c r="B324" i="1"/>
  <c r="B320" i="1"/>
  <c r="B317" i="1"/>
  <c r="B312" i="1"/>
  <c r="B309" i="1"/>
  <c r="B270" i="1"/>
  <c r="B265" i="1"/>
  <c r="B246" i="1"/>
  <c r="B239" i="1"/>
  <c r="B235" i="1"/>
  <c r="B229" i="1"/>
  <c r="B223" i="1"/>
  <c r="B217" i="1"/>
  <c r="B211" i="1"/>
  <c r="B206" i="1"/>
  <c r="B203" i="1"/>
  <c r="B200" i="1"/>
  <c r="B190" i="1"/>
  <c r="B181" i="1"/>
  <c r="B69" i="1"/>
  <c r="B64" i="1"/>
  <c r="B58" i="1"/>
  <c r="B52" i="1"/>
  <c r="B47" i="1"/>
  <c r="B40" i="1"/>
  <c r="B27" i="1"/>
  <c r="B3" i="1" l="1"/>
  <c r="B4" i="1"/>
  <c r="B5" i="1"/>
  <c r="B6" i="1"/>
  <c r="B7" i="1"/>
  <c r="B8" i="1"/>
  <c r="B9" i="1"/>
  <c r="C14" i="1"/>
  <c r="D14" i="1"/>
  <c r="C15" i="1"/>
  <c r="D15" i="1"/>
  <c r="A16003" i="1"/>
  <c r="B16003" i="1"/>
  <c r="A16" i="1"/>
  <c r="B16" i="1"/>
  <c r="A17" i="1"/>
  <c r="B17" i="1"/>
  <c r="A18" i="1"/>
  <c r="B18" i="1"/>
  <c r="A19" i="1"/>
  <c r="B19" i="1"/>
  <c r="A20" i="1"/>
  <c r="B20" i="1"/>
  <c r="A21" i="1"/>
  <c r="B21" i="1"/>
  <c r="A22" i="1"/>
  <c r="B22" i="1"/>
  <c r="A23" i="1"/>
  <c r="B23" i="1"/>
  <c r="A24" i="1"/>
  <c r="B24" i="1"/>
  <c r="A25" i="1"/>
  <c r="B25" i="1"/>
  <c r="A26" i="1"/>
  <c r="B26" i="1"/>
  <c r="A27" i="1"/>
  <c r="A28" i="1"/>
  <c r="B28" i="1"/>
  <c r="A29" i="1"/>
  <c r="B29" i="1"/>
  <c r="A30" i="1"/>
  <c r="B30" i="1"/>
  <c r="A31" i="1"/>
  <c r="B31" i="1"/>
  <c r="A32" i="1"/>
  <c r="B32" i="1"/>
  <c r="A33" i="1"/>
  <c r="B33" i="1"/>
  <c r="A34" i="1"/>
  <c r="B34" i="1"/>
  <c r="A35" i="1"/>
  <c r="B35" i="1"/>
  <c r="A36" i="1"/>
  <c r="B36" i="1"/>
  <c r="A37" i="1"/>
  <c r="B37" i="1"/>
  <c r="A38" i="1"/>
  <c r="B38" i="1"/>
  <c r="A39" i="1"/>
  <c r="B39" i="1"/>
  <c r="A40" i="1"/>
  <c r="A41" i="1"/>
  <c r="B41" i="1"/>
  <c r="A42" i="1"/>
  <c r="B42" i="1"/>
  <c r="A43" i="1"/>
  <c r="B43" i="1"/>
  <c r="A44" i="1"/>
  <c r="B44" i="1"/>
  <c r="A45" i="1"/>
  <c r="B45" i="1"/>
  <c r="A46" i="1"/>
  <c r="B46" i="1"/>
  <c r="A47" i="1"/>
  <c r="A48" i="1"/>
  <c r="B48" i="1"/>
  <c r="A49" i="1"/>
  <c r="B49" i="1"/>
  <c r="A50" i="1"/>
  <c r="B50" i="1"/>
  <c r="A51" i="1"/>
  <c r="B51" i="1"/>
  <c r="A52" i="1"/>
  <c r="A53" i="1"/>
  <c r="B53" i="1"/>
  <c r="A54" i="1"/>
  <c r="B54" i="1"/>
  <c r="A55" i="1"/>
  <c r="B55" i="1"/>
  <c r="A56" i="1"/>
  <c r="B56" i="1"/>
  <c r="A57" i="1"/>
  <c r="B57" i="1"/>
  <c r="A58" i="1"/>
  <c r="A59" i="1"/>
  <c r="B59" i="1"/>
  <c r="A60" i="1"/>
  <c r="B60" i="1"/>
  <c r="A61" i="1"/>
  <c r="B61" i="1"/>
  <c r="A62" i="1"/>
  <c r="B62" i="1"/>
  <c r="A63" i="1"/>
  <c r="B63" i="1"/>
  <c r="A64" i="1"/>
  <c r="A65" i="1"/>
  <c r="B65" i="1"/>
  <c r="A66" i="1"/>
  <c r="B66" i="1"/>
  <c r="A67" i="1"/>
  <c r="B67" i="1"/>
  <c r="A68" i="1"/>
  <c r="B68" i="1"/>
  <c r="A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A182" i="1"/>
  <c r="B182" i="1"/>
  <c r="A183" i="1"/>
  <c r="B183" i="1"/>
  <c r="A184" i="1"/>
  <c r="B184" i="1"/>
  <c r="A185" i="1"/>
  <c r="B185" i="1"/>
  <c r="A186" i="1"/>
  <c r="B186" i="1"/>
  <c r="A187" i="1"/>
  <c r="B187" i="1"/>
  <c r="A188" i="1"/>
  <c r="B188" i="1"/>
  <c r="A189" i="1"/>
  <c r="B189" i="1"/>
  <c r="A190" i="1"/>
  <c r="A191" i="1"/>
  <c r="B191" i="1"/>
  <c r="A192" i="1"/>
  <c r="B192" i="1"/>
  <c r="A193" i="1"/>
  <c r="B193" i="1"/>
  <c r="A194" i="1"/>
  <c r="B194" i="1"/>
  <c r="A195" i="1"/>
  <c r="B195" i="1"/>
  <c r="A196" i="1"/>
  <c r="B196" i="1"/>
  <c r="A197" i="1"/>
  <c r="B197" i="1"/>
  <c r="A198" i="1"/>
  <c r="B198" i="1"/>
  <c r="A199" i="1"/>
  <c r="B199" i="1"/>
  <c r="A200" i="1"/>
  <c r="A201" i="1"/>
  <c r="B201" i="1"/>
  <c r="A202" i="1"/>
  <c r="B202" i="1"/>
  <c r="A203" i="1"/>
  <c r="A204" i="1"/>
  <c r="B204" i="1"/>
  <c r="A205" i="1"/>
  <c r="B205" i="1"/>
  <c r="A206" i="1"/>
  <c r="A207" i="1"/>
  <c r="B207" i="1"/>
  <c r="A208" i="1"/>
  <c r="B208" i="1"/>
  <c r="A209" i="1"/>
  <c r="B209" i="1"/>
  <c r="A210" i="1"/>
  <c r="B210" i="1"/>
  <c r="A211" i="1"/>
  <c r="A212" i="1"/>
  <c r="B212" i="1"/>
  <c r="A213" i="1"/>
  <c r="B213" i="1"/>
  <c r="A214" i="1"/>
  <c r="B214" i="1"/>
  <c r="A215" i="1"/>
  <c r="B215" i="1"/>
  <c r="A216" i="1"/>
  <c r="B216" i="1"/>
  <c r="A217" i="1"/>
  <c r="A218" i="1"/>
  <c r="B218" i="1"/>
  <c r="A219" i="1"/>
  <c r="B219" i="1"/>
  <c r="A220" i="1"/>
  <c r="B220" i="1"/>
  <c r="A221" i="1"/>
  <c r="B221" i="1"/>
  <c r="A222" i="1"/>
  <c r="B222" i="1"/>
  <c r="A223" i="1"/>
  <c r="A224" i="1"/>
  <c r="B224" i="1"/>
  <c r="A225" i="1"/>
  <c r="B225" i="1"/>
  <c r="A226" i="1"/>
  <c r="B226" i="1"/>
  <c r="A227" i="1"/>
  <c r="B227" i="1"/>
  <c r="A228" i="1"/>
  <c r="B228" i="1"/>
  <c r="A229" i="1"/>
  <c r="A230" i="1"/>
  <c r="B230" i="1"/>
  <c r="A231" i="1"/>
  <c r="B231" i="1"/>
  <c r="A232" i="1"/>
  <c r="B232" i="1"/>
  <c r="A233" i="1"/>
  <c r="B233" i="1"/>
  <c r="A234" i="1"/>
  <c r="B234" i="1"/>
  <c r="A235" i="1"/>
  <c r="A236" i="1"/>
  <c r="B236" i="1"/>
  <c r="A237" i="1"/>
  <c r="B237" i="1"/>
  <c r="A238" i="1"/>
  <c r="B238" i="1"/>
  <c r="A239" i="1"/>
  <c r="A240" i="1"/>
  <c r="B240" i="1"/>
  <c r="A241" i="1"/>
  <c r="B241" i="1"/>
  <c r="A242" i="1"/>
  <c r="B242" i="1"/>
  <c r="A243" i="1"/>
  <c r="B243" i="1"/>
  <c r="A244" i="1"/>
  <c r="B244" i="1"/>
  <c r="A245" i="1"/>
  <c r="B245" i="1"/>
  <c r="A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A266" i="1"/>
  <c r="B266" i="1"/>
  <c r="A267" i="1"/>
  <c r="B267" i="1"/>
  <c r="A268" i="1"/>
  <c r="B268" i="1"/>
  <c r="A269" i="1"/>
  <c r="B269" i="1"/>
  <c r="A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A310" i="1"/>
  <c r="B310" i="1"/>
  <c r="A311" i="1"/>
  <c r="B311" i="1"/>
  <c r="A312" i="1"/>
  <c r="A313" i="1"/>
  <c r="B313" i="1"/>
  <c r="A314" i="1"/>
  <c r="B314" i="1"/>
  <c r="A315" i="1"/>
  <c r="B315" i="1"/>
  <c r="A316" i="1"/>
  <c r="B316" i="1"/>
  <c r="A317" i="1"/>
  <c r="A318" i="1"/>
  <c r="B318" i="1"/>
  <c r="A319" i="1"/>
  <c r="B319" i="1"/>
  <c r="A320" i="1"/>
  <c r="A321" i="1"/>
  <c r="B321" i="1"/>
  <c r="A322" i="1"/>
  <c r="B322" i="1"/>
  <c r="A323" i="1"/>
  <c r="B323" i="1"/>
  <c r="A324" i="1"/>
  <c r="A325" i="1"/>
  <c r="B325" i="1"/>
  <c r="A326" i="1"/>
  <c r="B326" i="1"/>
  <c r="A327" i="1"/>
  <c r="A328" i="1"/>
  <c r="B328" i="1"/>
  <c r="A329" i="1"/>
  <c r="B329" i="1"/>
  <c r="A330" i="1"/>
  <c r="B330" i="1"/>
  <c r="A331" i="1"/>
  <c r="B331" i="1"/>
  <c r="A332" i="1"/>
  <c r="B332" i="1"/>
  <c r="A333" i="1"/>
  <c r="B333" i="1"/>
  <c r="A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B366" i="1"/>
  <c r="A367" i="1"/>
  <c r="B367" i="1"/>
  <c r="A368" i="1"/>
  <c r="B368" i="1"/>
  <c r="A369" i="1"/>
  <c r="B369" i="1"/>
  <c r="A370" i="1"/>
  <c r="B370" i="1"/>
  <c r="A371" i="1"/>
  <c r="B371" i="1"/>
  <c r="A372" i="1"/>
  <c r="B372" i="1"/>
  <c r="A373" i="1"/>
  <c r="B373" i="1"/>
  <c r="A374" i="1"/>
  <c r="B374" i="1"/>
  <c r="A375" i="1"/>
  <c r="B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A390" i="1"/>
  <c r="B390" i="1"/>
  <c r="A391" i="1"/>
  <c r="B391" i="1"/>
  <c r="A392" i="1"/>
  <c r="B392" i="1"/>
  <c r="A393" i="1"/>
  <c r="B393" i="1"/>
  <c r="A394" i="1"/>
  <c r="B394" i="1"/>
  <c r="A395" i="1"/>
  <c r="B395" i="1"/>
  <c r="A396" i="1"/>
  <c r="B396" i="1"/>
  <c r="A397" i="1"/>
  <c r="B397" i="1"/>
  <c r="A398" i="1"/>
  <c r="B398" i="1"/>
  <c r="A399" i="1"/>
  <c r="B399" i="1"/>
  <c r="A400" i="1"/>
  <c r="B400" i="1"/>
  <c r="A401" i="1"/>
  <c r="A402" i="1"/>
  <c r="B402" i="1"/>
  <c r="A403" i="1"/>
  <c r="B403" i="1"/>
  <c r="A404" i="1"/>
  <c r="B404" i="1"/>
  <c r="A405" i="1"/>
  <c r="B405" i="1"/>
  <c r="A406" i="1"/>
  <c r="B406" i="1"/>
  <c r="A407" i="1"/>
  <c r="B407" i="1"/>
  <c r="A408" i="1"/>
  <c r="B408" i="1"/>
  <c r="A409" i="1"/>
  <c r="B409" i="1"/>
  <c r="A410" i="1"/>
  <c r="B410" i="1"/>
  <c r="A411" i="1"/>
  <c r="B411" i="1"/>
  <c r="A412" i="1"/>
  <c r="B412" i="1"/>
  <c r="A413" i="1"/>
  <c r="B413" i="1"/>
  <c r="A414" i="1"/>
  <c r="B414" i="1"/>
  <c r="A415" i="1"/>
  <c r="B415" i="1"/>
  <c r="A416" i="1"/>
  <c r="B416" i="1"/>
  <c r="A417" i="1"/>
  <c r="B417" i="1"/>
  <c r="A418" i="1"/>
  <c r="B418" i="1"/>
  <c r="A419" i="1"/>
  <c r="A420" i="1"/>
  <c r="B420" i="1"/>
  <c r="A421" i="1"/>
  <c r="B421" i="1"/>
  <c r="A422" i="1"/>
  <c r="B422" i="1"/>
  <c r="A423" i="1"/>
  <c r="B423" i="1"/>
  <c r="A424" i="1"/>
  <c r="B424" i="1"/>
  <c r="A425" i="1"/>
  <c r="B425" i="1"/>
  <c r="A426" i="1"/>
  <c r="B426" i="1"/>
  <c r="A427" i="1"/>
  <c r="B427" i="1"/>
  <c r="A428" i="1"/>
  <c r="A429" i="1"/>
  <c r="B429" i="1"/>
  <c r="A430" i="1"/>
  <c r="B430" i="1"/>
  <c r="A431" i="1"/>
  <c r="B431" i="1"/>
  <c r="A432" i="1"/>
  <c r="B432" i="1"/>
  <c r="A433" i="1"/>
  <c r="B433" i="1"/>
  <c r="A434" i="1"/>
  <c r="B434" i="1"/>
  <c r="A435" i="1"/>
  <c r="B435" i="1"/>
  <c r="A436" i="1"/>
  <c r="B436" i="1"/>
  <c r="A437" i="1"/>
  <c r="B437" i="1"/>
  <c r="A438" i="1"/>
  <c r="B438" i="1"/>
  <c r="A439" i="1"/>
  <c r="B439" i="1"/>
  <c r="A440" i="1"/>
  <c r="B440" i="1"/>
  <c r="A441" i="1"/>
  <c r="B441" i="1"/>
  <c r="A442" i="1"/>
  <c r="B442" i="1"/>
  <c r="A443" i="1"/>
  <c r="A444" i="1"/>
  <c r="B444" i="1"/>
  <c r="A445" i="1"/>
  <c r="B445" i="1"/>
  <c r="A446" i="1"/>
  <c r="B446" i="1"/>
  <c r="A447" i="1"/>
  <c r="A448" i="1"/>
  <c r="B448" i="1"/>
  <c r="A449" i="1"/>
  <c r="B449" i="1"/>
  <c r="A450" i="1"/>
  <c r="B450" i="1"/>
  <c r="A451" i="1"/>
  <c r="B451" i="1"/>
  <c r="A452" i="1"/>
  <c r="B452" i="1"/>
  <c r="A453" i="1"/>
  <c r="B453" i="1"/>
  <c r="A454" i="1"/>
  <c r="A455" i="1"/>
  <c r="B455" i="1"/>
  <c r="A456" i="1"/>
  <c r="B456" i="1"/>
  <c r="A457" i="1"/>
  <c r="B457" i="1"/>
  <c r="A458" i="1"/>
  <c r="B458" i="1"/>
  <c r="A459" i="1"/>
  <c r="B459" i="1"/>
  <c r="A460" i="1"/>
  <c r="B460" i="1"/>
  <c r="A461" i="1"/>
  <c r="B461" i="1"/>
  <c r="A462" i="1"/>
  <c r="B462" i="1"/>
  <c r="A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A497" i="1"/>
  <c r="B497" i="1"/>
  <c r="A498" i="1"/>
  <c r="B498" i="1"/>
  <c r="A499" i="1"/>
  <c r="A500" i="1"/>
  <c r="B500" i="1"/>
  <c r="A501" i="1"/>
  <c r="B501" i="1"/>
  <c r="A502" i="1"/>
  <c r="A503" i="1"/>
  <c r="B503" i="1"/>
  <c r="A504" i="1"/>
  <c r="B504" i="1"/>
  <c r="A505" i="1"/>
  <c r="B505" i="1"/>
  <c r="A506" i="1"/>
  <c r="B506" i="1"/>
  <c r="A507" i="1"/>
  <c r="B507" i="1"/>
  <c r="A508" i="1"/>
  <c r="B508" i="1"/>
  <c r="A509" i="1"/>
  <c r="B509" i="1"/>
  <c r="A510" i="1"/>
  <c r="B510" i="1"/>
  <c r="A511" i="1"/>
  <c r="B511" i="1"/>
  <c r="A512" i="1"/>
  <c r="B512" i="1"/>
  <c r="A513" i="1"/>
  <c r="B513" i="1"/>
  <c r="A514" i="1"/>
  <c r="A515" i="1"/>
  <c r="B515" i="1"/>
  <c r="A516" i="1"/>
  <c r="B516" i="1"/>
  <c r="A517" i="1"/>
  <c r="B517" i="1"/>
  <c r="A518" i="1"/>
  <c r="B518" i="1"/>
  <c r="A519" i="1"/>
  <c r="B519" i="1"/>
  <c r="A520" i="1"/>
  <c r="B520" i="1"/>
  <c r="A521" i="1"/>
  <c r="B521" i="1"/>
  <c r="A522" i="1"/>
  <c r="B522" i="1"/>
  <c r="A523" i="1"/>
  <c r="B523" i="1"/>
  <c r="A524" i="1"/>
  <c r="B524" i="1"/>
  <c r="A525" i="1"/>
  <c r="B525" i="1"/>
  <c r="A526" i="1"/>
  <c r="B526" i="1"/>
  <c r="A527" i="1"/>
  <c r="B527" i="1"/>
  <c r="A528" i="1"/>
  <c r="B528" i="1"/>
  <c r="A529" i="1"/>
  <c r="B529" i="1"/>
  <c r="A530" i="1"/>
  <c r="B530" i="1"/>
  <c r="A531" i="1"/>
  <c r="B531" i="1"/>
  <c r="A532" i="1"/>
  <c r="B532" i="1"/>
  <c r="A533" i="1"/>
  <c r="B533" i="1"/>
  <c r="A534" i="1"/>
  <c r="B534" i="1"/>
  <c r="A535" i="1"/>
  <c r="B535" i="1"/>
  <c r="A536" i="1"/>
  <c r="B536" i="1"/>
  <c r="A537" i="1"/>
  <c r="B537" i="1"/>
  <c r="A538" i="1"/>
  <c r="A539" i="1"/>
  <c r="B539" i="1"/>
  <c r="A540" i="1"/>
  <c r="B540" i="1"/>
  <c r="A541" i="1"/>
  <c r="B541" i="1"/>
  <c r="A542" i="1"/>
  <c r="A543" i="1"/>
  <c r="B543" i="1"/>
  <c r="A544" i="1"/>
  <c r="B544" i="1"/>
  <c r="A545" i="1"/>
  <c r="A546" i="1"/>
  <c r="B546" i="1"/>
  <c r="A547" i="1"/>
  <c r="B547" i="1"/>
  <c r="A548" i="1"/>
  <c r="B548" i="1"/>
  <c r="A549" i="1"/>
  <c r="B549" i="1"/>
  <c r="A550" i="1"/>
  <c r="B550" i="1"/>
  <c r="A551" i="1"/>
  <c r="B551" i="1"/>
  <c r="A552" i="1"/>
  <c r="B552" i="1"/>
  <c r="A553" i="1"/>
  <c r="B553" i="1"/>
  <c r="A554" i="1"/>
  <c r="A555" i="1"/>
  <c r="B555" i="1"/>
  <c r="A556" i="1"/>
  <c r="B556" i="1"/>
  <c r="A557" i="1"/>
  <c r="B557" i="1"/>
  <c r="A558" i="1"/>
  <c r="B558" i="1"/>
  <c r="A559" i="1"/>
  <c r="B559" i="1"/>
  <c r="A560" i="1"/>
  <c r="B560" i="1"/>
  <c r="A561" i="1"/>
  <c r="B561" i="1"/>
  <c r="A562" i="1"/>
  <c r="B562" i="1"/>
  <c r="A563" i="1"/>
  <c r="B563" i="1"/>
  <c r="A564" i="1"/>
  <c r="A565" i="1"/>
  <c r="B565" i="1"/>
  <c r="A566" i="1"/>
  <c r="B566" i="1"/>
  <c r="A567" i="1"/>
  <c r="B567" i="1"/>
  <c r="A568" i="1"/>
  <c r="B568" i="1"/>
  <c r="A569" i="1"/>
  <c r="B569" i="1"/>
  <c r="A570" i="1"/>
  <c r="B570" i="1"/>
  <c r="A571" i="1"/>
  <c r="B571" i="1"/>
  <c r="A572" i="1"/>
  <c r="B572" i="1"/>
  <c r="A573" i="1"/>
  <c r="B573" i="1"/>
  <c r="A574" i="1"/>
  <c r="B574" i="1"/>
  <c r="A575" i="1"/>
  <c r="A576" i="1"/>
  <c r="B576" i="1"/>
  <c r="A577" i="1"/>
  <c r="B577" i="1"/>
  <c r="A578" i="1"/>
  <c r="B578" i="1"/>
  <c r="A579" i="1"/>
  <c r="B579" i="1"/>
  <c r="A580" i="1"/>
  <c r="B580" i="1"/>
  <c r="A581" i="1"/>
  <c r="B581" i="1"/>
  <c r="A582" i="1"/>
  <c r="B582" i="1"/>
  <c r="A583" i="1"/>
  <c r="A584" i="1"/>
  <c r="B584" i="1"/>
  <c r="A585" i="1"/>
  <c r="B585" i="1"/>
  <c r="A586" i="1"/>
  <c r="B586" i="1"/>
  <c r="A587" i="1"/>
  <c r="B587" i="1"/>
  <c r="A588" i="1"/>
  <c r="B588" i="1"/>
  <c r="A589" i="1"/>
  <c r="A590" i="1"/>
  <c r="B590" i="1"/>
  <c r="A591" i="1"/>
  <c r="B591" i="1"/>
  <c r="A592" i="1"/>
  <c r="B592" i="1"/>
  <c r="A593" i="1"/>
  <c r="B593" i="1"/>
  <c r="A594" i="1"/>
  <c r="A595" i="1"/>
  <c r="B595" i="1"/>
  <c r="A596" i="1"/>
  <c r="B596" i="1"/>
  <c r="A597" i="1"/>
  <c r="B597" i="1"/>
  <c r="A598" i="1"/>
  <c r="B598" i="1"/>
  <c r="A599" i="1"/>
  <c r="B599" i="1"/>
  <c r="A600" i="1"/>
  <c r="B600" i="1"/>
  <c r="A601" i="1"/>
  <c r="B601" i="1"/>
  <c r="A602" i="1"/>
  <c r="B602" i="1"/>
  <c r="A603" i="1"/>
  <c r="A604" i="1"/>
  <c r="B604" i="1"/>
  <c r="A605" i="1"/>
  <c r="B605" i="1"/>
  <c r="A606" i="1"/>
  <c r="B606" i="1"/>
  <c r="A607" i="1"/>
  <c r="B607" i="1"/>
  <c r="A608" i="1"/>
  <c r="B608" i="1"/>
  <c r="A609" i="1"/>
  <c r="B609" i="1"/>
  <c r="A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A624" i="1"/>
  <c r="B624" i="1"/>
  <c r="A625" i="1"/>
  <c r="B625" i="1"/>
  <c r="A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A643" i="1"/>
  <c r="B643" i="1"/>
  <c r="A644" i="1"/>
  <c r="B644" i="1"/>
  <c r="A645" i="1"/>
  <c r="B645" i="1"/>
  <c r="A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B905" i="1"/>
  <c r="A906" i="1"/>
  <c r="B906" i="1"/>
  <c r="A907" i="1"/>
  <c r="B907" i="1"/>
  <c r="A908" i="1"/>
  <c r="B908" i="1"/>
  <c r="A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A926" i="1"/>
  <c r="B926" i="1"/>
  <c r="A927" i="1"/>
  <c r="B927" i="1"/>
  <c r="A928" i="1"/>
  <c r="B928" i="1"/>
  <c r="A929" i="1"/>
  <c r="B929" i="1"/>
  <c r="A930" i="1"/>
  <c r="B930" i="1"/>
  <c r="A931" i="1"/>
  <c r="B931" i="1"/>
  <c r="A932" i="1"/>
  <c r="A933" i="1"/>
  <c r="B933" i="1"/>
  <c r="A934" i="1"/>
  <c r="B934" i="1"/>
  <c r="A935" i="1"/>
  <c r="B935" i="1"/>
  <c r="A936" i="1"/>
  <c r="B936" i="1"/>
  <c r="A937" i="1"/>
  <c r="B937" i="1"/>
  <c r="A938" i="1"/>
  <c r="B938" i="1"/>
  <c r="A939" i="1"/>
  <c r="B939" i="1"/>
  <c r="A940" i="1"/>
  <c r="B940" i="1"/>
  <c r="A941" i="1"/>
  <c r="B941" i="1"/>
  <c r="A942" i="1"/>
  <c r="B942" i="1"/>
  <c r="A943" i="1"/>
  <c r="B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A973" i="1"/>
  <c r="B973" i="1"/>
  <c r="A974" i="1"/>
  <c r="B974" i="1"/>
  <c r="A975" i="1"/>
  <c r="A976" i="1"/>
  <c r="B976" i="1"/>
  <c r="A977" i="1"/>
  <c r="B977" i="1"/>
  <c r="A978" i="1"/>
  <c r="A979" i="1"/>
  <c r="B979" i="1"/>
  <c r="A980" i="1"/>
  <c r="B980" i="1"/>
  <c r="A981" i="1"/>
  <c r="B981" i="1"/>
  <c r="A982" i="1"/>
  <c r="B982" i="1"/>
  <c r="A983" i="1"/>
  <c r="B983" i="1"/>
  <c r="A984" i="1"/>
  <c r="A985" i="1"/>
  <c r="B985" i="1"/>
  <c r="A986" i="1"/>
  <c r="B986" i="1"/>
  <c r="A987" i="1"/>
  <c r="B987" i="1"/>
  <c r="A988" i="1"/>
  <c r="B988" i="1"/>
  <c r="A989" i="1"/>
  <c r="B989" i="1"/>
  <c r="A990" i="1"/>
  <c r="B990" i="1"/>
  <c r="A991" i="1"/>
  <c r="A992" i="1"/>
  <c r="B992" i="1"/>
  <c r="A993" i="1"/>
  <c r="B993" i="1"/>
  <c r="A994" i="1"/>
  <c r="B994" i="1"/>
  <c r="A995" i="1"/>
  <c r="B995" i="1"/>
  <c r="A996" i="1"/>
  <c r="B996" i="1"/>
  <c r="A997" i="1"/>
  <c r="B997" i="1"/>
  <c r="A998" i="1"/>
  <c r="B998" i="1"/>
  <c r="A999" i="1"/>
  <c r="B999" i="1"/>
  <c r="A1000" i="1"/>
  <c r="A1001" i="1"/>
  <c r="B1001" i="1"/>
  <c r="A1002" i="1"/>
  <c r="B1002" i="1"/>
  <c r="A1003" i="1"/>
  <c r="A1004" i="1"/>
  <c r="B1004" i="1"/>
  <c r="A1005" i="1"/>
  <c r="B1005" i="1"/>
  <c r="A1006" i="1"/>
  <c r="B1006" i="1"/>
  <c r="A1007" i="1"/>
  <c r="B1007" i="1"/>
  <c r="A1008" i="1"/>
  <c r="B1008" i="1"/>
  <c r="A1009" i="1"/>
  <c r="B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A1024" i="1"/>
  <c r="B1024" i="1"/>
  <c r="A1025" i="1"/>
  <c r="B1025" i="1"/>
  <c r="A1026" i="1"/>
  <c r="A1027" i="1"/>
  <c r="B1027" i="1"/>
  <c r="A1028" i="1"/>
  <c r="B1028" i="1"/>
  <c r="A1029" i="1"/>
  <c r="B1029" i="1"/>
  <c r="A1030" i="1"/>
  <c r="B1030" i="1"/>
  <c r="A1031" i="1"/>
  <c r="B1031" i="1"/>
  <c r="A1032" i="1"/>
  <c r="B1032" i="1"/>
  <c r="A1033" i="1"/>
  <c r="B1033" i="1"/>
  <c r="A1034" i="1"/>
  <c r="B1034" i="1"/>
  <c r="A1035" i="1"/>
  <c r="A1036" i="1"/>
  <c r="B1036" i="1"/>
  <c r="A1037" i="1"/>
  <c r="B1037" i="1"/>
  <c r="A1038" i="1"/>
  <c r="B1038" i="1"/>
  <c r="A1039" i="1"/>
  <c r="B1039" i="1"/>
  <c r="A1040" i="1"/>
  <c r="B1040" i="1"/>
  <c r="A1041" i="1"/>
  <c r="B1041" i="1"/>
  <c r="A1042" i="1"/>
  <c r="B1042" i="1"/>
  <c r="A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B1074" i="1"/>
  <c r="A1075" i="1"/>
  <c r="B1075" i="1"/>
  <c r="A1076" i="1"/>
  <c r="A1077" i="1"/>
  <c r="B1077" i="1"/>
  <c r="A1078" i="1"/>
  <c r="B1078" i="1"/>
  <c r="A1079" i="1"/>
  <c r="B1079" i="1"/>
  <c r="A1080" i="1"/>
  <c r="B1080" i="1"/>
  <c r="A1081" i="1"/>
  <c r="B1081" i="1"/>
  <c r="A1082" i="1"/>
  <c r="B1082" i="1"/>
  <c r="A1083" i="1"/>
  <c r="B1083" i="1"/>
  <c r="A1084" i="1"/>
  <c r="B1084" i="1"/>
  <c r="A1085" i="1"/>
  <c r="B1085" i="1"/>
  <c r="A1086" i="1"/>
  <c r="B1086" i="1"/>
  <c r="A1087" i="1"/>
  <c r="B1087" i="1"/>
  <c r="A1088" i="1"/>
  <c r="B1088" i="1"/>
  <c r="A1089" i="1"/>
  <c r="B1089" i="1"/>
  <c r="A1090" i="1"/>
  <c r="B1090" i="1"/>
  <c r="A1091" i="1"/>
  <c r="B1091" i="1"/>
  <c r="A1092" i="1"/>
  <c r="B1092" i="1"/>
  <c r="A1093" i="1"/>
  <c r="B1093" i="1"/>
  <c r="A1094" i="1"/>
  <c r="B1094" i="1"/>
  <c r="A1095" i="1"/>
  <c r="B1095" i="1"/>
  <c r="A1096" i="1"/>
  <c r="B1096" i="1"/>
  <c r="A1097" i="1"/>
  <c r="B1097" i="1"/>
  <c r="A1098" i="1"/>
  <c r="A1099" i="1"/>
  <c r="B1099" i="1"/>
  <c r="A1100" i="1"/>
  <c r="B1100" i="1"/>
  <c r="A1101" i="1"/>
  <c r="B1101" i="1"/>
  <c r="A1102" i="1"/>
  <c r="B1102" i="1"/>
  <c r="A1103" i="1"/>
  <c r="B1103" i="1"/>
  <c r="A1104" i="1"/>
  <c r="A1105" i="1"/>
  <c r="B1105" i="1"/>
  <c r="A1106" i="1"/>
  <c r="B1106" i="1"/>
  <c r="A1107" i="1"/>
  <c r="B1107" i="1"/>
  <c r="A1108" i="1"/>
  <c r="B1108" i="1"/>
  <c r="A1109" i="1"/>
  <c r="B1109" i="1"/>
  <c r="A1110" i="1"/>
  <c r="B1110" i="1"/>
  <c r="A1111" i="1"/>
  <c r="B1111" i="1"/>
  <c r="A1112" i="1"/>
  <c r="B1112" i="1"/>
  <c r="A1113" i="1"/>
  <c r="A1114" i="1"/>
  <c r="B1114" i="1"/>
  <c r="A1115" i="1"/>
  <c r="B1115" i="1"/>
  <c r="A1116" i="1"/>
  <c r="B1116" i="1"/>
  <c r="A1117" i="1"/>
  <c r="A1118" i="1"/>
  <c r="B1118" i="1"/>
  <c r="A1119" i="1"/>
  <c r="B1119" i="1"/>
  <c r="A1120" i="1"/>
  <c r="B1120" i="1"/>
  <c r="A1121" i="1"/>
  <c r="B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B1154" i="1"/>
  <c r="A1155" i="1"/>
  <c r="B1155" i="1"/>
  <c r="A1156" i="1"/>
  <c r="B1156" i="1"/>
  <c r="A1157" i="1"/>
  <c r="B1157" i="1"/>
  <c r="A1158" i="1"/>
  <c r="B1158" i="1"/>
  <c r="A1159" i="1"/>
  <c r="B1159" i="1"/>
  <c r="A1160" i="1"/>
  <c r="B1160" i="1"/>
  <c r="A1161" i="1"/>
  <c r="B1161" i="1"/>
  <c r="A1162" i="1"/>
  <c r="B1162" i="1"/>
  <c r="A1163" i="1"/>
  <c r="B1163" i="1"/>
  <c r="A1164" i="1"/>
  <c r="B1164" i="1"/>
  <c r="A1165" i="1"/>
  <c r="B1165" i="1"/>
  <c r="A1166" i="1"/>
  <c r="B1166" i="1"/>
  <c r="A1167" i="1"/>
  <c r="B1167" i="1"/>
  <c r="A1168" i="1"/>
  <c r="B1168" i="1"/>
  <c r="A1169" i="1"/>
  <c r="B1169" i="1"/>
  <c r="A1170" i="1"/>
  <c r="B1170" i="1"/>
  <c r="A1171" i="1"/>
  <c r="B1171" i="1"/>
  <c r="A1172" i="1"/>
  <c r="B1172" i="1"/>
  <c r="A1173" i="1"/>
  <c r="B1173" i="1"/>
  <c r="A1174" i="1"/>
  <c r="B1174" i="1"/>
  <c r="A1175" i="1"/>
  <c r="B1175" i="1"/>
  <c r="A1176" i="1"/>
  <c r="B1176" i="1"/>
  <c r="A1177" i="1"/>
  <c r="B1177" i="1"/>
  <c r="A1178" i="1"/>
  <c r="B1178" i="1"/>
  <c r="A1179" i="1"/>
  <c r="B1179" i="1"/>
  <c r="A1180" i="1"/>
  <c r="B1180" i="1"/>
  <c r="A1181" i="1"/>
  <c r="B1181" i="1"/>
  <c r="A1182" i="1"/>
  <c r="B1182" i="1"/>
  <c r="A1183" i="1"/>
  <c r="B1183" i="1"/>
  <c r="A1184" i="1"/>
  <c r="B1184" i="1"/>
  <c r="A1185" i="1"/>
  <c r="B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B1198" i="1"/>
  <c r="A1199" i="1"/>
  <c r="B1199" i="1"/>
  <c r="A1200" i="1"/>
  <c r="B1200" i="1"/>
  <c r="A1201" i="1"/>
  <c r="B1201" i="1"/>
  <c r="A1202" i="1"/>
  <c r="B1202" i="1"/>
  <c r="A1203" i="1"/>
  <c r="B1203" i="1"/>
  <c r="A1204" i="1"/>
  <c r="B1204" i="1"/>
  <c r="A1205" i="1"/>
  <c r="B1205" i="1"/>
  <c r="A1206" i="1"/>
  <c r="B1206" i="1"/>
  <c r="A1207" i="1"/>
  <c r="B1207" i="1"/>
  <c r="A1208" i="1"/>
  <c r="B1208" i="1"/>
  <c r="A1209" i="1"/>
  <c r="B1209" i="1"/>
  <c r="A1210" i="1"/>
  <c r="B1210" i="1"/>
  <c r="A1211" i="1"/>
  <c r="B1211" i="1"/>
  <c r="A1212" i="1"/>
  <c r="B1212" i="1"/>
  <c r="A1213" i="1"/>
  <c r="B1213" i="1"/>
  <c r="A1214" i="1"/>
  <c r="B1214" i="1"/>
  <c r="A1215" i="1"/>
  <c r="B1215" i="1"/>
  <c r="A1216" i="1"/>
  <c r="B1216" i="1"/>
  <c r="A1217" i="1"/>
  <c r="B1217" i="1"/>
  <c r="A1218" i="1"/>
  <c r="B1218" i="1"/>
  <c r="A1219" i="1"/>
  <c r="B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B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B1267" i="1"/>
  <c r="A1268" i="1"/>
  <c r="B1268" i="1"/>
  <c r="A1269" i="1"/>
  <c r="B1269" i="1"/>
  <c r="A1270" i="1"/>
  <c r="B1270" i="1"/>
  <c r="A1271" i="1"/>
  <c r="B1271" i="1"/>
  <c r="A1272" i="1"/>
  <c r="B1272" i="1"/>
  <c r="A1273" i="1"/>
  <c r="B1273" i="1"/>
  <c r="A1274" i="1"/>
  <c r="B1274" i="1"/>
  <c r="A1275" i="1"/>
  <c r="B1275" i="1"/>
  <c r="A1276" i="1"/>
  <c r="B1276" i="1"/>
  <c r="A1277" i="1"/>
  <c r="B1277" i="1"/>
  <c r="A1278" i="1"/>
  <c r="B1278" i="1"/>
  <c r="A1279" i="1"/>
  <c r="B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B1298" i="1"/>
  <c r="A1299" i="1"/>
  <c r="B1299" i="1"/>
  <c r="A1300" i="1"/>
  <c r="B1300" i="1"/>
  <c r="A1301" i="1"/>
  <c r="B1301" i="1"/>
  <c r="A1302" i="1"/>
  <c r="B1302" i="1"/>
  <c r="A1303" i="1"/>
  <c r="B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B1328" i="1"/>
  <c r="A1329" i="1"/>
  <c r="B1329" i="1"/>
  <c r="A1330" i="1"/>
  <c r="B1330" i="1"/>
  <c r="A1331" i="1"/>
  <c r="B1331" i="1"/>
  <c r="A1332" i="1"/>
  <c r="B1332" i="1"/>
  <c r="A1333" i="1"/>
  <c r="B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B1346" i="1"/>
  <c r="A1347" i="1"/>
  <c r="B1347" i="1"/>
  <c r="A1348" i="1"/>
  <c r="B1348" i="1"/>
  <c r="A1349" i="1"/>
  <c r="B1349" i="1"/>
  <c r="A1350" i="1"/>
  <c r="B1350" i="1"/>
  <c r="A1351" i="1"/>
  <c r="B1351" i="1"/>
  <c r="A1352" i="1"/>
  <c r="B1352" i="1"/>
  <c r="A1353" i="1"/>
  <c r="B1353" i="1"/>
  <c r="A1354" i="1"/>
  <c r="B1354" i="1"/>
  <c r="A1355" i="1"/>
  <c r="B1355" i="1"/>
  <c r="A1356" i="1"/>
  <c r="B1356" i="1"/>
  <c r="A1357" i="1"/>
  <c r="B1357" i="1"/>
  <c r="A1358" i="1"/>
  <c r="B1358" i="1"/>
  <c r="A1359" i="1"/>
  <c r="B1359" i="1"/>
  <c r="A1360" i="1"/>
  <c r="B1360" i="1"/>
  <c r="A1361" i="1"/>
  <c r="B1361" i="1"/>
  <c r="A1362" i="1"/>
  <c r="B1362" i="1"/>
  <c r="A1363" i="1"/>
  <c r="B1363" i="1"/>
  <c r="A1364" i="1"/>
  <c r="B1364" i="1"/>
  <c r="A1365" i="1"/>
  <c r="B1365" i="1"/>
  <c r="A1366" i="1"/>
  <c r="B1366" i="1"/>
  <c r="A1367" i="1"/>
  <c r="B1367" i="1"/>
  <c r="A1368" i="1"/>
  <c r="B1368" i="1"/>
  <c r="A1369" i="1"/>
  <c r="B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B1383" i="1"/>
  <c r="A1384" i="1"/>
  <c r="B1384" i="1"/>
  <c r="A1385" i="1"/>
  <c r="B1385" i="1"/>
  <c r="A1386" i="1"/>
  <c r="B1386" i="1"/>
  <c r="A1387" i="1"/>
  <c r="B1387" i="1"/>
  <c r="A1388" i="1"/>
  <c r="B1388" i="1"/>
  <c r="A1389" i="1"/>
  <c r="B1389" i="1"/>
  <c r="A1390" i="1"/>
  <c r="B1390" i="1"/>
  <c r="A1391" i="1"/>
  <c r="B1391" i="1"/>
  <c r="A1392" i="1"/>
  <c r="B1392" i="1"/>
  <c r="A1393" i="1"/>
  <c r="B1393" i="1"/>
  <c r="A1394" i="1"/>
  <c r="B1394" i="1"/>
  <c r="A1395" i="1"/>
  <c r="B1395" i="1"/>
  <c r="A1396" i="1"/>
  <c r="B1396" i="1"/>
  <c r="A1397" i="1"/>
  <c r="B1397" i="1"/>
  <c r="A1398" i="1"/>
  <c r="B1398" i="1"/>
  <c r="A1399" i="1"/>
  <c r="B1399" i="1"/>
  <c r="A1400" i="1"/>
  <c r="B1400" i="1"/>
  <c r="A1401" i="1"/>
  <c r="B1401" i="1"/>
  <c r="A1402" i="1"/>
  <c r="B1402" i="1"/>
  <c r="A1403" i="1"/>
  <c r="B1403" i="1"/>
  <c r="A1404" i="1"/>
  <c r="B1404" i="1"/>
  <c r="A1405" i="1"/>
  <c r="B1405" i="1"/>
  <c r="A1406" i="1"/>
  <c r="B1406" i="1"/>
  <c r="A1407" i="1"/>
  <c r="B1407" i="1"/>
  <c r="A1408" i="1"/>
  <c r="B1408" i="1"/>
  <c r="A1409" i="1"/>
  <c r="B1409" i="1"/>
  <c r="A1410" i="1"/>
  <c r="B1410" i="1"/>
  <c r="A1411" i="1"/>
  <c r="B1411" i="1"/>
  <c r="A1412" i="1"/>
  <c r="B1412" i="1"/>
  <c r="A1413" i="1"/>
  <c r="B1413" i="1"/>
  <c r="A1414" i="1"/>
  <c r="B1414" i="1"/>
  <c r="A1415" i="1"/>
  <c r="B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B1429" i="1"/>
  <c r="A1430" i="1"/>
  <c r="B1430" i="1"/>
  <c r="A1431" i="1"/>
  <c r="B1431" i="1"/>
  <c r="A1432" i="1"/>
  <c r="B1432" i="1"/>
  <c r="A1433" i="1"/>
  <c r="B1433" i="1"/>
  <c r="A1434" i="1"/>
  <c r="B1434" i="1"/>
  <c r="A1435" i="1"/>
  <c r="B1435" i="1"/>
  <c r="A1436" i="1"/>
  <c r="B1436" i="1"/>
  <c r="A1437" i="1"/>
  <c r="B1437" i="1"/>
  <c r="A1438" i="1"/>
  <c r="B1438" i="1"/>
  <c r="A1439" i="1"/>
  <c r="B1439" i="1"/>
  <c r="A1440" i="1"/>
  <c r="B1440" i="1"/>
  <c r="A1441" i="1"/>
  <c r="B1441" i="1"/>
  <c r="A1442" i="1"/>
  <c r="B1442" i="1"/>
  <c r="A1443" i="1"/>
  <c r="B1443" i="1"/>
  <c r="A1444" i="1"/>
  <c r="B1444" i="1"/>
  <c r="A1445" i="1"/>
  <c r="B1445" i="1"/>
  <c r="A1446" i="1"/>
  <c r="B1446" i="1"/>
  <c r="A1447" i="1"/>
  <c r="B1447" i="1"/>
  <c r="A1448" i="1"/>
  <c r="B1448" i="1"/>
  <c r="A1449" i="1"/>
  <c r="B1449" i="1"/>
  <c r="A1450" i="1"/>
  <c r="B1450" i="1"/>
  <c r="A1451" i="1"/>
  <c r="B1451" i="1"/>
  <c r="A1452" i="1"/>
  <c r="B1452" i="1"/>
  <c r="A1453" i="1"/>
  <c r="B1453" i="1"/>
  <c r="A1454" i="1"/>
  <c r="B1454" i="1"/>
  <c r="A1455" i="1"/>
  <c r="B1455" i="1"/>
  <c r="A1456" i="1"/>
  <c r="B1456" i="1"/>
  <c r="A1457" i="1"/>
  <c r="B1457" i="1"/>
  <c r="A1458" i="1"/>
  <c r="B1458" i="1"/>
  <c r="A1459" i="1"/>
  <c r="B1459" i="1"/>
  <c r="A1460" i="1"/>
  <c r="B1460" i="1"/>
  <c r="A1461" i="1"/>
  <c r="B1461" i="1"/>
  <c r="A1462" i="1"/>
  <c r="B1462" i="1"/>
  <c r="A1463" i="1"/>
  <c r="B1463" i="1"/>
  <c r="A1464" i="1"/>
  <c r="B1464" i="1"/>
  <c r="A1465" i="1"/>
  <c r="B1465" i="1"/>
  <c r="A1466" i="1"/>
  <c r="B1466" i="1"/>
  <c r="A1467" i="1"/>
  <c r="B1467" i="1"/>
  <c r="A1468" i="1"/>
  <c r="B1468" i="1"/>
  <c r="A1469" i="1"/>
  <c r="B1469" i="1"/>
  <c r="A1470" i="1"/>
  <c r="B1470" i="1"/>
  <c r="A1471" i="1"/>
  <c r="B1471" i="1"/>
  <c r="A1472" i="1"/>
  <c r="B1472" i="1"/>
  <c r="A1473" i="1"/>
  <c r="B1473" i="1"/>
  <c r="A1474" i="1"/>
  <c r="B1474" i="1"/>
  <c r="A1475" i="1"/>
  <c r="B1475" i="1"/>
  <c r="A1476" i="1"/>
  <c r="B1476" i="1"/>
  <c r="A1477" i="1"/>
  <c r="B1477" i="1"/>
  <c r="A1478" i="1"/>
  <c r="B1478" i="1"/>
  <c r="A1479" i="1"/>
  <c r="B1479" i="1"/>
  <c r="A1480" i="1"/>
  <c r="B1480" i="1"/>
  <c r="A1481" i="1"/>
  <c r="B1481" i="1"/>
  <c r="A1482" i="1"/>
  <c r="B1482" i="1"/>
  <c r="A1483" i="1"/>
  <c r="B1483" i="1"/>
  <c r="A1484" i="1"/>
  <c r="B1484" i="1"/>
  <c r="A1485" i="1"/>
  <c r="B1485" i="1"/>
  <c r="A1486" i="1"/>
  <c r="B1486" i="1"/>
  <c r="A1487" i="1"/>
  <c r="B1487" i="1"/>
  <c r="A1488" i="1"/>
  <c r="B1488" i="1"/>
  <c r="A1489" i="1"/>
  <c r="B1489" i="1"/>
  <c r="A1490" i="1"/>
  <c r="B1490" i="1"/>
  <c r="A1491" i="1"/>
  <c r="B1491" i="1"/>
  <c r="A1492" i="1"/>
  <c r="B1492" i="1"/>
  <c r="A1493" i="1"/>
  <c r="B1493" i="1"/>
  <c r="A1494" i="1"/>
  <c r="B1494" i="1"/>
  <c r="A1495" i="1"/>
  <c r="B1495" i="1"/>
  <c r="A1496" i="1"/>
  <c r="B1496" i="1"/>
  <c r="A1497" i="1"/>
  <c r="B1497" i="1"/>
  <c r="A1498" i="1"/>
  <c r="B1498" i="1"/>
  <c r="A1499" i="1"/>
  <c r="B1499" i="1"/>
  <c r="A1500" i="1"/>
  <c r="B1500" i="1"/>
  <c r="A1501" i="1"/>
  <c r="B1501" i="1"/>
  <c r="A1502" i="1"/>
  <c r="B1502" i="1"/>
  <c r="A1503" i="1"/>
  <c r="B1503" i="1"/>
  <c r="A1504" i="1"/>
  <c r="B1504" i="1"/>
  <c r="A1505" i="1"/>
  <c r="B1505" i="1"/>
  <c r="A1506" i="1"/>
  <c r="B1506" i="1"/>
  <c r="A1507" i="1"/>
  <c r="B1507" i="1"/>
  <c r="A1508" i="1"/>
  <c r="B1508" i="1"/>
  <c r="A1509" i="1"/>
  <c r="B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B1521" i="1"/>
  <c r="A1522" i="1"/>
  <c r="B1522" i="1"/>
  <c r="A1523" i="1"/>
  <c r="B1523" i="1"/>
  <c r="A1524" i="1"/>
  <c r="B1524" i="1"/>
  <c r="A1525" i="1"/>
  <c r="B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B1545" i="1"/>
  <c r="A1546" i="1"/>
  <c r="B1546" i="1"/>
  <c r="A1547" i="1"/>
  <c r="B1547" i="1"/>
  <c r="A1548" i="1"/>
  <c r="B1548" i="1"/>
  <c r="A1549" i="1"/>
  <c r="B1549" i="1"/>
  <c r="A1550" i="1"/>
  <c r="B1550" i="1"/>
  <c r="A1551" i="1"/>
  <c r="B1551" i="1"/>
  <c r="A1552" i="1"/>
  <c r="B1552" i="1"/>
  <c r="A1553" i="1"/>
  <c r="B1553" i="1"/>
  <c r="A1554" i="1"/>
  <c r="B1554" i="1"/>
  <c r="A1555" i="1"/>
  <c r="B1555" i="1"/>
  <c r="A1556" i="1"/>
  <c r="B1556" i="1"/>
  <c r="A1557" i="1"/>
  <c r="B1557" i="1"/>
  <c r="A1558" i="1"/>
  <c r="B1558" i="1"/>
  <c r="A1559" i="1"/>
  <c r="B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B1580" i="1"/>
  <c r="A1581" i="1"/>
  <c r="B1581" i="1"/>
  <c r="A1582" i="1"/>
  <c r="B1582" i="1"/>
  <c r="A1583" i="1"/>
  <c r="B1583" i="1"/>
  <c r="A1584" i="1"/>
  <c r="B1584" i="1"/>
  <c r="A1585" i="1"/>
  <c r="B1585" i="1"/>
  <c r="A1586" i="1"/>
  <c r="B1586" i="1"/>
  <c r="A1587" i="1"/>
  <c r="B1587" i="1"/>
  <c r="A1588" i="1"/>
  <c r="B1588" i="1"/>
  <c r="A1589" i="1"/>
  <c r="B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B1602" i="1"/>
  <c r="A1603" i="1"/>
  <c r="B1603" i="1"/>
  <c r="A1604" i="1"/>
  <c r="B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B1616" i="1"/>
  <c r="A1617" i="1"/>
  <c r="B1617" i="1"/>
  <c r="A1618" i="1"/>
  <c r="B1618" i="1"/>
  <c r="A1619" i="1"/>
  <c r="B1619" i="1"/>
  <c r="A1620" i="1"/>
  <c r="B1620" i="1"/>
  <c r="A1621" i="1"/>
  <c r="B1621" i="1"/>
  <c r="A1622" i="1"/>
  <c r="B1622" i="1"/>
  <c r="A1623" i="1"/>
  <c r="B1623" i="1"/>
  <c r="A1624" i="1"/>
  <c r="B1624" i="1"/>
  <c r="A1625" i="1"/>
  <c r="B1625" i="1"/>
  <c r="A1626" i="1"/>
  <c r="B1626" i="1"/>
  <c r="A1627" i="1"/>
  <c r="B1627" i="1"/>
  <c r="A1628" i="1"/>
  <c r="B1628" i="1"/>
  <c r="A1629" i="1"/>
  <c r="B1629" i="1"/>
  <c r="A1630" i="1"/>
  <c r="B1630" i="1"/>
  <c r="A1631" i="1"/>
  <c r="B1631" i="1"/>
  <c r="A1632" i="1"/>
  <c r="B1632" i="1"/>
  <c r="A1633" i="1"/>
  <c r="B1633" i="1"/>
  <c r="A1634" i="1"/>
  <c r="B1634" i="1"/>
  <c r="A1635" i="1"/>
  <c r="B1635" i="1"/>
  <c r="A1636" i="1"/>
  <c r="B1636" i="1"/>
  <c r="A1637" i="1"/>
  <c r="B1637" i="1"/>
  <c r="A1638" i="1"/>
  <c r="B1638" i="1"/>
  <c r="A1639" i="1"/>
  <c r="B1639" i="1"/>
  <c r="A1640" i="1"/>
  <c r="B1640" i="1"/>
  <c r="A1641" i="1"/>
  <c r="B1641" i="1"/>
  <c r="A1642" i="1"/>
  <c r="B1642" i="1"/>
  <c r="A1643" i="1"/>
  <c r="B1643" i="1"/>
  <c r="A1644" i="1"/>
  <c r="B1644" i="1"/>
  <c r="A1645" i="1"/>
  <c r="B1645" i="1"/>
  <c r="A1646" i="1"/>
  <c r="B1646" i="1"/>
  <c r="A1647" i="1"/>
  <c r="B1647" i="1"/>
  <c r="A1648" i="1"/>
  <c r="B1648" i="1"/>
  <c r="A1649" i="1"/>
  <c r="B1649" i="1"/>
  <c r="A1650" i="1"/>
  <c r="B1650" i="1"/>
  <c r="A1651" i="1"/>
  <c r="B1651" i="1"/>
  <c r="A1652" i="1"/>
  <c r="B1652" i="1"/>
  <c r="A1653" i="1"/>
  <c r="B1653" i="1"/>
  <c r="A1654" i="1"/>
  <c r="B1654" i="1"/>
  <c r="A1655" i="1"/>
  <c r="B1655" i="1"/>
  <c r="A1656" i="1"/>
  <c r="B1656" i="1"/>
  <c r="A1657" i="1"/>
  <c r="B1657" i="1"/>
  <c r="A1658" i="1"/>
  <c r="B1658" i="1"/>
  <c r="A1659" i="1"/>
  <c r="B1659" i="1"/>
  <c r="A1660" i="1"/>
  <c r="B1660" i="1"/>
  <c r="A1661" i="1"/>
  <c r="B1661" i="1"/>
  <c r="A1662" i="1"/>
  <c r="B1662" i="1"/>
  <c r="A1663" i="1"/>
  <c r="B1663" i="1"/>
  <c r="A1664" i="1"/>
  <c r="B1664" i="1"/>
  <c r="A1665" i="1"/>
  <c r="B1665" i="1"/>
  <c r="A1666" i="1"/>
  <c r="B1666" i="1"/>
  <c r="A1667" i="1"/>
  <c r="B1667" i="1"/>
  <c r="A1668" i="1"/>
  <c r="B1668" i="1"/>
  <c r="A1669" i="1"/>
  <c r="B1669" i="1"/>
  <c r="A1670" i="1"/>
  <c r="B1670" i="1"/>
  <c r="A1671" i="1"/>
  <c r="B1671" i="1"/>
  <c r="A1672" i="1"/>
  <c r="B1672" i="1"/>
  <c r="A1673" i="1"/>
  <c r="B1673" i="1"/>
  <c r="A1674" i="1"/>
  <c r="B1674" i="1"/>
  <c r="A1675" i="1"/>
  <c r="B1675" i="1"/>
  <c r="A1676" i="1"/>
  <c r="B1676" i="1"/>
  <c r="A1677" i="1"/>
  <c r="B1677" i="1"/>
  <c r="A1678" i="1"/>
  <c r="B1678" i="1"/>
  <c r="A1679" i="1"/>
  <c r="B1679" i="1"/>
  <c r="A1680" i="1"/>
  <c r="B1680" i="1"/>
  <c r="A1681" i="1"/>
  <c r="B1681" i="1"/>
  <c r="A1682" i="1"/>
  <c r="B1682" i="1"/>
  <c r="A1683" i="1"/>
  <c r="B1683" i="1"/>
  <c r="A1684" i="1"/>
  <c r="B1684" i="1"/>
  <c r="A1685" i="1"/>
  <c r="B1685" i="1"/>
  <c r="A1686" i="1"/>
  <c r="B1686" i="1"/>
  <c r="A1687" i="1"/>
  <c r="B1687" i="1"/>
  <c r="A1688" i="1"/>
  <c r="B1688" i="1"/>
  <c r="A1689" i="1"/>
  <c r="B1689" i="1"/>
  <c r="A1690" i="1"/>
  <c r="B1690" i="1"/>
  <c r="A1691" i="1"/>
  <c r="B1691" i="1"/>
  <c r="A1692" i="1"/>
  <c r="B1692" i="1"/>
  <c r="A1693" i="1"/>
  <c r="B1693" i="1"/>
  <c r="A1694" i="1"/>
  <c r="B1694" i="1"/>
  <c r="A1695" i="1"/>
  <c r="B1695" i="1"/>
  <c r="A1696" i="1"/>
  <c r="B1696" i="1"/>
  <c r="A1697" i="1"/>
  <c r="B1697" i="1"/>
  <c r="A1698" i="1"/>
  <c r="B1698" i="1"/>
  <c r="A1699" i="1"/>
  <c r="B1699" i="1"/>
  <c r="A1700" i="1"/>
  <c r="B1700" i="1"/>
  <c r="A1701" i="1"/>
  <c r="B1701" i="1"/>
  <c r="A1702" i="1"/>
  <c r="B1702" i="1"/>
  <c r="A1703" i="1"/>
  <c r="B1703" i="1"/>
  <c r="A1704" i="1"/>
  <c r="B1704" i="1"/>
  <c r="A1705" i="1"/>
  <c r="B1705" i="1"/>
  <c r="A1706" i="1"/>
  <c r="B1706" i="1"/>
  <c r="A1707" i="1"/>
  <c r="B1707" i="1"/>
  <c r="A1708" i="1"/>
  <c r="B1708" i="1"/>
  <c r="A1709" i="1"/>
  <c r="B1709" i="1"/>
  <c r="A1710" i="1"/>
  <c r="B1710" i="1"/>
  <c r="A1711" i="1"/>
  <c r="B1711" i="1"/>
  <c r="A1712" i="1"/>
  <c r="B1712" i="1"/>
  <c r="A1713" i="1"/>
  <c r="B1713" i="1"/>
  <c r="A1714" i="1"/>
  <c r="B1714" i="1"/>
  <c r="A1715" i="1"/>
  <c r="B1715" i="1"/>
  <c r="A1716" i="1"/>
  <c r="B1716" i="1"/>
  <c r="A1717" i="1"/>
  <c r="B1717" i="1"/>
  <c r="A1718" i="1"/>
  <c r="B1718" i="1"/>
  <c r="A1719" i="1"/>
  <c r="B1719" i="1"/>
  <c r="A1720" i="1"/>
  <c r="B1720" i="1"/>
  <c r="A1721" i="1"/>
  <c r="B1721" i="1"/>
  <c r="A1722" i="1"/>
  <c r="B1722" i="1"/>
  <c r="A1723" i="1"/>
  <c r="B1723" i="1"/>
  <c r="A1724" i="1"/>
  <c r="B1724" i="1"/>
  <c r="A1725" i="1"/>
  <c r="B1725" i="1"/>
  <c r="A1726" i="1"/>
  <c r="B1726" i="1"/>
  <c r="A1727" i="1"/>
  <c r="B1727" i="1"/>
  <c r="A1728" i="1"/>
  <c r="B1728" i="1"/>
  <c r="A1729" i="1"/>
  <c r="B1729" i="1"/>
  <c r="A1730" i="1"/>
  <c r="B1730" i="1"/>
  <c r="A1731" i="1"/>
  <c r="B1731" i="1"/>
  <c r="A1732" i="1"/>
  <c r="B1732" i="1"/>
  <c r="A1733" i="1"/>
  <c r="B1733" i="1"/>
  <c r="A1734" i="1"/>
  <c r="B1734" i="1"/>
  <c r="A1735" i="1"/>
  <c r="B1735" i="1"/>
  <c r="A1736" i="1"/>
  <c r="B1736" i="1"/>
  <c r="A1737" i="1"/>
  <c r="B1737" i="1"/>
  <c r="A1738" i="1"/>
  <c r="B1738" i="1"/>
  <c r="A1739" i="1"/>
  <c r="B1739" i="1"/>
  <c r="A1740" i="1"/>
  <c r="B1740" i="1"/>
  <c r="A1741" i="1"/>
  <c r="B1741" i="1"/>
  <c r="A1742" i="1"/>
  <c r="B1742" i="1"/>
  <c r="A1743" i="1"/>
  <c r="B1743" i="1"/>
  <c r="A1744" i="1"/>
  <c r="B1744" i="1"/>
  <c r="A1745" i="1"/>
  <c r="B1745" i="1"/>
  <c r="A1746" i="1"/>
  <c r="B1746" i="1"/>
  <c r="A1747" i="1"/>
  <c r="B1747" i="1"/>
  <c r="A1748" i="1"/>
  <c r="B1748" i="1"/>
  <c r="A1749" i="1"/>
  <c r="B1749" i="1"/>
  <c r="A1750" i="1"/>
  <c r="B1750" i="1"/>
  <c r="A1751" i="1"/>
  <c r="B1751" i="1"/>
  <c r="A1752" i="1"/>
  <c r="B1752" i="1"/>
  <c r="A1753" i="1"/>
  <c r="B1753" i="1"/>
  <c r="A1754" i="1"/>
  <c r="B1754" i="1"/>
  <c r="A1755" i="1"/>
  <c r="B1755" i="1"/>
  <c r="A1756" i="1"/>
  <c r="B1756" i="1"/>
  <c r="A1757" i="1"/>
  <c r="B1757" i="1"/>
  <c r="A1758" i="1"/>
  <c r="B1758" i="1"/>
  <c r="A1759" i="1"/>
  <c r="B1759" i="1"/>
  <c r="A1760" i="1"/>
  <c r="B1760" i="1"/>
  <c r="A1761" i="1"/>
  <c r="B1761" i="1"/>
  <c r="A1762" i="1"/>
  <c r="B1762" i="1"/>
  <c r="A1763" i="1"/>
  <c r="B1763" i="1"/>
  <c r="A1764" i="1"/>
  <c r="B1764" i="1"/>
  <c r="A1765" i="1"/>
  <c r="B1765" i="1"/>
  <c r="A1766" i="1"/>
  <c r="B1766" i="1"/>
  <c r="A1767" i="1"/>
  <c r="B1767" i="1"/>
  <c r="A1768" i="1"/>
  <c r="B1768" i="1"/>
  <c r="A1769" i="1"/>
  <c r="B1769" i="1"/>
  <c r="A1770" i="1"/>
  <c r="B1770" i="1"/>
  <c r="A1771" i="1"/>
  <c r="B1771" i="1"/>
  <c r="A1772" i="1"/>
  <c r="B1772" i="1"/>
  <c r="A1773" i="1"/>
  <c r="B1773" i="1"/>
  <c r="A1774" i="1"/>
  <c r="B1774" i="1"/>
  <c r="A1775" i="1"/>
  <c r="B1775" i="1"/>
  <c r="A1776" i="1"/>
  <c r="B1776" i="1"/>
  <c r="A1777" i="1"/>
  <c r="B1777" i="1"/>
  <c r="A1778" i="1"/>
  <c r="B1778" i="1"/>
  <c r="A1779" i="1"/>
  <c r="B1779" i="1"/>
  <c r="A1780" i="1"/>
  <c r="B1780" i="1"/>
  <c r="A1781" i="1"/>
  <c r="B1781" i="1"/>
  <c r="A1782" i="1"/>
  <c r="B1782" i="1"/>
  <c r="A1783" i="1"/>
  <c r="B1783" i="1"/>
  <c r="A1784" i="1"/>
  <c r="B1784" i="1"/>
  <c r="A1785" i="1"/>
  <c r="B1785" i="1"/>
  <c r="A1786" i="1"/>
  <c r="B1786" i="1"/>
  <c r="A1787" i="1"/>
  <c r="B1787" i="1"/>
  <c r="A1788" i="1"/>
  <c r="B1788" i="1"/>
  <c r="A1789" i="1"/>
  <c r="B1789" i="1"/>
  <c r="A1790" i="1"/>
  <c r="B1790" i="1"/>
  <c r="A1791" i="1"/>
  <c r="B1791" i="1"/>
  <c r="A1792" i="1"/>
  <c r="B1792" i="1"/>
  <c r="A1793" i="1"/>
  <c r="B1793" i="1"/>
  <c r="A1794" i="1"/>
  <c r="B1794" i="1"/>
  <c r="A1795" i="1"/>
  <c r="B1795" i="1"/>
  <c r="A1796" i="1"/>
  <c r="B1796" i="1"/>
  <c r="A1797" i="1"/>
  <c r="B1797" i="1"/>
  <c r="A1798" i="1"/>
  <c r="B1798" i="1"/>
  <c r="A1799" i="1"/>
  <c r="B1799" i="1"/>
  <c r="A1800" i="1"/>
  <c r="B1800" i="1"/>
  <c r="A1801" i="1"/>
  <c r="B1801" i="1"/>
  <c r="A1802" i="1"/>
  <c r="B1802" i="1"/>
  <c r="A1803" i="1"/>
  <c r="B1803" i="1"/>
  <c r="A1804" i="1"/>
  <c r="B1804" i="1"/>
  <c r="A1805" i="1"/>
  <c r="B1805" i="1"/>
  <c r="A1806" i="1"/>
  <c r="B1806" i="1"/>
  <c r="A1807" i="1"/>
  <c r="B1807" i="1"/>
  <c r="A1808" i="1"/>
  <c r="B1808" i="1"/>
  <c r="A1809" i="1"/>
  <c r="B1809" i="1"/>
  <c r="A1810" i="1"/>
  <c r="B1810" i="1"/>
  <c r="A1811" i="1"/>
  <c r="B1811" i="1"/>
  <c r="A1812" i="1"/>
  <c r="B1812" i="1"/>
  <c r="A1813" i="1"/>
  <c r="B1813" i="1"/>
  <c r="A1814" i="1"/>
  <c r="B1814" i="1"/>
  <c r="A1815" i="1"/>
  <c r="B1815" i="1"/>
  <c r="A1816" i="1"/>
  <c r="B1816" i="1"/>
  <c r="A1817" i="1"/>
  <c r="B1817" i="1"/>
  <c r="A1818" i="1"/>
  <c r="B1818" i="1"/>
  <c r="A1819" i="1"/>
  <c r="B1819" i="1"/>
  <c r="A1820" i="1"/>
  <c r="B1820" i="1"/>
  <c r="A1821" i="1"/>
  <c r="B1821" i="1"/>
  <c r="A1822" i="1"/>
  <c r="B1822" i="1"/>
  <c r="A1823" i="1"/>
  <c r="B1823" i="1"/>
  <c r="A1824" i="1"/>
  <c r="B1824" i="1"/>
  <c r="A1825" i="1"/>
  <c r="B1825" i="1"/>
  <c r="A1826" i="1"/>
  <c r="B1826" i="1"/>
  <c r="A1827" i="1"/>
  <c r="B1827" i="1"/>
  <c r="A1828" i="1"/>
  <c r="B1828" i="1"/>
  <c r="A1829" i="1"/>
  <c r="B1829" i="1"/>
  <c r="A1830" i="1"/>
  <c r="B1830" i="1"/>
  <c r="A1831" i="1"/>
  <c r="B1831" i="1"/>
  <c r="A1832" i="1"/>
  <c r="B1832" i="1"/>
  <c r="A1833" i="1"/>
  <c r="B1833" i="1"/>
  <c r="A1834" i="1"/>
  <c r="B1834" i="1"/>
  <c r="A1835" i="1"/>
  <c r="B1835" i="1"/>
  <c r="A1836" i="1"/>
  <c r="B1836" i="1"/>
  <c r="A1837" i="1"/>
  <c r="B1837" i="1"/>
  <c r="A1838" i="1"/>
  <c r="B1838" i="1"/>
  <c r="A1839" i="1"/>
  <c r="B1839" i="1"/>
  <c r="A1840" i="1"/>
  <c r="B1840" i="1"/>
  <c r="A1841" i="1"/>
  <c r="B1841" i="1"/>
  <c r="A1842" i="1"/>
  <c r="B1842" i="1"/>
  <c r="A1843" i="1"/>
  <c r="B1843" i="1"/>
  <c r="A1844" i="1"/>
  <c r="B1844" i="1"/>
  <c r="A1845" i="1"/>
  <c r="B1845" i="1"/>
  <c r="A1846" i="1"/>
  <c r="B1846" i="1"/>
  <c r="A1847" i="1"/>
  <c r="B1847" i="1"/>
  <c r="A1848" i="1"/>
  <c r="B1848" i="1"/>
  <c r="A1849" i="1"/>
  <c r="B1849" i="1"/>
  <c r="A1850" i="1"/>
  <c r="B1850" i="1"/>
  <c r="A1851" i="1"/>
  <c r="B1851" i="1"/>
  <c r="A1852" i="1"/>
  <c r="B1852" i="1"/>
  <c r="A1853" i="1"/>
  <c r="B1853" i="1"/>
  <c r="A1854" i="1"/>
  <c r="B1854" i="1"/>
  <c r="A1855" i="1"/>
  <c r="B1855" i="1"/>
  <c r="A1856" i="1"/>
  <c r="B1856" i="1"/>
  <c r="A1857" i="1"/>
  <c r="B1857" i="1"/>
  <c r="A1858" i="1"/>
  <c r="B1858" i="1"/>
  <c r="A1859" i="1"/>
  <c r="B1859" i="1"/>
  <c r="A1860" i="1"/>
  <c r="B1860" i="1"/>
  <c r="A1861" i="1"/>
  <c r="B1861" i="1"/>
  <c r="A1862" i="1"/>
  <c r="B1862" i="1"/>
  <c r="A1863" i="1"/>
  <c r="B1863" i="1"/>
  <c r="A1864" i="1"/>
  <c r="B1864" i="1"/>
  <c r="A1865" i="1"/>
  <c r="B1865" i="1"/>
  <c r="A1866" i="1"/>
  <c r="B1866" i="1"/>
  <c r="A1867" i="1"/>
  <c r="B1867" i="1"/>
  <c r="A1868" i="1"/>
  <c r="B1868" i="1"/>
  <c r="A1869" i="1"/>
  <c r="B1869" i="1"/>
  <c r="A1870" i="1"/>
  <c r="B1870" i="1"/>
  <c r="A1871" i="1"/>
  <c r="B1871" i="1"/>
  <c r="A1872" i="1"/>
  <c r="B1872" i="1"/>
  <c r="A1873" i="1"/>
  <c r="B1873" i="1"/>
  <c r="A1874" i="1"/>
  <c r="B1874" i="1"/>
  <c r="A1875" i="1"/>
  <c r="B1875" i="1"/>
  <c r="A1876" i="1"/>
  <c r="B1876" i="1"/>
  <c r="A1877" i="1"/>
  <c r="B1877" i="1"/>
  <c r="A1878" i="1"/>
  <c r="B1878" i="1"/>
  <c r="A1879" i="1"/>
  <c r="B1879" i="1"/>
  <c r="A1880" i="1"/>
  <c r="B1880" i="1"/>
  <c r="A1881" i="1"/>
  <c r="B1881" i="1"/>
  <c r="A1882" i="1"/>
  <c r="B1882" i="1"/>
  <c r="A1883" i="1"/>
  <c r="B1883" i="1"/>
  <c r="A1884" i="1"/>
  <c r="B1884" i="1"/>
  <c r="A1885" i="1"/>
  <c r="B1885" i="1"/>
  <c r="A1886" i="1"/>
  <c r="B1886" i="1"/>
  <c r="A1887" i="1"/>
  <c r="B1887" i="1"/>
  <c r="A1888" i="1"/>
  <c r="B1888" i="1"/>
  <c r="A1889" i="1"/>
  <c r="B1889" i="1"/>
  <c r="A1890" i="1"/>
  <c r="B1890" i="1"/>
  <c r="A1891" i="1"/>
  <c r="B1891" i="1"/>
  <c r="A1892" i="1"/>
  <c r="B1892" i="1"/>
  <c r="A1893" i="1"/>
  <c r="B1893" i="1"/>
  <c r="A1894" i="1"/>
  <c r="B1894" i="1"/>
  <c r="A1895" i="1"/>
  <c r="B1895" i="1"/>
  <c r="A1896" i="1"/>
  <c r="B1896" i="1"/>
  <c r="A1897" i="1"/>
  <c r="B1897" i="1"/>
  <c r="A1898" i="1"/>
  <c r="B1898" i="1"/>
  <c r="A1899" i="1"/>
  <c r="B1899" i="1"/>
  <c r="A1900" i="1"/>
  <c r="B1900" i="1"/>
  <c r="A1901" i="1"/>
  <c r="B1901" i="1"/>
  <c r="A1902" i="1"/>
  <c r="B1902" i="1"/>
  <c r="A1903" i="1"/>
  <c r="B1903" i="1"/>
  <c r="A1904" i="1"/>
  <c r="B1904" i="1"/>
  <c r="A1905" i="1"/>
  <c r="B1905" i="1"/>
  <c r="A1906" i="1"/>
  <c r="B1906" i="1"/>
  <c r="A1907" i="1"/>
  <c r="B1907" i="1"/>
  <c r="A1908" i="1"/>
  <c r="B1908" i="1"/>
  <c r="A1909" i="1"/>
  <c r="B1909" i="1"/>
  <c r="A1910" i="1"/>
  <c r="B1910" i="1"/>
  <c r="A1911" i="1"/>
  <c r="B1911" i="1"/>
  <c r="A1912" i="1"/>
  <c r="B1912" i="1"/>
  <c r="A1913" i="1"/>
  <c r="B1913" i="1"/>
  <c r="A1914" i="1"/>
  <c r="B1914" i="1"/>
  <c r="A1915" i="1"/>
  <c r="B1915" i="1"/>
  <c r="A1916" i="1"/>
  <c r="B1916" i="1"/>
  <c r="A1917" i="1"/>
  <c r="B1917" i="1"/>
  <c r="A1918" i="1"/>
  <c r="B1918" i="1"/>
  <c r="A1919" i="1"/>
  <c r="B1919" i="1"/>
  <c r="A1920" i="1"/>
  <c r="B1920" i="1"/>
  <c r="A1921" i="1"/>
  <c r="B1921" i="1"/>
  <c r="A1922" i="1"/>
  <c r="B1922" i="1"/>
  <c r="A1923" i="1"/>
  <c r="B1923" i="1"/>
  <c r="A1924" i="1"/>
  <c r="B1924" i="1"/>
  <c r="A1925" i="1"/>
  <c r="B1925" i="1"/>
  <c r="A1926" i="1"/>
  <c r="B1926" i="1"/>
  <c r="A1927" i="1"/>
  <c r="B1927" i="1"/>
  <c r="A1928" i="1"/>
  <c r="B1928" i="1"/>
  <c r="A1929" i="1"/>
  <c r="B1929" i="1"/>
  <c r="A1930" i="1"/>
  <c r="B1930" i="1"/>
  <c r="A1931" i="1"/>
  <c r="B1931" i="1"/>
  <c r="A1932" i="1"/>
  <c r="B1932" i="1"/>
  <c r="A1933" i="1"/>
  <c r="B1933" i="1"/>
  <c r="A1934" i="1"/>
  <c r="B1934" i="1"/>
  <c r="A1935" i="1"/>
  <c r="B1935" i="1"/>
  <c r="A1936" i="1"/>
  <c r="B1936" i="1"/>
  <c r="A1937" i="1"/>
  <c r="B1937" i="1"/>
  <c r="A1938" i="1"/>
  <c r="B1938" i="1"/>
  <c r="A1939" i="1"/>
  <c r="B1939" i="1"/>
  <c r="A1940" i="1"/>
  <c r="B1940" i="1"/>
  <c r="A1941" i="1"/>
  <c r="B1941" i="1"/>
  <c r="A1942" i="1"/>
  <c r="B1942" i="1"/>
  <c r="A1943" i="1"/>
  <c r="B1943" i="1"/>
  <c r="A1944" i="1"/>
  <c r="B1944" i="1"/>
  <c r="A1945" i="1"/>
  <c r="B1945" i="1"/>
  <c r="A1946" i="1"/>
  <c r="B1946" i="1"/>
  <c r="A1947" i="1"/>
  <c r="B1947" i="1"/>
  <c r="A1948" i="1"/>
  <c r="B1948" i="1"/>
  <c r="A1949" i="1"/>
  <c r="B1949" i="1"/>
  <c r="A1950" i="1"/>
  <c r="B1950" i="1"/>
  <c r="A1951" i="1"/>
  <c r="B1951" i="1"/>
  <c r="A1952" i="1"/>
  <c r="B1952" i="1"/>
  <c r="A1953" i="1"/>
  <c r="B1953" i="1"/>
  <c r="A1954" i="1"/>
  <c r="B1954" i="1"/>
  <c r="A1955" i="1"/>
  <c r="B1955" i="1"/>
  <c r="A1956" i="1"/>
  <c r="B1956" i="1"/>
  <c r="A1957" i="1"/>
  <c r="B1957" i="1"/>
  <c r="A1958" i="1"/>
  <c r="B1958" i="1"/>
  <c r="A1959" i="1"/>
  <c r="B1959" i="1"/>
  <c r="A1960" i="1"/>
  <c r="B1960" i="1"/>
  <c r="A1961" i="1"/>
  <c r="B1961" i="1"/>
  <c r="A1962" i="1"/>
  <c r="B1962" i="1"/>
  <c r="A1963" i="1"/>
  <c r="B1963" i="1"/>
  <c r="A1964" i="1"/>
  <c r="B1964" i="1"/>
  <c r="A1965" i="1"/>
  <c r="B1965" i="1"/>
  <c r="A1966" i="1"/>
  <c r="B1966" i="1"/>
  <c r="A1967" i="1"/>
  <c r="B1967" i="1"/>
  <c r="A1968" i="1"/>
  <c r="B1968" i="1"/>
  <c r="A1969" i="1"/>
  <c r="B1969" i="1"/>
  <c r="A1970" i="1"/>
  <c r="B1970" i="1"/>
  <c r="A1971" i="1"/>
  <c r="B1971" i="1"/>
  <c r="A1972" i="1"/>
  <c r="B1972" i="1"/>
  <c r="A1973" i="1"/>
  <c r="B1973" i="1"/>
  <c r="A1974" i="1"/>
  <c r="B1974" i="1"/>
  <c r="A1975" i="1"/>
  <c r="B1975" i="1"/>
  <c r="A1976" i="1"/>
  <c r="B1976" i="1"/>
  <c r="A1977" i="1"/>
  <c r="B1977" i="1"/>
  <c r="A1978" i="1"/>
  <c r="B1978" i="1"/>
  <c r="A1979" i="1"/>
  <c r="B1979" i="1"/>
  <c r="A1980" i="1"/>
  <c r="B1980" i="1"/>
  <c r="A1981" i="1"/>
  <c r="B1981" i="1"/>
  <c r="A1982" i="1"/>
  <c r="B1982" i="1"/>
  <c r="A1983" i="1"/>
  <c r="B1983" i="1"/>
  <c r="A1984" i="1"/>
  <c r="B1984" i="1"/>
  <c r="A1985" i="1"/>
  <c r="B1985" i="1"/>
  <c r="A1986" i="1"/>
  <c r="B1986" i="1"/>
  <c r="A1987" i="1"/>
  <c r="B1987" i="1"/>
  <c r="A1988" i="1"/>
  <c r="B1988" i="1"/>
  <c r="A1989" i="1"/>
  <c r="B1989" i="1"/>
  <c r="A1990" i="1"/>
  <c r="B1990" i="1"/>
  <c r="A1991" i="1"/>
  <c r="B1991" i="1"/>
  <c r="A1992" i="1"/>
  <c r="B1992" i="1"/>
  <c r="A1993" i="1"/>
  <c r="B1993" i="1"/>
  <c r="A1994" i="1"/>
  <c r="B1994" i="1"/>
  <c r="A1995" i="1"/>
  <c r="B1995" i="1"/>
  <c r="A1996" i="1"/>
  <c r="B1996" i="1"/>
  <c r="A1997" i="1"/>
  <c r="B1997" i="1"/>
  <c r="A1998" i="1"/>
  <c r="B1998" i="1"/>
  <c r="A1999" i="1"/>
  <c r="B1999" i="1"/>
  <c r="A2000" i="1"/>
  <c r="B2000" i="1"/>
  <c r="A2001" i="1"/>
  <c r="B2001" i="1"/>
  <c r="A2002" i="1"/>
  <c r="B2002" i="1"/>
  <c r="A2003" i="1"/>
  <c r="B2003" i="1"/>
  <c r="A2004" i="1"/>
  <c r="B2004" i="1"/>
  <c r="A2005" i="1"/>
  <c r="B2005" i="1"/>
  <c r="A2006" i="1"/>
  <c r="B2006" i="1"/>
  <c r="A2007" i="1"/>
  <c r="B2007" i="1"/>
  <c r="A2008" i="1"/>
  <c r="B2008" i="1"/>
  <c r="A2009" i="1"/>
  <c r="B2009" i="1"/>
  <c r="A2010" i="1"/>
  <c r="B2010" i="1"/>
  <c r="A2011" i="1"/>
  <c r="B2011" i="1"/>
  <c r="A2012" i="1"/>
  <c r="B2012" i="1"/>
  <c r="A2013" i="1"/>
  <c r="B2013" i="1"/>
  <c r="A2014" i="1"/>
  <c r="B2014" i="1"/>
  <c r="A2015" i="1"/>
  <c r="B2015" i="1"/>
  <c r="A2016" i="1"/>
  <c r="B2016" i="1"/>
  <c r="A2017" i="1"/>
  <c r="B2017" i="1"/>
  <c r="A2018" i="1"/>
  <c r="B2018" i="1"/>
  <c r="A2019" i="1"/>
  <c r="B2019" i="1"/>
  <c r="A2020" i="1"/>
  <c r="B2020" i="1"/>
  <c r="A2021" i="1"/>
  <c r="B2021" i="1"/>
  <c r="A2022" i="1"/>
  <c r="B2022" i="1"/>
  <c r="A2023" i="1"/>
  <c r="B2023" i="1"/>
  <c r="A2024" i="1"/>
  <c r="B2024" i="1"/>
  <c r="A2025" i="1"/>
  <c r="B2025" i="1"/>
  <c r="A2026" i="1"/>
  <c r="B2026" i="1"/>
  <c r="A2027" i="1"/>
  <c r="B2027" i="1"/>
  <c r="A2028" i="1"/>
  <c r="B2028" i="1"/>
  <c r="A2029" i="1"/>
  <c r="B2029" i="1"/>
  <c r="A2030" i="1"/>
  <c r="B2030" i="1"/>
  <c r="A2031" i="1"/>
  <c r="B2031" i="1"/>
  <c r="A2032" i="1"/>
  <c r="B2032" i="1"/>
  <c r="A2033" i="1"/>
  <c r="B2033" i="1"/>
  <c r="A2034" i="1"/>
  <c r="B2034" i="1"/>
  <c r="A2035" i="1"/>
  <c r="B2035" i="1"/>
  <c r="A2036" i="1"/>
  <c r="B2036" i="1"/>
  <c r="A2037" i="1"/>
  <c r="B2037" i="1"/>
  <c r="A2038" i="1"/>
  <c r="B2038" i="1"/>
  <c r="A2039" i="1"/>
  <c r="B2039" i="1"/>
  <c r="A2040" i="1"/>
  <c r="B2040" i="1"/>
  <c r="A2041" i="1"/>
  <c r="B2041" i="1"/>
  <c r="A2042" i="1"/>
  <c r="B2042" i="1"/>
  <c r="A2043" i="1"/>
  <c r="B2043" i="1"/>
  <c r="A2044" i="1"/>
  <c r="B2044" i="1"/>
  <c r="A2045" i="1"/>
  <c r="B2045" i="1"/>
  <c r="A2046" i="1"/>
  <c r="B2046" i="1"/>
  <c r="A2047" i="1"/>
  <c r="B2047" i="1"/>
  <c r="A2048" i="1"/>
  <c r="B2048" i="1"/>
  <c r="A2049" i="1"/>
  <c r="B2049" i="1"/>
  <c r="A2050" i="1"/>
  <c r="B2050" i="1"/>
  <c r="A2051" i="1"/>
  <c r="B2051" i="1"/>
  <c r="A2052" i="1"/>
  <c r="B2052" i="1"/>
  <c r="A2053" i="1"/>
  <c r="B2053" i="1"/>
  <c r="A2054" i="1"/>
  <c r="B2054" i="1"/>
  <c r="A2055" i="1"/>
  <c r="B2055" i="1"/>
  <c r="A2056" i="1"/>
  <c r="B2056" i="1"/>
  <c r="A2057" i="1"/>
  <c r="B2057" i="1"/>
  <c r="A2058" i="1"/>
  <c r="B2058" i="1"/>
  <c r="A2059" i="1"/>
  <c r="B2059" i="1"/>
  <c r="A2060" i="1"/>
  <c r="B2060" i="1"/>
  <c r="A2061" i="1"/>
  <c r="B2061" i="1"/>
  <c r="A2062" i="1"/>
  <c r="B2062" i="1"/>
  <c r="A2063" i="1"/>
  <c r="B2063" i="1"/>
  <c r="A2064" i="1"/>
  <c r="B2064" i="1"/>
  <c r="A2065" i="1"/>
  <c r="B2065" i="1"/>
  <c r="A2066" i="1"/>
  <c r="B2066" i="1"/>
  <c r="A2067" i="1"/>
  <c r="B2067" i="1"/>
  <c r="A2068" i="1"/>
  <c r="B2068" i="1"/>
  <c r="A2069" i="1"/>
  <c r="B2069" i="1"/>
  <c r="A2070" i="1"/>
  <c r="B2070" i="1"/>
  <c r="A2071" i="1"/>
  <c r="B2071" i="1"/>
  <c r="A2072" i="1"/>
  <c r="B2072" i="1"/>
  <c r="A2073" i="1"/>
  <c r="B2073" i="1"/>
  <c r="A2074" i="1"/>
  <c r="B2074" i="1"/>
  <c r="A2075" i="1"/>
  <c r="B2075" i="1"/>
  <c r="A2076" i="1"/>
  <c r="B2076" i="1"/>
  <c r="A2077" i="1"/>
  <c r="B2077" i="1"/>
  <c r="A2078" i="1"/>
  <c r="B2078" i="1"/>
  <c r="A2079" i="1"/>
  <c r="B2079" i="1"/>
  <c r="A2080" i="1"/>
  <c r="B2080" i="1"/>
  <c r="A2081" i="1"/>
  <c r="B2081" i="1"/>
  <c r="A2082" i="1"/>
  <c r="B2082" i="1"/>
  <c r="A2083" i="1"/>
  <c r="B2083" i="1"/>
  <c r="A2084" i="1"/>
  <c r="B2084" i="1"/>
  <c r="A2085" i="1"/>
  <c r="B2085" i="1"/>
  <c r="A2086" i="1"/>
  <c r="B2086" i="1"/>
  <c r="A2087" i="1"/>
  <c r="B2087" i="1"/>
  <c r="A2088" i="1"/>
  <c r="B2088" i="1"/>
  <c r="A2089" i="1"/>
  <c r="B2089" i="1"/>
  <c r="A2090" i="1"/>
  <c r="B2090" i="1"/>
  <c r="A2091" i="1"/>
  <c r="B2091" i="1"/>
  <c r="A2092" i="1"/>
  <c r="B2092" i="1"/>
  <c r="A2093" i="1"/>
  <c r="B2093" i="1"/>
  <c r="A2094" i="1"/>
  <c r="B2094" i="1"/>
  <c r="A2095" i="1"/>
  <c r="B2095" i="1"/>
  <c r="A2096" i="1"/>
  <c r="B2096" i="1"/>
  <c r="A2097" i="1"/>
  <c r="B2097" i="1"/>
  <c r="A2098" i="1"/>
  <c r="B2098" i="1"/>
  <c r="A2099" i="1"/>
  <c r="B2099" i="1"/>
  <c r="A2100" i="1"/>
  <c r="B2100" i="1"/>
  <c r="A2101" i="1"/>
  <c r="B2101" i="1"/>
  <c r="A2102" i="1"/>
  <c r="B2102" i="1"/>
  <c r="A2103" i="1"/>
  <c r="B2103" i="1"/>
  <c r="A2104" i="1"/>
  <c r="B2104" i="1"/>
  <c r="A2105" i="1"/>
  <c r="B2105" i="1"/>
  <c r="A2106" i="1"/>
  <c r="B2106" i="1"/>
  <c r="A2107" i="1"/>
  <c r="B2107" i="1"/>
  <c r="A2108" i="1"/>
  <c r="B2108" i="1"/>
  <c r="A2109" i="1"/>
  <c r="B2109" i="1"/>
  <c r="A2110" i="1"/>
  <c r="B2110" i="1"/>
  <c r="A2111" i="1"/>
  <c r="B2111" i="1"/>
  <c r="A2112" i="1"/>
  <c r="B2112" i="1"/>
  <c r="A2113" i="1"/>
  <c r="B2113" i="1"/>
  <c r="A2114" i="1"/>
  <c r="B2114" i="1"/>
  <c r="A2115" i="1"/>
  <c r="B2115" i="1"/>
  <c r="A2116" i="1"/>
  <c r="B2116" i="1"/>
  <c r="A2117" i="1"/>
  <c r="B2117" i="1"/>
  <c r="A2118" i="1"/>
  <c r="B2118" i="1"/>
  <c r="A2119" i="1"/>
  <c r="B2119" i="1"/>
  <c r="A2120" i="1"/>
  <c r="B2120" i="1"/>
  <c r="A2121" i="1"/>
  <c r="B2121" i="1"/>
  <c r="A2122" i="1"/>
  <c r="B2122" i="1"/>
  <c r="A2123" i="1"/>
  <c r="B2123" i="1"/>
  <c r="A2124" i="1"/>
  <c r="B2124" i="1"/>
  <c r="A2125" i="1"/>
  <c r="B2125" i="1"/>
  <c r="A2126" i="1"/>
  <c r="B2126" i="1"/>
  <c r="A2127" i="1"/>
  <c r="B2127" i="1"/>
  <c r="A2128" i="1"/>
  <c r="B2128" i="1"/>
  <c r="A2129" i="1"/>
  <c r="B2129" i="1"/>
  <c r="A2130" i="1"/>
  <c r="B2130" i="1"/>
  <c r="A2131" i="1"/>
  <c r="B2131" i="1"/>
  <c r="A2132" i="1"/>
  <c r="B2132" i="1"/>
  <c r="A2133" i="1"/>
  <c r="B2133" i="1"/>
  <c r="A2134" i="1"/>
  <c r="B2134" i="1"/>
  <c r="A2135" i="1"/>
  <c r="B2135" i="1"/>
  <c r="A2136" i="1"/>
  <c r="B2136" i="1"/>
  <c r="A2137" i="1"/>
  <c r="B2137" i="1"/>
  <c r="A2138" i="1"/>
  <c r="B2138" i="1"/>
  <c r="A2139" i="1"/>
  <c r="B2139" i="1"/>
  <c r="A2140" i="1"/>
  <c r="B2140" i="1"/>
  <c r="A2141" i="1"/>
  <c r="B2141" i="1"/>
  <c r="A2142" i="1"/>
  <c r="B2142" i="1"/>
  <c r="A2143" i="1"/>
  <c r="B2143" i="1"/>
  <c r="A2144" i="1"/>
  <c r="B2144" i="1"/>
  <c r="A2145" i="1"/>
  <c r="B2145" i="1"/>
  <c r="A2146" i="1"/>
  <c r="B2146" i="1"/>
  <c r="A2147" i="1"/>
  <c r="B2147" i="1"/>
  <c r="A2148" i="1"/>
  <c r="B2148" i="1"/>
  <c r="A2149" i="1"/>
  <c r="B2149" i="1"/>
  <c r="A2150" i="1"/>
  <c r="B2150" i="1"/>
  <c r="A2151" i="1"/>
  <c r="B2151" i="1"/>
  <c r="A2152" i="1"/>
  <c r="B2152" i="1"/>
  <c r="A2153" i="1"/>
  <c r="B2153" i="1"/>
  <c r="A2154" i="1"/>
  <c r="B2154" i="1"/>
  <c r="A2155" i="1"/>
  <c r="B2155" i="1"/>
  <c r="A2156" i="1"/>
  <c r="B2156" i="1"/>
  <c r="A2157" i="1"/>
  <c r="B2157" i="1"/>
  <c r="A2158" i="1"/>
  <c r="B2158" i="1"/>
  <c r="A2159" i="1"/>
  <c r="B2159" i="1"/>
  <c r="A2160" i="1"/>
  <c r="B2160" i="1"/>
  <c r="A2161" i="1"/>
  <c r="B2161" i="1"/>
  <c r="A2162" i="1"/>
  <c r="B2162" i="1"/>
  <c r="A2163" i="1"/>
  <c r="B2163" i="1"/>
  <c r="A2164" i="1"/>
  <c r="B2164" i="1"/>
  <c r="A2165" i="1"/>
  <c r="B2165" i="1"/>
  <c r="A2166" i="1"/>
  <c r="B2166" i="1"/>
  <c r="A2167" i="1"/>
  <c r="B2167" i="1"/>
  <c r="A2168" i="1"/>
  <c r="B2168" i="1"/>
  <c r="A2169" i="1"/>
  <c r="B2169" i="1"/>
  <c r="A2170" i="1"/>
  <c r="B2170" i="1"/>
  <c r="A2171" i="1"/>
  <c r="B2171" i="1"/>
  <c r="A2172" i="1"/>
  <c r="B2172" i="1"/>
  <c r="A2173" i="1"/>
  <c r="B2173" i="1"/>
  <c r="A2174" i="1"/>
  <c r="B2174" i="1"/>
  <c r="A2175" i="1"/>
  <c r="B2175" i="1"/>
  <c r="A2176" i="1"/>
  <c r="B2176" i="1"/>
  <c r="A2177" i="1"/>
  <c r="B2177" i="1"/>
  <c r="A2178" i="1"/>
  <c r="B2178" i="1"/>
  <c r="A2179" i="1"/>
  <c r="B2179" i="1"/>
  <c r="A2180" i="1"/>
  <c r="B2180" i="1"/>
  <c r="A2181" i="1"/>
  <c r="B2181" i="1"/>
  <c r="A2182" i="1"/>
  <c r="B2182" i="1"/>
  <c r="A2183" i="1"/>
  <c r="B2183" i="1"/>
  <c r="A2184" i="1"/>
  <c r="B2184" i="1"/>
  <c r="A2185" i="1"/>
  <c r="B2185" i="1"/>
  <c r="A2186" i="1"/>
  <c r="B2186" i="1"/>
  <c r="A2187" i="1"/>
  <c r="B2187" i="1"/>
  <c r="A2188" i="1"/>
  <c r="B2188" i="1"/>
  <c r="A2189" i="1"/>
  <c r="B2189" i="1"/>
  <c r="A2190" i="1"/>
  <c r="B2190" i="1"/>
  <c r="A2191" i="1"/>
  <c r="B2191" i="1"/>
  <c r="A2192" i="1"/>
  <c r="B2192" i="1"/>
  <c r="A2193" i="1"/>
  <c r="B2193" i="1"/>
  <c r="A2194" i="1"/>
  <c r="B2194" i="1"/>
  <c r="A2195" i="1"/>
  <c r="B2195" i="1"/>
  <c r="A2196" i="1"/>
  <c r="B2196" i="1"/>
  <c r="A2197" i="1"/>
  <c r="B2197" i="1"/>
  <c r="A2198" i="1"/>
  <c r="B2198" i="1"/>
  <c r="A2199" i="1"/>
  <c r="B2199" i="1"/>
  <c r="A2200" i="1"/>
  <c r="B2200" i="1"/>
  <c r="A2201" i="1"/>
  <c r="B2201" i="1"/>
  <c r="A2202" i="1"/>
  <c r="B2202" i="1"/>
  <c r="A2203" i="1"/>
  <c r="B2203" i="1"/>
  <c r="A2204" i="1"/>
  <c r="B2204" i="1"/>
  <c r="A2205" i="1"/>
  <c r="B2205" i="1"/>
  <c r="A2206" i="1"/>
  <c r="B2206" i="1"/>
  <c r="A2207" i="1"/>
  <c r="B2207" i="1"/>
  <c r="A2208" i="1"/>
  <c r="B2208" i="1"/>
  <c r="A2209" i="1"/>
  <c r="B2209" i="1"/>
  <c r="A2210" i="1"/>
  <c r="B2210" i="1"/>
  <c r="A2211" i="1"/>
  <c r="B2211" i="1"/>
  <c r="A2212" i="1"/>
  <c r="B2212" i="1"/>
  <c r="A2213" i="1"/>
  <c r="B2213" i="1"/>
  <c r="A2214" i="1"/>
  <c r="B2214" i="1"/>
  <c r="A2215" i="1"/>
  <c r="B2215" i="1"/>
  <c r="A2216" i="1"/>
  <c r="B2216" i="1"/>
  <c r="A2217" i="1"/>
  <c r="B2217" i="1"/>
  <c r="A2218" i="1"/>
  <c r="B2218" i="1"/>
  <c r="A2219" i="1"/>
  <c r="B2219" i="1"/>
  <c r="A2220" i="1"/>
  <c r="B2220" i="1"/>
  <c r="A2221" i="1"/>
  <c r="B2221" i="1"/>
  <c r="A2222" i="1"/>
  <c r="B2222" i="1"/>
  <c r="A2223" i="1"/>
  <c r="B2223" i="1"/>
  <c r="A2224" i="1"/>
  <c r="B2224" i="1"/>
  <c r="A2225" i="1"/>
  <c r="B2225" i="1"/>
  <c r="A2226" i="1"/>
  <c r="B2226" i="1"/>
  <c r="A2227" i="1"/>
  <c r="B2227" i="1"/>
  <c r="A2228" i="1"/>
  <c r="B2228" i="1"/>
  <c r="A2229" i="1"/>
  <c r="B2229" i="1"/>
  <c r="A2230" i="1"/>
  <c r="B2230" i="1"/>
  <c r="A2231" i="1"/>
  <c r="B2231" i="1"/>
  <c r="A2232" i="1"/>
  <c r="B2232" i="1"/>
  <c r="A2233" i="1"/>
  <c r="B2233" i="1"/>
  <c r="A2234" i="1"/>
  <c r="B2234" i="1"/>
  <c r="A2235" i="1"/>
  <c r="B2235" i="1"/>
  <c r="A2236" i="1"/>
  <c r="B2236" i="1"/>
  <c r="A2237" i="1"/>
  <c r="B2237" i="1"/>
  <c r="A2238" i="1"/>
  <c r="B2238" i="1"/>
  <c r="A2239" i="1"/>
  <c r="B2239" i="1"/>
  <c r="A2240" i="1"/>
  <c r="B2240" i="1"/>
  <c r="A2241" i="1"/>
  <c r="B2241" i="1"/>
  <c r="A2242" i="1"/>
  <c r="B2242" i="1"/>
  <c r="A2243" i="1"/>
  <c r="B2243" i="1"/>
  <c r="A2244" i="1"/>
  <c r="B2244" i="1"/>
  <c r="A2245" i="1"/>
  <c r="B2245" i="1"/>
  <c r="A2246" i="1"/>
  <c r="B2246" i="1"/>
  <c r="A2247" i="1"/>
  <c r="B2247" i="1"/>
  <c r="A2248" i="1"/>
  <c r="B2248" i="1"/>
  <c r="A2249" i="1"/>
  <c r="B2249" i="1"/>
  <c r="A2250" i="1"/>
  <c r="B2250" i="1"/>
  <c r="A2251" i="1"/>
  <c r="B2251" i="1"/>
  <c r="A2252" i="1"/>
  <c r="B2252" i="1"/>
  <c r="A2253" i="1"/>
  <c r="B2253" i="1"/>
  <c r="A2254" i="1"/>
  <c r="B2254" i="1"/>
  <c r="A2255" i="1"/>
  <c r="B2255" i="1"/>
  <c r="A2256" i="1"/>
  <c r="B2256" i="1"/>
  <c r="A2257" i="1"/>
  <c r="B2257" i="1"/>
  <c r="A2258" i="1"/>
  <c r="B2258" i="1"/>
  <c r="A2259" i="1"/>
  <c r="B2259" i="1"/>
  <c r="A2260" i="1"/>
  <c r="B2260" i="1"/>
  <c r="A2261" i="1"/>
  <c r="B2261" i="1"/>
  <c r="A2262" i="1"/>
  <c r="B2262" i="1"/>
  <c r="A2263" i="1"/>
  <c r="B2263" i="1"/>
  <c r="A2264" i="1"/>
  <c r="B2264" i="1"/>
  <c r="A2265" i="1"/>
  <c r="B2265" i="1"/>
  <c r="A2266" i="1"/>
  <c r="B2266" i="1"/>
  <c r="A2267" i="1"/>
  <c r="B2267" i="1"/>
  <c r="A2268" i="1"/>
  <c r="B2268" i="1"/>
  <c r="A2269" i="1"/>
  <c r="B2269" i="1"/>
  <c r="A2270" i="1"/>
  <c r="B2270" i="1"/>
  <c r="A2271" i="1"/>
  <c r="B2271" i="1"/>
  <c r="A2272" i="1"/>
  <c r="B2272" i="1"/>
  <c r="A2273" i="1"/>
  <c r="B2273" i="1"/>
  <c r="A2274" i="1"/>
  <c r="B2274" i="1"/>
  <c r="A2275" i="1"/>
  <c r="B2275" i="1"/>
  <c r="A2276" i="1"/>
  <c r="B2276" i="1"/>
  <c r="A2277" i="1"/>
  <c r="B2277" i="1"/>
  <c r="A2278" i="1"/>
  <c r="B2278" i="1"/>
  <c r="A2279" i="1"/>
  <c r="B2279" i="1"/>
  <c r="A2280" i="1"/>
  <c r="B2280" i="1"/>
  <c r="A2281" i="1"/>
  <c r="B2281" i="1"/>
  <c r="A2282" i="1"/>
  <c r="B2282" i="1"/>
  <c r="A2283" i="1"/>
  <c r="B2283" i="1"/>
  <c r="A2284" i="1"/>
  <c r="B2284" i="1"/>
  <c r="A2285" i="1"/>
  <c r="B2285" i="1"/>
  <c r="A2286" i="1"/>
  <c r="B2286" i="1"/>
  <c r="A2287" i="1"/>
  <c r="B2287" i="1"/>
  <c r="A2288" i="1"/>
  <c r="B2288" i="1"/>
  <c r="A2289" i="1"/>
  <c r="B2289" i="1"/>
  <c r="A2290" i="1"/>
  <c r="B2290" i="1"/>
  <c r="A2291" i="1"/>
  <c r="B2291" i="1"/>
  <c r="A2292" i="1"/>
  <c r="B2292" i="1"/>
  <c r="A2293" i="1"/>
  <c r="B2293" i="1"/>
  <c r="A2294" i="1"/>
  <c r="B2294" i="1"/>
  <c r="A2295" i="1"/>
  <c r="B2295" i="1"/>
  <c r="A2296" i="1"/>
  <c r="B2296" i="1"/>
  <c r="A2297" i="1"/>
  <c r="B2297" i="1"/>
  <c r="A2298" i="1"/>
  <c r="B2298" i="1"/>
  <c r="A2299" i="1"/>
  <c r="B2299" i="1"/>
  <c r="A2300" i="1"/>
  <c r="B2300" i="1"/>
  <c r="A2301" i="1"/>
  <c r="B2301" i="1"/>
  <c r="A2302" i="1"/>
  <c r="B2302" i="1"/>
  <c r="A2303" i="1"/>
  <c r="B2303" i="1"/>
  <c r="A2304" i="1"/>
  <c r="B2304" i="1"/>
  <c r="A2305" i="1"/>
  <c r="B2305" i="1"/>
  <c r="A2306" i="1"/>
  <c r="B2306" i="1"/>
  <c r="A2307" i="1"/>
  <c r="B2307" i="1"/>
  <c r="A2308" i="1"/>
  <c r="B2308" i="1"/>
  <c r="A2309" i="1"/>
  <c r="B2309" i="1"/>
  <c r="A2310" i="1"/>
  <c r="B2310" i="1"/>
  <c r="A2311" i="1"/>
  <c r="B2311" i="1"/>
  <c r="A2312" i="1"/>
  <c r="B2312" i="1"/>
  <c r="A2313" i="1"/>
  <c r="B2313" i="1"/>
  <c r="A2314" i="1"/>
  <c r="B2314" i="1"/>
  <c r="A2315" i="1"/>
  <c r="B2315" i="1"/>
  <c r="A2316" i="1"/>
  <c r="B2316" i="1"/>
  <c r="A2317" i="1"/>
  <c r="B2317" i="1"/>
  <c r="A2318" i="1"/>
  <c r="B2318" i="1"/>
  <c r="A2319" i="1"/>
  <c r="B2319" i="1"/>
  <c r="A2320" i="1"/>
  <c r="B2320" i="1"/>
  <c r="A2321" i="1"/>
  <c r="B2321" i="1"/>
  <c r="A2322" i="1"/>
  <c r="B2322" i="1"/>
  <c r="A2323" i="1"/>
  <c r="B2323" i="1"/>
  <c r="A2324" i="1"/>
  <c r="B2324" i="1"/>
  <c r="A2325" i="1"/>
  <c r="B2325" i="1"/>
  <c r="A2326" i="1"/>
  <c r="B2326" i="1"/>
  <c r="A2327" i="1"/>
  <c r="B2327" i="1"/>
  <c r="A2328" i="1"/>
  <c r="B2328" i="1"/>
  <c r="A2329" i="1"/>
  <c r="B2329" i="1"/>
  <c r="A2330" i="1"/>
  <c r="B2330" i="1"/>
  <c r="A2331" i="1"/>
  <c r="B2331" i="1"/>
  <c r="A2332" i="1"/>
  <c r="B2332" i="1"/>
  <c r="A2333" i="1"/>
  <c r="B2333" i="1"/>
  <c r="A2334" i="1"/>
  <c r="B2334" i="1"/>
  <c r="A2335" i="1"/>
  <c r="B2335" i="1"/>
  <c r="A2336" i="1"/>
  <c r="B2336" i="1"/>
  <c r="A2337" i="1"/>
  <c r="B2337" i="1"/>
  <c r="A2338" i="1"/>
  <c r="B2338" i="1"/>
  <c r="A2339" i="1"/>
  <c r="B2339" i="1"/>
  <c r="A2340" i="1"/>
  <c r="B2340" i="1"/>
  <c r="A2341" i="1"/>
  <c r="B2341" i="1"/>
  <c r="A2342" i="1"/>
  <c r="B2342" i="1"/>
  <c r="A2343" i="1"/>
  <c r="B2343" i="1"/>
  <c r="A2344" i="1"/>
  <c r="B2344" i="1"/>
  <c r="A2345" i="1"/>
  <c r="B2345" i="1"/>
  <c r="A2346" i="1"/>
  <c r="B2346" i="1"/>
  <c r="A2347" i="1"/>
  <c r="B2347" i="1"/>
  <c r="A2348" i="1"/>
  <c r="B2348" i="1"/>
  <c r="A2349" i="1"/>
  <c r="B2349" i="1"/>
  <c r="A2350" i="1"/>
  <c r="B2350" i="1"/>
  <c r="A2351" i="1"/>
  <c r="B2351" i="1"/>
  <c r="A2352" i="1"/>
  <c r="B2352" i="1"/>
  <c r="A2353" i="1"/>
  <c r="B2353" i="1"/>
  <c r="A2354" i="1"/>
  <c r="B2354" i="1"/>
  <c r="A2355" i="1"/>
  <c r="B2355" i="1"/>
  <c r="A2356" i="1"/>
  <c r="B2356" i="1"/>
  <c r="A2357" i="1"/>
  <c r="B2357" i="1"/>
  <c r="A2358" i="1"/>
  <c r="B2358" i="1"/>
  <c r="A2359" i="1"/>
  <c r="B2359" i="1"/>
  <c r="A2360" i="1"/>
  <c r="B2360" i="1"/>
  <c r="A2361" i="1"/>
  <c r="B2361" i="1"/>
  <c r="A2362" i="1"/>
  <c r="B2362" i="1"/>
  <c r="A2363" i="1"/>
  <c r="B2363" i="1"/>
  <c r="A2364" i="1"/>
  <c r="B2364" i="1"/>
  <c r="A2365" i="1"/>
  <c r="B2365" i="1"/>
  <c r="A2366" i="1"/>
  <c r="B2366" i="1"/>
  <c r="A2367" i="1"/>
  <c r="B2367" i="1"/>
  <c r="A2368" i="1"/>
  <c r="B2368" i="1"/>
  <c r="A2369" i="1"/>
  <c r="B2369" i="1"/>
  <c r="A2370" i="1"/>
  <c r="B2370" i="1"/>
  <c r="A2371" i="1"/>
  <c r="B2371" i="1"/>
  <c r="A2372" i="1"/>
  <c r="B2372" i="1"/>
  <c r="A2373" i="1"/>
  <c r="B2373" i="1"/>
  <c r="A2374" i="1"/>
  <c r="B2374" i="1"/>
  <c r="A2375" i="1"/>
  <c r="B2375" i="1"/>
  <c r="A2376" i="1"/>
  <c r="B2376" i="1"/>
  <c r="A2377" i="1"/>
  <c r="B2377" i="1"/>
  <c r="A2378" i="1"/>
  <c r="B2378" i="1"/>
  <c r="A2379" i="1"/>
  <c r="B2379" i="1"/>
  <c r="A2380" i="1"/>
  <c r="B2380" i="1"/>
  <c r="A2381" i="1"/>
  <c r="B2381" i="1"/>
  <c r="A2382" i="1"/>
  <c r="B2382" i="1"/>
  <c r="A2383" i="1"/>
  <c r="B2383" i="1"/>
  <c r="A2384" i="1"/>
  <c r="B2384" i="1"/>
  <c r="A2385" i="1"/>
  <c r="B2385" i="1"/>
  <c r="A2386" i="1"/>
  <c r="B2386" i="1"/>
  <c r="A2387" i="1"/>
  <c r="B2387" i="1"/>
  <c r="A2388" i="1"/>
  <c r="B2388" i="1"/>
  <c r="A2389" i="1"/>
  <c r="B2389" i="1"/>
  <c r="A2390" i="1"/>
  <c r="B2390" i="1"/>
  <c r="A2391" i="1"/>
  <c r="B2391" i="1"/>
  <c r="A2392" i="1"/>
  <c r="B2392" i="1"/>
  <c r="A2393" i="1"/>
  <c r="B2393" i="1"/>
  <c r="A2394" i="1"/>
  <c r="B2394" i="1"/>
  <c r="A2395" i="1"/>
  <c r="B2395" i="1"/>
  <c r="A2396" i="1"/>
  <c r="B2396" i="1"/>
  <c r="A2397" i="1"/>
  <c r="B2397" i="1"/>
  <c r="A2398" i="1"/>
  <c r="B2398" i="1"/>
  <c r="A2399" i="1"/>
  <c r="B2399" i="1"/>
  <c r="A2400" i="1"/>
  <c r="B2400" i="1"/>
  <c r="A2401" i="1"/>
  <c r="B2401" i="1"/>
  <c r="A2402" i="1"/>
  <c r="B2402" i="1"/>
  <c r="A2403" i="1"/>
  <c r="B2403" i="1"/>
  <c r="A2404" i="1"/>
  <c r="B2404" i="1"/>
  <c r="A2405" i="1"/>
  <c r="B2405" i="1"/>
  <c r="A2406" i="1"/>
  <c r="B2406" i="1"/>
  <c r="A2407" i="1"/>
  <c r="B2407" i="1"/>
  <c r="A2408" i="1"/>
  <c r="B2408" i="1"/>
  <c r="A2409" i="1"/>
  <c r="B2409" i="1"/>
  <c r="A2410" i="1"/>
  <c r="B2410" i="1"/>
  <c r="A2411" i="1"/>
  <c r="B2411" i="1"/>
  <c r="A2412" i="1"/>
  <c r="B2412" i="1"/>
  <c r="A2413" i="1"/>
  <c r="B2413" i="1"/>
  <c r="A2414" i="1"/>
  <c r="B2414" i="1"/>
  <c r="A2415" i="1"/>
  <c r="B2415" i="1"/>
  <c r="A2416" i="1"/>
  <c r="B2416" i="1"/>
  <c r="A2417" i="1"/>
  <c r="B2417" i="1"/>
  <c r="A2418" i="1"/>
  <c r="B2418" i="1"/>
  <c r="A2419" i="1"/>
  <c r="B2419" i="1"/>
  <c r="A2420" i="1"/>
  <c r="B2420" i="1"/>
  <c r="A2421" i="1"/>
  <c r="B2421" i="1"/>
  <c r="A2422" i="1"/>
  <c r="B2422" i="1"/>
  <c r="A2423" i="1"/>
  <c r="B2423" i="1"/>
  <c r="A2424" i="1"/>
  <c r="B2424" i="1"/>
  <c r="A2425" i="1"/>
  <c r="B2425" i="1"/>
  <c r="A2426" i="1"/>
  <c r="B2426" i="1"/>
  <c r="A2427" i="1"/>
  <c r="B2427" i="1"/>
  <c r="A2428" i="1"/>
  <c r="B2428" i="1"/>
  <c r="A2429" i="1"/>
  <c r="B2429" i="1"/>
  <c r="A2430" i="1"/>
  <c r="B2430" i="1"/>
  <c r="A2431" i="1"/>
  <c r="B2431" i="1"/>
  <c r="A2432" i="1"/>
  <c r="B2432" i="1"/>
  <c r="A2433" i="1"/>
  <c r="B2433" i="1"/>
  <c r="A2434" i="1"/>
  <c r="B2434" i="1"/>
  <c r="A2435" i="1"/>
  <c r="B2435" i="1"/>
  <c r="A2436" i="1"/>
  <c r="B2436" i="1"/>
  <c r="A2437" i="1"/>
  <c r="B2437" i="1"/>
  <c r="A2438" i="1"/>
  <c r="B2438" i="1"/>
  <c r="A2439" i="1"/>
  <c r="B2439" i="1"/>
  <c r="A2440" i="1"/>
  <c r="B2440" i="1"/>
  <c r="A2441" i="1"/>
  <c r="B2441" i="1"/>
  <c r="A2442" i="1"/>
  <c r="B2442" i="1"/>
  <c r="A2443" i="1"/>
  <c r="B2443" i="1"/>
  <c r="A2444" i="1"/>
  <c r="B2444" i="1"/>
  <c r="A2445" i="1"/>
  <c r="B2445" i="1"/>
  <c r="A2446" i="1"/>
  <c r="B2446" i="1"/>
  <c r="A2447" i="1"/>
  <c r="B2447" i="1"/>
  <c r="A2448" i="1"/>
  <c r="B2448" i="1"/>
  <c r="A2449" i="1"/>
  <c r="B2449" i="1"/>
  <c r="A2450" i="1"/>
  <c r="B2450" i="1"/>
  <c r="A2451" i="1"/>
  <c r="B2451" i="1"/>
  <c r="A2452" i="1"/>
  <c r="B2452" i="1"/>
  <c r="A2453" i="1"/>
  <c r="B2453" i="1"/>
  <c r="A2454" i="1"/>
  <c r="B2454" i="1"/>
  <c r="A2455" i="1"/>
  <c r="B2455" i="1"/>
  <c r="A2456" i="1"/>
  <c r="B2456" i="1"/>
  <c r="A2457" i="1"/>
  <c r="B2457" i="1"/>
  <c r="A2458" i="1"/>
  <c r="B2458" i="1"/>
  <c r="A2459" i="1"/>
  <c r="B2459" i="1"/>
  <c r="A2460" i="1"/>
  <c r="B2460" i="1"/>
  <c r="A2461" i="1"/>
  <c r="B2461" i="1"/>
  <c r="A2462" i="1"/>
  <c r="B2462" i="1"/>
  <c r="A2463" i="1"/>
  <c r="B2463" i="1"/>
  <c r="A2464" i="1"/>
  <c r="B2464" i="1"/>
  <c r="A2465" i="1"/>
  <c r="B2465" i="1"/>
  <c r="A2466" i="1"/>
  <c r="B2466" i="1"/>
  <c r="A2467" i="1"/>
  <c r="B2467" i="1"/>
  <c r="A2468" i="1"/>
  <c r="B2468" i="1"/>
  <c r="A2469" i="1"/>
  <c r="B2469" i="1"/>
  <c r="A2470" i="1"/>
  <c r="B2470" i="1"/>
  <c r="A2471" i="1"/>
  <c r="B2471" i="1"/>
  <c r="A2472" i="1"/>
  <c r="B2472" i="1"/>
  <c r="A2473" i="1"/>
  <c r="B2473" i="1"/>
  <c r="A2474" i="1"/>
  <c r="B2474" i="1"/>
  <c r="A2475" i="1"/>
  <c r="B2475" i="1"/>
  <c r="A2476" i="1"/>
  <c r="B2476" i="1"/>
  <c r="A2477" i="1"/>
  <c r="B2477" i="1"/>
  <c r="A2478" i="1"/>
  <c r="B2478" i="1"/>
  <c r="A2479" i="1"/>
  <c r="B2479" i="1"/>
  <c r="A2480" i="1"/>
  <c r="B2480" i="1"/>
  <c r="A2481" i="1"/>
  <c r="B2481" i="1"/>
  <c r="A2482" i="1"/>
  <c r="B2482" i="1"/>
  <c r="A2483" i="1"/>
  <c r="B2483" i="1"/>
  <c r="A2484" i="1"/>
  <c r="B2484" i="1"/>
  <c r="A2485" i="1"/>
  <c r="B2485" i="1"/>
  <c r="A2486" i="1"/>
  <c r="B2486" i="1"/>
  <c r="A2487" i="1"/>
  <c r="B2487" i="1"/>
  <c r="A2488" i="1"/>
  <c r="B2488" i="1"/>
  <c r="A2489" i="1"/>
  <c r="B2489" i="1"/>
  <c r="A2490" i="1"/>
  <c r="B2490" i="1"/>
  <c r="A2491" i="1"/>
  <c r="B2491" i="1"/>
  <c r="A2492" i="1"/>
  <c r="B2492" i="1"/>
  <c r="A2493" i="1"/>
  <c r="B2493" i="1"/>
  <c r="A2494" i="1"/>
  <c r="B2494" i="1"/>
  <c r="A2495" i="1"/>
  <c r="B2495" i="1"/>
  <c r="A2496" i="1"/>
  <c r="B2496" i="1"/>
  <c r="A2497" i="1"/>
  <c r="B2497" i="1"/>
  <c r="A2498" i="1"/>
  <c r="B2498" i="1"/>
  <c r="A2499" i="1"/>
  <c r="B2499" i="1"/>
  <c r="A2500" i="1"/>
  <c r="B2500" i="1"/>
  <c r="A2501" i="1"/>
  <c r="B2501" i="1"/>
  <c r="A2502" i="1"/>
  <c r="B2502" i="1"/>
  <c r="A2503" i="1"/>
  <c r="B2503" i="1"/>
  <c r="A2504" i="1"/>
  <c r="B2504" i="1"/>
  <c r="A2505" i="1"/>
  <c r="B2505" i="1"/>
  <c r="A2506" i="1"/>
  <c r="B2506" i="1"/>
  <c r="A2507" i="1"/>
  <c r="B2507" i="1"/>
  <c r="A2508" i="1"/>
  <c r="B2508" i="1"/>
  <c r="A2509" i="1"/>
  <c r="B2509" i="1"/>
  <c r="A2510" i="1"/>
  <c r="B2510" i="1"/>
  <c r="A2511" i="1"/>
  <c r="B2511" i="1"/>
  <c r="A2512" i="1"/>
  <c r="B2512" i="1"/>
  <c r="A2513" i="1"/>
  <c r="B2513" i="1"/>
  <c r="A2514" i="1"/>
  <c r="B2514" i="1"/>
  <c r="A2515" i="1"/>
  <c r="B2515" i="1"/>
  <c r="A2516" i="1"/>
  <c r="B2516" i="1"/>
  <c r="A2517" i="1"/>
  <c r="B2517" i="1"/>
  <c r="A2518" i="1"/>
  <c r="B2518" i="1"/>
  <c r="A2519" i="1"/>
  <c r="B2519" i="1"/>
  <c r="A2520" i="1"/>
  <c r="B2520" i="1"/>
  <c r="A2521" i="1"/>
  <c r="B2521" i="1"/>
  <c r="A2522" i="1"/>
  <c r="B2522" i="1"/>
  <c r="A2523" i="1"/>
  <c r="B2523" i="1"/>
  <c r="A2524" i="1"/>
  <c r="B2524" i="1"/>
  <c r="A2525" i="1"/>
  <c r="B2525" i="1"/>
  <c r="A2526" i="1"/>
  <c r="B2526" i="1"/>
  <c r="A2527" i="1"/>
  <c r="B2527" i="1"/>
  <c r="A2528" i="1"/>
  <c r="B2528" i="1"/>
  <c r="A2529" i="1"/>
  <c r="B2529" i="1"/>
  <c r="A2530" i="1"/>
  <c r="B2530" i="1"/>
  <c r="A2531" i="1"/>
  <c r="B2531" i="1"/>
  <c r="A2532" i="1"/>
  <c r="B2532" i="1"/>
  <c r="A2533" i="1"/>
  <c r="B2533" i="1"/>
  <c r="A2534" i="1"/>
  <c r="B2534" i="1"/>
  <c r="A2535" i="1"/>
  <c r="B2535" i="1"/>
  <c r="A2536" i="1"/>
  <c r="B2536" i="1"/>
  <c r="A2537" i="1"/>
  <c r="B2537" i="1"/>
  <c r="A2538" i="1"/>
  <c r="B2538" i="1"/>
  <c r="A2539" i="1"/>
  <c r="B2539" i="1"/>
  <c r="A2540" i="1"/>
  <c r="B2540" i="1"/>
  <c r="A2541" i="1"/>
  <c r="B2541" i="1"/>
  <c r="A2542" i="1"/>
  <c r="B2542" i="1"/>
  <c r="A2543" i="1"/>
  <c r="B2543" i="1"/>
  <c r="A2544" i="1"/>
  <c r="B2544" i="1"/>
  <c r="A2545" i="1"/>
  <c r="B2545" i="1"/>
  <c r="A2546" i="1"/>
  <c r="B2546" i="1"/>
  <c r="A2547" i="1"/>
  <c r="B2547" i="1"/>
  <c r="A2548" i="1"/>
  <c r="B2548" i="1"/>
  <c r="A2549" i="1"/>
  <c r="B2549" i="1"/>
  <c r="A2550" i="1"/>
  <c r="B2550" i="1"/>
  <c r="A2551" i="1"/>
  <c r="B2551" i="1"/>
  <c r="A2552" i="1"/>
  <c r="B2552" i="1"/>
  <c r="A2553" i="1"/>
  <c r="B2553" i="1"/>
  <c r="A2554" i="1"/>
  <c r="B2554" i="1"/>
  <c r="A2555" i="1"/>
  <c r="B2555" i="1"/>
  <c r="A2556" i="1"/>
  <c r="B2556" i="1"/>
  <c r="A2557" i="1"/>
  <c r="B2557" i="1"/>
  <c r="A2558" i="1"/>
  <c r="B2558" i="1"/>
  <c r="A2559" i="1"/>
  <c r="B2559" i="1"/>
  <c r="A2560" i="1"/>
  <c r="B2560" i="1"/>
  <c r="A2561" i="1"/>
  <c r="B2561" i="1"/>
  <c r="A2562" i="1"/>
  <c r="B2562" i="1"/>
  <c r="A2563" i="1"/>
  <c r="B2563" i="1"/>
  <c r="A2564" i="1"/>
  <c r="B2564" i="1"/>
  <c r="A2565" i="1"/>
  <c r="B2565" i="1"/>
  <c r="A2566" i="1"/>
  <c r="B2566" i="1"/>
  <c r="A2567" i="1"/>
  <c r="B2567" i="1"/>
  <c r="A2568" i="1"/>
  <c r="B2568" i="1"/>
  <c r="A2569" i="1"/>
  <c r="B2569" i="1"/>
  <c r="A2570" i="1"/>
  <c r="B2570" i="1"/>
  <c r="A2571" i="1"/>
  <c r="B2571" i="1"/>
  <c r="A2572" i="1"/>
  <c r="B2572" i="1"/>
  <c r="A2573" i="1"/>
  <c r="B2573" i="1"/>
  <c r="A2574" i="1"/>
  <c r="B2574" i="1"/>
  <c r="A2575" i="1"/>
  <c r="B2575" i="1"/>
  <c r="A2576" i="1"/>
  <c r="B2576" i="1"/>
  <c r="A2577" i="1"/>
  <c r="B2577" i="1"/>
  <c r="A2578" i="1"/>
  <c r="B2578" i="1"/>
  <c r="A2579" i="1"/>
  <c r="B2579" i="1"/>
  <c r="A2580" i="1"/>
  <c r="B2580" i="1"/>
  <c r="A2581" i="1"/>
  <c r="B2581" i="1"/>
  <c r="A2582" i="1"/>
  <c r="B2582" i="1"/>
  <c r="A2583" i="1"/>
  <c r="B2583" i="1"/>
  <c r="A2584" i="1"/>
  <c r="B2584" i="1"/>
  <c r="A2585" i="1"/>
  <c r="B2585" i="1"/>
  <c r="A2586" i="1"/>
  <c r="B2586" i="1"/>
  <c r="A2587" i="1"/>
  <c r="B2587" i="1"/>
  <c r="A2588" i="1"/>
  <c r="B2588" i="1"/>
  <c r="A2589" i="1"/>
  <c r="B2589" i="1"/>
  <c r="A2590" i="1"/>
  <c r="B2590" i="1"/>
  <c r="A2591" i="1"/>
  <c r="B2591" i="1"/>
  <c r="A2592" i="1"/>
  <c r="B2592" i="1"/>
  <c r="A2593" i="1"/>
  <c r="B2593" i="1"/>
  <c r="A2594" i="1"/>
  <c r="B2594" i="1"/>
  <c r="A2595" i="1"/>
  <c r="B2595" i="1"/>
  <c r="A2596" i="1"/>
  <c r="B2596" i="1"/>
  <c r="A2597" i="1"/>
  <c r="B2597" i="1"/>
  <c r="A2598" i="1"/>
  <c r="B2598" i="1"/>
  <c r="A2599" i="1"/>
  <c r="B2599" i="1"/>
  <c r="A2600" i="1"/>
  <c r="B2600" i="1"/>
  <c r="A2601" i="1"/>
  <c r="B2601" i="1"/>
  <c r="A2602" i="1"/>
  <c r="B2602" i="1"/>
  <c r="A2603" i="1"/>
  <c r="B2603" i="1"/>
  <c r="A2604" i="1"/>
  <c r="B2604" i="1"/>
  <c r="A2605" i="1"/>
  <c r="B2605" i="1"/>
  <c r="A2606" i="1"/>
  <c r="B2606" i="1"/>
  <c r="A2607" i="1"/>
  <c r="B2607" i="1"/>
  <c r="A2608" i="1"/>
  <c r="B2608" i="1"/>
  <c r="A2609" i="1"/>
  <c r="B2609" i="1"/>
  <c r="A2610" i="1"/>
  <c r="B2610" i="1"/>
  <c r="A2611" i="1"/>
  <c r="B2611" i="1"/>
  <c r="A2612" i="1"/>
  <c r="B2612" i="1"/>
  <c r="A2613" i="1"/>
  <c r="B2613" i="1"/>
  <c r="A2614" i="1"/>
  <c r="B2614" i="1"/>
  <c r="A2615" i="1"/>
  <c r="B2615" i="1"/>
  <c r="A2616" i="1"/>
  <c r="B2616" i="1"/>
  <c r="A2617" i="1"/>
  <c r="B2617" i="1"/>
  <c r="A2618" i="1"/>
  <c r="B2618" i="1"/>
  <c r="A2619" i="1"/>
  <c r="B2619" i="1"/>
  <c r="A2620" i="1"/>
  <c r="B2620" i="1"/>
  <c r="A2621" i="1"/>
  <c r="B2621" i="1"/>
  <c r="A2622" i="1"/>
  <c r="B2622" i="1"/>
  <c r="A2623" i="1"/>
  <c r="B2623" i="1"/>
  <c r="A2624" i="1"/>
  <c r="B2624" i="1"/>
  <c r="A2625" i="1"/>
  <c r="B2625" i="1"/>
  <c r="A2626" i="1"/>
  <c r="B2626" i="1"/>
  <c r="A2627" i="1"/>
  <c r="B2627" i="1"/>
  <c r="A2628" i="1"/>
  <c r="B2628" i="1"/>
  <c r="A2629" i="1"/>
  <c r="B2629" i="1"/>
  <c r="A2630" i="1"/>
  <c r="B2630" i="1"/>
  <c r="A2631" i="1"/>
  <c r="B2631" i="1"/>
  <c r="A2632" i="1"/>
  <c r="B2632" i="1"/>
  <c r="A2633" i="1"/>
  <c r="B2633" i="1"/>
  <c r="A2634" i="1"/>
  <c r="B2634" i="1"/>
  <c r="A2635" i="1"/>
  <c r="B2635" i="1"/>
  <c r="A2636" i="1"/>
  <c r="B2636" i="1"/>
  <c r="A2637" i="1"/>
  <c r="B2637" i="1"/>
  <c r="A2638" i="1"/>
  <c r="B2638" i="1"/>
  <c r="A2639" i="1"/>
  <c r="B2639" i="1"/>
  <c r="A2640" i="1"/>
  <c r="B2640" i="1"/>
  <c r="A2641" i="1"/>
  <c r="B2641" i="1"/>
  <c r="A2642" i="1"/>
  <c r="B2642" i="1"/>
  <c r="A2643" i="1"/>
  <c r="B2643" i="1"/>
  <c r="A2644" i="1"/>
  <c r="B2644" i="1"/>
  <c r="A2645" i="1"/>
  <c r="B2645" i="1"/>
  <c r="A2646" i="1"/>
  <c r="B2646" i="1"/>
  <c r="A2647" i="1"/>
  <c r="B2647" i="1"/>
  <c r="A2648" i="1"/>
  <c r="B2648" i="1"/>
  <c r="A2649" i="1"/>
  <c r="B2649" i="1"/>
  <c r="A2650" i="1"/>
  <c r="B2650" i="1"/>
  <c r="A2651" i="1"/>
  <c r="B2651" i="1"/>
  <c r="A2652" i="1"/>
  <c r="B2652" i="1"/>
  <c r="A2653" i="1"/>
  <c r="B2653" i="1"/>
  <c r="A2654" i="1"/>
  <c r="B2654" i="1"/>
  <c r="A2655" i="1"/>
  <c r="B2655" i="1"/>
  <c r="A2656" i="1"/>
  <c r="B2656" i="1"/>
  <c r="A2657" i="1"/>
  <c r="B2657" i="1"/>
  <c r="A2658" i="1"/>
  <c r="B2658" i="1"/>
  <c r="A2659" i="1"/>
  <c r="B2659" i="1"/>
  <c r="A2660" i="1"/>
  <c r="B2660" i="1"/>
  <c r="A2661" i="1"/>
  <c r="B2661" i="1"/>
  <c r="A2662" i="1"/>
  <c r="B2662" i="1"/>
  <c r="A2663" i="1"/>
  <c r="B2663" i="1"/>
  <c r="A2664" i="1"/>
  <c r="B2664" i="1"/>
  <c r="A2665" i="1"/>
  <c r="B2665" i="1"/>
  <c r="A2666" i="1"/>
  <c r="B2666" i="1"/>
  <c r="A2667" i="1"/>
  <c r="B2667" i="1"/>
  <c r="A2668" i="1"/>
  <c r="B2668" i="1"/>
  <c r="A2669" i="1"/>
  <c r="B2669" i="1"/>
  <c r="A2670" i="1"/>
  <c r="B2670" i="1"/>
  <c r="A2671" i="1"/>
  <c r="B2671" i="1"/>
  <c r="A2672" i="1"/>
  <c r="B2672" i="1"/>
  <c r="A2673" i="1"/>
  <c r="B2673" i="1"/>
  <c r="A2674" i="1"/>
  <c r="B2674" i="1"/>
  <c r="A2675" i="1"/>
  <c r="B2675" i="1"/>
  <c r="A2676" i="1"/>
  <c r="B2676" i="1"/>
  <c r="A2677" i="1"/>
  <c r="B2677" i="1"/>
  <c r="A2678" i="1"/>
  <c r="B2678" i="1"/>
  <c r="A2679" i="1"/>
  <c r="B2679" i="1"/>
  <c r="A2680" i="1"/>
  <c r="B2680" i="1"/>
  <c r="A2681" i="1"/>
  <c r="B2681" i="1"/>
  <c r="A2682" i="1"/>
  <c r="B2682" i="1"/>
  <c r="A2683" i="1"/>
  <c r="B2683" i="1"/>
  <c r="A2684" i="1"/>
  <c r="B2684" i="1"/>
  <c r="A2685" i="1"/>
  <c r="B2685" i="1"/>
  <c r="A2686" i="1"/>
  <c r="B2686" i="1"/>
  <c r="A2687" i="1"/>
  <c r="B2687" i="1"/>
  <c r="A2688" i="1"/>
  <c r="B2688" i="1"/>
  <c r="A2689" i="1"/>
  <c r="B2689" i="1"/>
  <c r="A2690" i="1"/>
  <c r="B2690" i="1"/>
  <c r="A2691" i="1"/>
  <c r="B2691" i="1"/>
  <c r="A2692" i="1"/>
  <c r="B2692" i="1"/>
  <c r="A2693" i="1"/>
  <c r="B2693" i="1"/>
  <c r="A2694" i="1"/>
  <c r="B2694" i="1"/>
  <c r="A2695" i="1"/>
  <c r="B2695" i="1"/>
  <c r="A2696" i="1"/>
  <c r="B2696" i="1"/>
  <c r="A2697" i="1"/>
  <c r="B2697" i="1"/>
  <c r="A2698" i="1"/>
  <c r="B2698" i="1"/>
  <c r="A2699" i="1"/>
  <c r="B2699" i="1"/>
  <c r="A2700" i="1"/>
  <c r="B2700" i="1"/>
  <c r="A2701" i="1"/>
  <c r="B2701" i="1"/>
  <c r="A2702" i="1"/>
  <c r="B2702" i="1"/>
  <c r="A2703" i="1"/>
  <c r="B2703" i="1"/>
  <c r="A2704" i="1"/>
  <c r="B2704" i="1"/>
  <c r="A2705" i="1"/>
  <c r="B2705" i="1"/>
  <c r="A2706" i="1"/>
  <c r="B2706" i="1"/>
  <c r="A2707" i="1"/>
  <c r="B2707" i="1"/>
  <c r="A2708" i="1"/>
  <c r="B2708" i="1"/>
  <c r="A2709" i="1"/>
  <c r="B2709" i="1"/>
  <c r="A2710" i="1"/>
  <c r="B2710" i="1"/>
  <c r="A2711" i="1"/>
  <c r="B2711" i="1"/>
  <c r="A2712" i="1"/>
  <c r="B2712" i="1"/>
  <c r="A2713" i="1"/>
  <c r="B2713" i="1"/>
  <c r="A2714" i="1"/>
  <c r="B2714" i="1"/>
  <c r="A2715" i="1"/>
  <c r="B2715" i="1"/>
  <c r="A2716" i="1"/>
  <c r="B2716" i="1"/>
  <c r="A2717" i="1"/>
  <c r="B2717" i="1"/>
  <c r="A2718" i="1"/>
  <c r="B2718" i="1"/>
  <c r="A2719" i="1"/>
  <c r="B2719" i="1"/>
  <c r="A2720" i="1"/>
  <c r="B2720" i="1"/>
  <c r="A2721" i="1"/>
  <c r="B2721" i="1"/>
  <c r="A2722" i="1"/>
  <c r="B2722" i="1"/>
  <c r="A2723" i="1"/>
  <c r="B2723" i="1"/>
  <c r="A2724" i="1"/>
  <c r="B2724" i="1"/>
  <c r="A2725" i="1"/>
  <c r="B2725" i="1"/>
  <c r="A2726" i="1"/>
  <c r="B2726" i="1"/>
  <c r="A2727" i="1"/>
  <c r="B2727" i="1"/>
  <c r="A2728" i="1"/>
  <c r="B2728" i="1"/>
  <c r="A2729" i="1"/>
  <c r="B2729" i="1"/>
  <c r="A2730" i="1"/>
  <c r="B2730" i="1"/>
  <c r="A2731" i="1"/>
  <c r="B2731" i="1"/>
  <c r="A2732" i="1"/>
  <c r="B2732" i="1"/>
  <c r="A2733" i="1"/>
  <c r="B2733" i="1"/>
  <c r="A2734" i="1"/>
  <c r="B2734" i="1"/>
  <c r="A2735" i="1"/>
  <c r="B2735" i="1"/>
  <c r="A2736" i="1"/>
  <c r="B2736" i="1"/>
  <c r="A2737" i="1"/>
  <c r="B2737" i="1"/>
  <c r="A2738" i="1"/>
  <c r="B2738" i="1"/>
  <c r="A2739" i="1"/>
  <c r="B2739" i="1"/>
  <c r="A2740" i="1"/>
  <c r="B2740" i="1"/>
  <c r="A2741" i="1"/>
  <c r="B2741" i="1"/>
  <c r="A2742" i="1"/>
  <c r="B2742" i="1"/>
  <c r="A2743" i="1"/>
  <c r="B2743" i="1"/>
  <c r="A2744" i="1"/>
  <c r="B2744" i="1"/>
  <c r="A2745" i="1"/>
  <c r="B2745" i="1"/>
  <c r="A2746" i="1"/>
  <c r="B2746" i="1"/>
  <c r="A2747" i="1"/>
  <c r="B2747" i="1"/>
  <c r="A2748" i="1"/>
  <c r="B2748" i="1"/>
  <c r="A2749" i="1"/>
  <c r="B2749" i="1"/>
  <c r="A2750" i="1"/>
  <c r="B2750" i="1"/>
  <c r="A2751" i="1"/>
  <c r="B2751" i="1"/>
  <c r="A2752" i="1"/>
  <c r="B2752" i="1"/>
  <c r="A2753" i="1"/>
  <c r="B2753" i="1"/>
  <c r="A2754" i="1"/>
  <c r="B2754" i="1"/>
  <c r="A2755" i="1"/>
  <c r="B2755" i="1"/>
  <c r="A2756" i="1"/>
  <c r="B2756" i="1"/>
  <c r="A2757" i="1"/>
  <c r="B2757" i="1"/>
  <c r="A2758" i="1"/>
  <c r="B2758" i="1"/>
  <c r="A2759" i="1"/>
  <c r="B2759" i="1"/>
  <c r="A2760" i="1"/>
  <c r="B2760" i="1"/>
  <c r="A2761" i="1"/>
  <c r="B2761" i="1"/>
  <c r="A2762" i="1"/>
  <c r="B2762" i="1"/>
  <c r="A2763" i="1"/>
  <c r="B2763" i="1"/>
  <c r="A2764" i="1"/>
  <c r="B2764" i="1"/>
  <c r="A2765" i="1"/>
  <c r="B2765" i="1"/>
  <c r="A2766" i="1"/>
  <c r="B2766" i="1"/>
  <c r="A2767" i="1"/>
  <c r="B2767" i="1"/>
  <c r="A2768" i="1"/>
  <c r="B2768" i="1"/>
  <c r="A2769" i="1"/>
  <c r="B2769" i="1"/>
  <c r="A2770" i="1"/>
  <c r="B2770" i="1"/>
  <c r="A2771" i="1"/>
  <c r="B2771" i="1"/>
  <c r="A2772" i="1"/>
  <c r="B2772" i="1"/>
  <c r="A2773" i="1"/>
  <c r="B2773" i="1"/>
  <c r="A2774" i="1"/>
  <c r="B2774" i="1"/>
  <c r="A2775" i="1"/>
  <c r="B2775" i="1"/>
  <c r="A2776" i="1"/>
  <c r="B2776" i="1"/>
  <c r="A2777" i="1"/>
  <c r="B2777" i="1"/>
  <c r="A2778" i="1"/>
  <c r="B2778" i="1"/>
  <c r="A2779" i="1"/>
  <c r="B2779" i="1"/>
  <c r="A2780" i="1"/>
  <c r="B2780" i="1"/>
  <c r="A2781" i="1"/>
  <c r="B2781" i="1"/>
  <c r="A2782" i="1"/>
  <c r="B2782" i="1"/>
  <c r="A2783" i="1"/>
  <c r="B2783" i="1"/>
  <c r="A2784" i="1"/>
  <c r="B2784" i="1"/>
  <c r="A2785" i="1"/>
  <c r="B2785" i="1"/>
  <c r="A2786" i="1"/>
  <c r="B2786" i="1"/>
  <c r="A2787" i="1"/>
  <c r="B2787" i="1"/>
  <c r="A2788" i="1"/>
  <c r="B2788" i="1"/>
  <c r="A2789" i="1"/>
  <c r="B2789" i="1"/>
  <c r="A2790" i="1"/>
  <c r="B2790" i="1"/>
  <c r="A2791" i="1"/>
  <c r="B2791" i="1"/>
  <c r="A2792" i="1"/>
  <c r="B2792" i="1"/>
  <c r="A2793" i="1"/>
  <c r="B2793" i="1"/>
  <c r="A2794" i="1"/>
  <c r="B2794" i="1"/>
  <c r="A2795" i="1"/>
  <c r="B2795" i="1"/>
  <c r="A2796" i="1"/>
  <c r="B2796" i="1"/>
  <c r="A2797" i="1"/>
  <c r="B2797" i="1"/>
  <c r="A2798" i="1"/>
  <c r="B2798" i="1"/>
  <c r="A2799" i="1"/>
  <c r="B2799" i="1"/>
  <c r="A2800" i="1"/>
  <c r="B2800" i="1"/>
  <c r="A2801" i="1"/>
  <c r="B2801" i="1"/>
  <c r="A2802" i="1"/>
  <c r="B2802" i="1"/>
  <c r="A2803" i="1"/>
  <c r="B2803" i="1"/>
  <c r="A2804" i="1"/>
  <c r="B2804" i="1"/>
  <c r="A2805" i="1"/>
  <c r="B2805" i="1"/>
  <c r="A2806" i="1"/>
  <c r="B2806" i="1"/>
  <c r="A2807" i="1"/>
  <c r="B2807" i="1"/>
  <c r="A2808" i="1"/>
  <c r="B2808" i="1"/>
  <c r="A2809" i="1"/>
  <c r="B2809" i="1"/>
  <c r="A2810" i="1"/>
  <c r="B2810" i="1"/>
  <c r="A2811" i="1"/>
  <c r="B2811" i="1"/>
  <c r="A2812" i="1"/>
  <c r="B2812" i="1"/>
  <c r="A2813" i="1"/>
  <c r="B2813" i="1"/>
  <c r="A2814" i="1"/>
  <c r="B2814" i="1"/>
  <c r="A2815" i="1"/>
  <c r="B2815" i="1"/>
  <c r="A2816" i="1"/>
  <c r="B2816" i="1"/>
  <c r="A2817" i="1"/>
  <c r="B2817" i="1"/>
  <c r="A2818" i="1"/>
  <c r="B2818" i="1"/>
  <c r="A2819" i="1"/>
  <c r="B2819" i="1"/>
  <c r="A2820" i="1"/>
  <c r="B2820" i="1"/>
  <c r="A2821" i="1"/>
  <c r="B2821" i="1"/>
  <c r="A2822" i="1"/>
  <c r="B2822" i="1"/>
  <c r="A2823" i="1"/>
  <c r="B2823" i="1"/>
  <c r="A2824" i="1"/>
  <c r="B2824" i="1"/>
  <c r="A2825" i="1"/>
  <c r="B2825" i="1"/>
  <c r="A2826" i="1"/>
  <c r="B2826" i="1"/>
  <c r="A2827" i="1"/>
  <c r="B2827" i="1"/>
  <c r="A2828" i="1"/>
  <c r="B2828" i="1"/>
  <c r="A2829" i="1"/>
  <c r="B2829" i="1"/>
  <c r="A2830" i="1"/>
  <c r="B2830" i="1"/>
  <c r="A2831" i="1"/>
  <c r="B2831" i="1"/>
  <c r="A2832" i="1"/>
  <c r="B2832" i="1"/>
  <c r="A2833" i="1"/>
  <c r="B2833" i="1"/>
  <c r="A2834" i="1"/>
  <c r="B2834" i="1"/>
  <c r="A2835" i="1"/>
  <c r="B2835" i="1"/>
  <c r="A2836" i="1"/>
  <c r="B2836" i="1"/>
  <c r="A2837" i="1"/>
  <c r="B2837" i="1"/>
  <c r="A2838" i="1"/>
  <c r="B2838" i="1"/>
  <c r="A2839" i="1"/>
  <c r="B2839" i="1"/>
  <c r="A2840" i="1"/>
  <c r="B2840" i="1"/>
  <c r="A2841" i="1"/>
  <c r="B2841" i="1"/>
  <c r="A2842" i="1"/>
  <c r="B2842" i="1"/>
  <c r="A2843" i="1"/>
  <c r="B2843" i="1"/>
  <c r="A2844" i="1"/>
  <c r="B2844" i="1"/>
  <c r="A2845" i="1"/>
  <c r="B2845" i="1"/>
  <c r="A2846" i="1"/>
  <c r="B2846" i="1"/>
  <c r="A2847" i="1"/>
  <c r="B2847" i="1"/>
  <c r="A2848" i="1"/>
  <c r="B2848" i="1"/>
  <c r="A2849" i="1"/>
  <c r="B2849" i="1"/>
  <c r="A2850" i="1"/>
  <c r="B2850" i="1"/>
  <c r="A2851" i="1"/>
  <c r="B2851" i="1"/>
  <c r="A2852" i="1"/>
  <c r="B2852" i="1"/>
  <c r="A2853" i="1"/>
  <c r="B2853" i="1"/>
  <c r="A2854" i="1"/>
  <c r="B2854" i="1"/>
  <c r="A2855" i="1"/>
  <c r="B2855" i="1"/>
  <c r="A2856" i="1"/>
  <c r="B2856" i="1"/>
  <c r="A2857" i="1"/>
  <c r="B2857" i="1"/>
  <c r="A2858" i="1"/>
  <c r="B2858" i="1"/>
  <c r="A2859" i="1"/>
  <c r="B2859" i="1"/>
  <c r="A2860" i="1"/>
  <c r="B2860" i="1"/>
  <c r="A2861" i="1"/>
  <c r="B2861" i="1"/>
  <c r="A2862" i="1"/>
  <c r="B2862" i="1"/>
  <c r="A2863" i="1"/>
  <c r="B2863" i="1"/>
  <c r="A2864" i="1"/>
  <c r="B2864" i="1"/>
  <c r="A2865" i="1"/>
  <c r="B2865" i="1"/>
  <c r="A2866" i="1"/>
  <c r="B2866" i="1"/>
  <c r="A2867" i="1"/>
  <c r="B2867" i="1"/>
  <c r="A2868" i="1"/>
  <c r="B2868" i="1"/>
  <c r="A2869" i="1"/>
  <c r="B2869" i="1"/>
  <c r="A2870" i="1"/>
  <c r="B2870" i="1"/>
  <c r="A2871" i="1"/>
  <c r="B2871" i="1"/>
  <c r="A2872" i="1"/>
  <c r="B2872" i="1"/>
  <c r="A2873" i="1"/>
  <c r="B2873" i="1"/>
  <c r="A2874" i="1"/>
  <c r="B2874" i="1"/>
  <c r="A2875" i="1"/>
  <c r="B2875" i="1"/>
  <c r="A2876" i="1"/>
  <c r="B2876" i="1"/>
  <c r="A2877" i="1"/>
  <c r="B2877" i="1"/>
  <c r="A2878" i="1"/>
  <c r="B2878" i="1"/>
  <c r="A2879" i="1"/>
  <c r="B2879" i="1"/>
  <c r="A2880" i="1"/>
  <c r="B2880" i="1"/>
  <c r="A2881" i="1"/>
  <c r="B2881" i="1"/>
  <c r="A2882" i="1"/>
  <c r="B2882" i="1"/>
  <c r="A2883" i="1"/>
  <c r="B2883" i="1"/>
  <c r="A2884" i="1"/>
  <c r="B2884" i="1"/>
  <c r="A2885" i="1"/>
  <c r="B2885" i="1"/>
  <c r="A2886" i="1"/>
  <c r="B2886" i="1"/>
  <c r="A2887" i="1"/>
  <c r="B2887" i="1"/>
  <c r="A2888" i="1"/>
  <c r="B2888" i="1"/>
  <c r="A2889" i="1"/>
  <c r="B2889" i="1"/>
  <c r="A2890" i="1"/>
  <c r="B2890" i="1"/>
  <c r="A2891" i="1"/>
  <c r="B2891" i="1"/>
  <c r="A2892" i="1"/>
  <c r="B2892" i="1"/>
  <c r="A2893" i="1"/>
  <c r="B2893" i="1"/>
  <c r="A2894" i="1"/>
  <c r="B2894" i="1"/>
  <c r="A2895" i="1"/>
  <c r="B2895" i="1"/>
  <c r="A2896" i="1"/>
  <c r="B2896" i="1"/>
  <c r="A2897" i="1"/>
  <c r="B2897" i="1"/>
  <c r="A2898" i="1"/>
  <c r="B2898" i="1"/>
  <c r="A2899" i="1"/>
  <c r="B2899" i="1"/>
  <c r="A2900" i="1"/>
  <c r="B2900" i="1"/>
  <c r="A2901" i="1"/>
  <c r="B2901" i="1"/>
  <c r="A2902" i="1"/>
  <c r="B2902" i="1"/>
  <c r="A2903" i="1"/>
  <c r="B2903" i="1"/>
  <c r="A2904" i="1"/>
  <c r="B2904" i="1"/>
  <c r="A2905" i="1"/>
  <c r="B2905" i="1"/>
  <c r="A2906" i="1"/>
  <c r="B2906" i="1"/>
  <c r="A2907" i="1"/>
  <c r="B2907" i="1"/>
  <c r="A2908" i="1"/>
  <c r="B2908" i="1"/>
  <c r="A2909" i="1"/>
  <c r="B2909" i="1"/>
  <c r="A2910" i="1"/>
  <c r="B2910" i="1"/>
  <c r="A2911" i="1"/>
  <c r="B2911" i="1"/>
  <c r="A2912" i="1"/>
  <c r="B2912" i="1"/>
  <c r="A2913" i="1"/>
  <c r="B2913" i="1"/>
  <c r="A2914" i="1"/>
  <c r="B2914" i="1"/>
  <c r="A2915" i="1"/>
  <c r="B2915" i="1"/>
  <c r="A2916" i="1"/>
  <c r="B2916" i="1"/>
  <c r="A2917" i="1"/>
  <c r="B2917" i="1"/>
  <c r="A2918" i="1"/>
  <c r="B2918" i="1"/>
  <c r="A2919" i="1"/>
  <c r="B2919" i="1"/>
  <c r="A2920" i="1"/>
  <c r="B2920" i="1"/>
  <c r="A2921" i="1"/>
  <c r="B2921" i="1"/>
  <c r="A2922" i="1"/>
  <c r="B2922" i="1"/>
  <c r="A2923" i="1"/>
  <c r="B2923" i="1"/>
  <c r="A2924" i="1"/>
  <c r="B2924" i="1"/>
  <c r="A2925" i="1"/>
  <c r="B2925" i="1"/>
  <c r="A2926" i="1"/>
  <c r="B2926" i="1"/>
  <c r="A2927" i="1"/>
  <c r="B2927" i="1"/>
  <c r="A2928" i="1"/>
  <c r="B2928" i="1"/>
  <c r="A2929" i="1"/>
  <c r="B2929" i="1"/>
  <c r="A2930" i="1"/>
  <c r="B2930" i="1"/>
  <c r="A2931" i="1"/>
  <c r="B2931" i="1"/>
  <c r="A2932" i="1"/>
  <c r="B2932" i="1"/>
  <c r="A2933" i="1"/>
  <c r="B2933" i="1"/>
  <c r="A2934" i="1"/>
  <c r="B2934" i="1"/>
  <c r="A2935" i="1"/>
  <c r="B2935" i="1"/>
  <c r="A2936" i="1"/>
  <c r="B2936" i="1"/>
  <c r="A2937" i="1"/>
  <c r="B2937" i="1"/>
  <c r="A2938" i="1"/>
  <c r="B2938" i="1"/>
  <c r="A2939" i="1"/>
  <c r="B2939" i="1"/>
  <c r="A2940" i="1"/>
  <c r="B2940" i="1"/>
  <c r="A2941" i="1"/>
  <c r="B2941" i="1"/>
  <c r="A2942" i="1"/>
  <c r="B2942" i="1"/>
  <c r="A2943" i="1"/>
  <c r="B2943" i="1"/>
  <c r="A2944" i="1"/>
  <c r="B2944" i="1"/>
  <c r="A2945" i="1"/>
  <c r="B2945" i="1"/>
  <c r="A2946" i="1"/>
  <c r="B2946" i="1"/>
  <c r="A2947" i="1"/>
  <c r="B2947" i="1"/>
  <c r="A2948" i="1"/>
  <c r="B2948" i="1"/>
  <c r="A2949" i="1"/>
  <c r="B2949" i="1"/>
  <c r="A2950" i="1"/>
  <c r="B2950" i="1"/>
  <c r="A2951" i="1"/>
  <c r="B2951" i="1"/>
  <c r="A2952" i="1"/>
  <c r="B2952" i="1"/>
  <c r="A2953" i="1"/>
  <c r="B2953" i="1"/>
  <c r="A2954" i="1"/>
  <c r="B2954" i="1"/>
  <c r="A2955" i="1"/>
  <c r="B2955" i="1"/>
  <c r="A2956" i="1"/>
  <c r="B2956" i="1"/>
  <c r="A2957" i="1"/>
  <c r="B2957" i="1"/>
  <c r="A2958" i="1"/>
  <c r="B2958" i="1"/>
  <c r="A2959" i="1"/>
  <c r="B2959" i="1"/>
  <c r="A2960" i="1"/>
  <c r="B2960" i="1"/>
  <c r="A2961" i="1"/>
  <c r="B2961" i="1"/>
  <c r="A2962" i="1"/>
  <c r="B2962" i="1"/>
  <c r="A2963" i="1"/>
  <c r="B2963" i="1"/>
  <c r="A2964" i="1"/>
  <c r="B2964" i="1"/>
  <c r="A2965" i="1"/>
  <c r="B2965" i="1"/>
  <c r="A2966" i="1"/>
  <c r="B2966" i="1"/>
  <c r="A2967" i="1"/>
  <c r="B2967" i="1"/>
  <c r="A2968" i="1"/>
  <c r="B2968" i="1"/>
  <c r="A2969" i="1"/>
  <c r="B2969" i="1"/>
  <c r="A2970" i="1"/>
  <c r="B2970" i="1"/>
  <c r="A2971" i="1"/>
  <c r="B2971" i="1"/>
  <c r="A2972" i="1"/>
  <c r="B2972" i="1"/>
  <c r="A2973" i="1"/>
  <c r="B2973" i="1"/>
  <c r="A2974" i="1"/>
  <c r="B2974" i="1"/>
  <c r="A2975" i="1"/>
  <c r="B2975" i="1"/>
  <c r="A2976" i="1"/>
  <c r="B2976" i="1"/>
  <c r="A2977" i="1"/>
  <c r="B2977" i="1"/>
  <c r="A2978" i="1"/>
  <c r="B2978" i="1"/>
  <c r="A2979" i="1"/>
  <c r="B2979" i="1"/>
  <c r="A2980" i="1"/>
  <c r="B2980" i="1"/>
  <c r="A2981" i="1"/>
  <c r="B2981" i="1"/>
  <c r="A2982" i="1"/>
  <c r="B2982" i="1"/>
  <c r="A2983" i="1"/>
  <c r="B2983" i="1"/>
  <c r="A2984" i="1"/>
  <c r="B2984" i="1"/>
  <c r="A2985" i="1"/>
  <c r="B2985" i="1"/>
  <c r="A2986" i="1"/>
  <c r="B2986" i="1"/>
  <c r="A2987" i="1"/>
  <c r="B2987" i="1"/>
  <c r="A2988" i="1"/>
  <c r="B2988" i="1"/>
  <c r="A2989" i="1"/>
  <c r="B2989" i="1"/>
  <c r="A2990" i="1"/>
  <c r="B2990" i="1"/>
  <c r="A2991" i="1"/>
  <c r="B2991" i="1"/>
  <c r="A2992" i="1"/>
  <c r="B2992" i="1"/>
  <c r="A2993" i="1"/>
  <c r="B2993" i="1"/>
  <c r="A2994" i="1"/>
  <c r="B2994" i="1"/>
  <c r="A2995" i="1"/>
  <c r="B2995" i="1"/>
  <c r="A2996" i="1"/>
  <c r="B2996" i="1"/>
  <c r="A2997" i="1"/>
  <c r="B2997" i="1"/>
  <c r="A2998" i="1"/>
  <c r="B2998" i="1"/>
  <c r="A2999" i="1"/>
  <c r="B2999" i="1"/>
  <c r="A3000" i="1"/>
  <c r="B3000" i="1"/>
  <c r="A3001" i="1"/>
  <c r="B3001" i="1"/>
  <c r="A3002" i="1"/>
  <c r="B3002" i="1"/>
  <c r="A3003" i="1"/>
  <c r="B3003" i="1"/>
  <c r="A3004" i="1"/>
  <c r="B3004" i="1"/>
  <c r="A3005" i="1"/>
  <c r="B3005" i="1"/>
  <c r="A3006" i="1"/>
  <c r="B3006" i="1"/>
  <c r="A3007" i="1"/>
  <c r="B3007" i="1"/>
  <c r="A3008" i="1"/>
  <c r="B3008" i="1"/>
  <c r="A3009" i="1"/>
  <c r="B3009" i="1"/>
  <c r="A3010" i="1"/>
  <c r="B3010" i="1"/>
  <c r="A3011" i="1"/>
  <c r="B3011" i="1"/>
  <c r="A3012" i="1"/>
  <c r="B3012" i="1"/>
  <c r="A3013" i="1"/>
  <c r="B3013" i="1"/>
  <c r="A3014" i="1"/>
  <c r="B3014" i="1"/>
  <c r="A3015" i="1"/>
  <c r="B3015" i="1"/>
  <c r="A3016" i="1"/>
  <c r="B3016" i="1"/>
  <c r="A3017" i="1"/>
  <c r="B3017" i="1"/>
  <c r="A3018" i="1"/>
  <c r="B3018" i="1"/>
  <c r="A3019" i="1"/>
  <c r="B3019" i="1"/>
  <c r="A3020" i="1"/>
  <c r="B3020" i="1"/>
  <c r="A3021" i="1"/>
  <c r="B3021" i="1"/>
  <c r="A3022" i="1"/>
  <c r="B3022" i="1"/>
  <c r="A3023" i="1"/>
  <c r="B3023" i="1"/>
  <c r="A3024" i="1"/>
  <c r="B3024" i="1"/>
  <c r="A3025" i="1"/>
  <c r="B3025" i="1"/>
  <c r="A3026" i="1"/>
  <c r="B3026" i="1"/>
  <c r="A3027" i="1"/>
  <c r="B3027" i="1"/>
  <c r="A3028" i="1"/>
  <c r="B3028" i="1"/>
  <c r="A3029" i="1"/>
  <c r="B3029" i="1"/>
  <c r="A3030" i="1"/>
  <c r="B3030" i="1"/>
  <c r="A3031" i="1"/>
  <c r="B3031" i="1"/>
  <c r="A3032" i="1"/>
  <c r="B3032" i="1"/>
  <c r="A3033" i="1"/>
  <c r="B3033" i="1"/>
  <c r="A3034" i="1"/>
  <c r="B3034" i="1"/>
  <c r="A3035" i="1"/>
  <c r="B3035" i="1"/>
  <c r="A3036" i="1"/>
  <c r="B3036" i="1"/>
  <c r="A3037" i="1"/>
  <c r="B3037" i="1"/>
  <c r="A3038" i="1"/>
  <c r="B3038" i="1"/>
  <c r="A3039" i="1"/>
  <c r="B3039" i="1"/>
  <c r="A3040" i="1"/>
  <c r="B3040" i="1"/>
  <c r="A3041" i="1"/>
  <c r="B3041" i="1"/>
  <c r="A3042" i="1"/>
  <c r="B3042" i="1"/>
  <c r="A3043" i="1"/>
  <c r="B3043" i="1"/>
  <c r="A3044" i="1"/>
  <c r="B3044" i="1"/>
  <c r="A3045" i="1"/>
  <c r="B3045" i="1"/>
  <c r="A3046" i="1"/>
  <c r="B3046" i="1"/>
  <c r="A3047" i="1"/>
  <c r="B3047" i="1"/>
  <c r="A3048" i="1"/>
  <c r="B3048" i="1"/>
  <c r="A3049" i="1"/>
  <c r="B3049" i="1"/>
  <c r="A3050" i="1"/>
  <c r="B3050" i="1"/>
  <c r="A3051" i="1"/>
  <c r="B3051" i="1"/>
  <c r="A3052" i="1"/>
  <c r="B3052" i="1"/>
  <c r="A3053" i="1"/>
  <c r="B3053" i="1"/>
  <c r="A3054" i="1"/>
  <c r="B3054" i="1"/>
  <c r="A3055" i="1"/>
  <c r="B3055" i="1"/>
  <c r="A3056" i="1"/>
  <c r="B3056" i="1"/>
  <c r="A3057" i="1"/>
  <c r="B3057" i="1"/>
  <c r="A3058" i="1"/>
  <c r="B3058" i="1"/>
  <c r="A3059" i="1"/>
  <c r="B3059" i="1"/>
  <c r="A3060" i="1"/>
  <c r="B3060" i="1"/>
  <c r="A3061" i="1"/>
  <c r="B3061" i="1"/>
  <c r="A3062" i="1"/>
  <c r="B3062" i="1"/>
  <c r="A3063" i="1"/>
  <c r="B3063" i="1"/>
  <c r="A3064" i="1"/>
  <c r="B3064" i="1"/>
  <c r="A3065" i="1"/>
  <c r="B3065" i="1"/>
  <c r="A3066" i="1"/>
  <c r="B3066" i="1"/>
  <c r="A3067" i="1"/>
  <c r="B3067" i="1"/>
  <c r="A3068" i="1"/>
  <c r="B3068" i="1"/>
  <c r="A3069" i="1"/>
  <c r="B3069" i="1"/>
  <c r="A3070" i="1"/>
  <c r="B3070" i="1"/>
  <c r="A3071" i="1"/>
  <c r="B3071" i="1"/>
  <c r="A3072" i="1"/>
  <c r="B3072" i="1"/>
  <c r="A3073" i="1"/>
  <c r="B3073" i="1"/>
  <c r="A3074" i="1"/>
  <c r="B3074" i="1"/>
  <c r="A3075" i="1"/>
  <c r="B3075" i="1"/>
  <c r="A3076" i="1"/>
  <c r="B3076" i="1"/>
  <c r="A3077" i="1"/>
  <c r="B3077" i="1"/>
  <c r="A3078" i="1"/>
  <c r="B3078" i="1"/>
  <c r="A3079" i="1"/>
  <c r="B3079" i="1"/>
  <c r="A3080" i="1"/>
  <c r="B3080" i="1"/>
  <c r="A3081" i="1"/>
  <c r="B3081" i="1"/>
  <c r="A3082" i="1"/>
  <c r="B3082" i="1"/>
  <c r="A3083" i="1"/>
  <c r="B3083" i="1"/>
  <c r="A3084" i="1"/>
  <c r="B3084" i="1"/>
  <c r="A3085" i="1"/>
  <c r="B3085" i="1"/>
  <c r="A3086" i="1"/>
  <c r="B3086" i="1"/>
  <c r="A3087" i="1"/>
  <c r="B3087" i="1"/>
  <c r="A3088" i="1"/>
  <c r="B3088" i="1"/>
  <c r="A3089" i="1"/>
  <c r="B3089" i="1"/>
  <c r="A3090" i="1"/>
  <c r="B3090" i="1"/>
  <c r="A3091" i="1"/>
  <c r="B3091" i="1"/>
  <c r="A3092" i="1"/>
  <c r="B3092" i="1"/>
  <c r="A3093" i="1"/>
  <c r="B3093" i="1"/>
  <c r="A3094" i="1"/>
  <c r="B3094" i="1"/>
  <c r="A3095" i="1"/>
  <c r="B3095" i="1"/>
  <c r="A3096" i="1"/>
  <c r="B3096" i="1"/>
  <c r="A3097" i="1"/>
  <c r="B3097" i="1"/>
  <c r="A3098" i="1"/>
  <c r="B3098" i="1"/>
  <c r="A3099" i="1"/>
  <c r="B3099" i="1"/>
  <c r="A3100" i="1"/>
  <c r="B3100" i="1"/>
  <c r="A3101" i="1"/>
  <c r="B3101" i="1"/>
  <c r="A3102" i="1"/>
  <c r="B3102" i="1"/>
  <c r="A3103" i="1"/>
  <c r="B3103" i="1"/>
  <c r="A3104" i="1"/>
  <c r="B3104" i="1"/>
  <c r="A3105" i="1"/>
  <c r="B3105" i="1"/>
  <c r="A3106" i="1"/>
  <c r="B3106" i="1"/>
  <c r="A3107" i="1"/>
  <c r="B3107" i="1"/>
  <c r="A3108" i="1"/>
  <c r="B3108" i="1"/>
  <c r="A3109" i="1"/>
  <c r="B3109" i="1"/>
  <c r="A3110" i="1"/>
  <c r="B3110" i="1"/>
  <c r="A3111" i="1"/>
  <c r="B3111" i="1"/>
  <c r="A3112" i="1"/>
  <c r="B3112" i="1"/>
  <c r="A3113" i="1"/>
  <c r="B3113" i="1"/>
  <c r="A3114" i="1"/>
  <c r="B3114" i="1"/>
  <c r="A3115" i="1"/>
  <c r="B3115" i="1"/>
  <c r="A3116" i="1"/>
  <c r="B3116" i="1"/>
  <c r="A3117" i="1"/>
  <c r="B3117" i="1"/>
  <c r="A3118" i="1"/>
  <c r="B3118" i="1"/>
  <c r="A3119" i="1"/>
  <c r="B3119" i="1"/>
  <c r="A3120" i="1"/>
  <c r="B3120" i="1"/>
  <c r="A3121" i="1"/>
  <c r="B3121" i="1"/>
  <c r="A3122" i="1"/>
  <c r="B3122" i="1"/>
  <c r="A3123" i="1"/>
  <c r="B3123" i="1"/>
  <c r="A3124" i="1"/>
  <c r="B3124" i="1"/>
  <c r="A3125" i="1"/>
  <c r="B3125" i="1"/>
  <c r="A3126" i="1"/>
  <c r="B3126" i="1"/>
  <c r="A3127" i="1"/>
  <c r="B3127" i="1"/>
  <c r="A3128" i="1"/>
  <c r="B3128" i="1"/>
  <c r="A3129" i="1"/>
  <c r="B3129" i="1"/>
  <c r="A3130" i="1"/>
  <c r="B3130" i="1"/>
  <c r="A3131" i="1"/>
  <c r="B3131" i="1"/>
  <c r="A3132" i="1"/>
  <c r="B3132" i="1"/>
  <c r="A3133" i="1"/>
  <c r="B3133" i="1"/>
  <c r="A3134" i="1"/>
  <c r="B3134" i="1"/>
  <c r="A3135" i="1"/>
  <c r="B3135" i="1"/>
  <c r="A3136" i="1"/>
  <c r="B3136" i="1"/>
  <c r="A3137" i="1"/>
  <c r="B3137" i="1"/>
  <c r="A3138" i="1"/>
  <c r="B3138" i="1"/>
  <c r="A3139" i="1"/>
  <c r="B3139" i="1"/>
  <c r="A3140" i="1"/>
  <c r="B3140" i="1"/>
  <c r="A3141" i="1"/>
  <c r="B3141" i="1"/>
  <c r="A3142" i="1"/>
  <c r="B3142" i="1"/>
  <c r="A3143" i="1"/>
  <c r="B3143" i="1"/>
  <c r="A3144" i="1"/>
  <c r="B3144" i="1"/>
  <c r="A3145" i="1"/>
  <c r="B3145" i="1"/>
  <c r="A3146" i="1"/>
  <c r="B3146" i="1"/>
  <c r="A3147" i="1"/>
  <c r="B3147" i="1"/>
  <c r="A3148" i="1"/>
  <c r="B3148" i="1"/>
  <c r="A3149" i="1"/>
  <c r="B3149" i="1"/>
  <c r="A3150" i="1"/>
  <c r="B3150" i="1"/>
  <c r="A3151" i="1"/>
  <c r="B3151" i="1"/>
  <c r="A3152" i="1"/>
  <c r="B3152" i="1"/>
  <c r="A3153" i="1"/>
  <c r="B3153" i="1"/>
  <c r="A3154" i="1"/>
  <c r="B3154" i="1"/>
  <c r="A3155" i="1"/>
  <c r="B3155" i="1"/>
  <c r="A3156" i="1"/>
  <c r="B3156" i="1"/>
  <c r="A3157" i="1"/>
  <c r="B3157" i="1"/>
  <c r="A3158" i="1"/>
  <c r="B3158" i="1"/>
  <c r="A3159" i="1"/>
  <c r="B3159" i="1"/>
  <c r="A3160" i="1"/>
  <c r="B3160" i="1"/>
  <c r="A3161" i="1"/>
  <c r="B3161" i="1"/>
  <c r="A3162" i="1"/>
  <c r="B3162" i="1"/>
  <c r="A3163" i="1"/>
  <c r="B3163" i="1"/>
  <c r="A3164" i="1"/>
  <c r="B3164" i="1"/>
  <c r="A3165" i="1"/>
  <c r="B3165" i="1"/>
  <c r="A3166" i="1"/>
  <c r="B3166" i="1"/>
  <c r="A3167" i="1"/>
  <c r="B3167" i="1"/>
  <c r="A3168" i="1"/>
  <c r="B3168" i="1"/>
  <c r="A3169" i="1"/>
  <c r="B3169" i="1"/>
  <c r="A3170" i="1"/>
  <c r="B3170" i="1"/>
  <c r="A3171" i="1"/>
  <c r="B3171" i="1"/>
  <c r="A3172" i="1"/>
  <c r="B3172" i="1"/>
  <c r="A3173" i="1"/>
  <c r="B3173" i="1"/>
  <c r="A3174" i="1"/>
  <c r="B3174" i="1"/>
  <c r="A3175" i="1"/>
  <c r="B3175" i="1"/>
  <c r="A3176" i="1"/>
  <c r="B3176" i="1"/>
  <c r="A3177" i="1"/>
  <c r="B3177" i="1"/>
  <c r="A3178" i="1"/>
  <c r="B3178" i="1"/>
  <c r="A3179" i="1"/>
  <c r="B3179" i="1"/>
  <c r="A3180" i="1"/>
  <c r="B3180" i="1"/>
  <c r="A3181" i="1"/>
  <c r="B3181" i="1"/>
  <c r="A3182" i="1"/>
  <c r="B3182" i="1"/>
  <c r="A3183" i="1"/>
  <c r="B3183" i="1"/>
  <c r="A3184" i="1"/>
  <c r="B3184" i="1"/>
  <c r="A3185" i="1"/>
  <c r="B3185" i="1"/>
  <c r="A3186" i="1"/>
  <c r="B3186" i="1"/>
  <c r="A3187" i="1"/>
  <c r="B3187" i="1"/>
  <c r="A3188" i="1"/>
  <c r="B3188" i="1"/>
  <c r="A3189" i="1"/>
  <c r="B3189" i="1"/>
  <c r="A3190" i="1"/>
  <c r="B3190" i="1"/>
  <c r="A3191" i="1"/>
  <c r="B3191" i="1"/>
  <c r="A3192" i="1"/>
  <c r="B3192" i="1"/>
  <c r="A3193" i="1"/>
  <c r="B3193" i="1"/>
  <c r="A3194" i="1"/>
  <c r="B3194" i="1"/>
  <c r="A3195" i="1"/>
  <c r="B3195" i="1"/>
  <c r="A3196" i="1"/>
  <c r="B3196" i="1"/>
  <c r="A3197" i="1"/>
  <c r="B3197" i="1"/>
  <c r="A3198" i="1"/>
  <c r="B3198" i="1"/>
  <c r="A3199" i="1"/>
  <c r="B3199" i="1"/>
  <c r="A3200" i="1"/>
  <c r="B3200" i="1"/>
  <c r="A3201" i="1"/>
  <c r="B3201" i="1"/>
  <c r="A3202" i="1"/>
  <c r="B3202" i="1"/>
  <c r="A3203" i="1"/>
  <c r="B3203" i="1"/>
  <c r="A3204" i="1"/>
  <c r="B3204" i="1"/>
  <c r="A3205" i="1"/>
  <c r="B3205" i="1"/>
  <c r="A3206" i="1"/>
  <c r="B3206" i="1"/>
  <c r="A3207" i="1"/>
  <c r="B3207" i="1"/>
  <c r="A3208" i="1"/>
  <c r="B3208" i="1"/>
  <c r="A3209" i="1"/>
  <c r="B3209" i="1"/>
  <c r="A3210" i="1"/>
  <c r="B3210" i="1"/>
  <c r="A3211" i="1"/>
  <c r="B3211" i="1"/>
  <c r="A3212" i="1"/>
  <c r="B3212" i="1"/>
  <c r="A3213" i="1"/>
  <c r="B3213" i="1"/>
  <c r="A3214" i="1"/>
  <c r="B3214" i="1"/>
  <c r="A3215" i="1"/>
  <c r="B3215" i="1"/>
  <c r="A3216" i="1"/>
  <c r="B3216" i="1"/>
  <c r="A3217" i="1"/>
  <c r="B3217" i="1"/>
  <c r="A3218" i="1"/>
  <c r="B3218" i="1"/>
  <c r="A3219" i="1"/>
  <c r="B3219" i="1"/>
  <c r="A3220" i="1"/>
  <c r="B3220" i="1"/>
  <c r="A3221" i="1"/>
  <c r="B3221" i="1"/>
  <c r="A3222" i="1"/>
  <c r="B3222" i="1"/>
  <c r="A3223" i="1"/>
  <c r="B3223" i="1"/>
  <c r="A3224" i="1"/>
  <c r="B3224" i="1"/>
  <c r="A3225" i="1"/>
  <c r="B3225" i="1"/>
  <c r="A3226" i="1"/>
  <c r="B3226" i="1"/>
  <c r="A3227" i="1"/>
  <c r="B3227" i="1"/>
  <c r="A3228" i="1"/>
  <c r="B3228" i="1"/>
  <c r="A3229" i="1"/>
  <c r="B3229" i="1"/>
  <c r="A3230" i="1"/>
  <c r="B3230" i="1"/>
  <c r="A3231" i="1"/>
  <c r="B3231" i="1"/>
  <c r="A3232" i="1"/>
  <c r="B3232" i="1"/>
  <c r="A3233" i="1"/>
  <c r="B3233" i="1"/>
  <c r="A3234" i="1"/>
  <c r="B3234" i="1"/>
  <c r="A3235" i="1"/>
  <c r="B3235" i="1"/>
  <c r="A3236" i="1"/>
  <c r="B3236" i="1"/>
  <c r="A3237" i="1"/>
  <c r="B3237" i="1"/>
  <c r="A3238" i="1"/>
  <c r="B3238" i="1"/>
  <c r="A3239" i="1"/>
  <c r="B3239" i="1"/>
  <c r="A3240" i="1"/>
  <c r="B3240" i="1"/>
  <c r="A3241" i="1"/>
  <c r="B3241" i="1"/>
  <c r="A3242" i="1"/>
  <c r="B3242" i="1"/>
  <c r="A3243" i="1"/>
  <c r="B3243" i="1"/>
  <c r="A3244" i="1"/>
  <c r="B3244" i="1"/>
  <c r="A3245" i="1"/>
  <c r="B3245" i="1"/>
  <c r="A3246" i="1"/>
  <c r="B3246" i="1"/>
  <c r="A3247" i="1"/>
  <c r="B3247" i="1"/>
  <c r="A3248" i="1"/>
  <c r="B3248" i="1"/>
  <c r="A3249" i="1"/>
  <c r="B3249" i="1"/>
  <c r="A3250" i="1"/>
  <c r="B3250" i="1"/>
  <c r="A3251" i="1"/>
  <c r="B3251" i="1"/>
  <c r="A3252" i="1"/>
  <c r="B3252" i="1"/>
  <c r="A3253" i="1"/>
  <c r="B3253" i="1"/>
  <c r="A3254" i="1"/>
  <c r="B3254" i="1"/>
  <c r="A3255" i="1"/>
  <c r="B3255" i="1"/>
  <c r="A3256" i="1"/>
  <c r="B3256" i="1"/>
  <c r="A3257" i="1"/>
  <c r="B3257" i="1"/>
  <c r="A3258" i="1"/>
  <c r="B3258" i="1"/>
  <c r="A3259" i="1"/>
  <c r="B3259" i="1"/>
  <c r="A3260" i="1"/>
  <c r="B3260" i="1"/>
  <c r="A3261" i="1"/>
  <c r="B3261" i="1"/>
  <c r="A3262" i="1"/>
  <c r="B3262" i="1"/>
  <c r="A3263" i="1"/>
  <c r="B3263" i="1"/>
  <c r="A3264" i="1"/>
  <c r="B3264" i="1"/>
  <c r="A3265" i="1"/>
  <c r="B3265" i="1"/>
  <c r="A3266" i="1"/>
  <c r="B3266" i="1"/>
  <c r="A3267" i="1"/>
  <c r="B3267" i="1"/>
  <c r="A3268" i="1"/>
  <c r="B3268" i="1"/>
  <c r="A3269" i="1"/>
  <c r="B3269" i="1"/>
  <c r="A3270" i="1"/>
  <c r="B3270" i="1"/>
  <c r="A3271" i="1"/>
  <c r="B3271" i="1"/>
  <c r="A3272" i="1"/>
  <c r="B3272" i="1"/>
  <c r="A3273" i="1"/>
  <c r="B3273" i="1"/>
  <c r="A3274" i="1"/>
  <c r="B3274" i="1"/>
  <c r="A3275" i="1"/>
  <c r="B3275" i="1"/>
  <c r="A3276" i="1"/>
  <c r="B3276" i="1"/>
  <c r="A3277" i="1"/>
  <c r="B3277" i="1"/>
  <c r="A3278" i="1"/>
  <c r="B3278" i="1"/>
  <c r="A3279" i="1"/>
  <c r="B3279" i="1"/>
  <c r="A3280" i="1"/>
  <c r="B3280" i="1"/>
  <c r="A3281" i="1"/>
  <c r="B3281" i="1"/>
  <c r="A3282" i="1"/>
  <c r="B3282" i="1"/>
  <c r="A3283" i="1"/>
  <c r="B3283" i="1"/>
  <c r="A3284" i="1"/>
  <c r="B3284" i="1"/>
  <c r="A3285" i="1"/>
  <c r="B3285" i="1"/>
  <c r="A3286" i="1"/>
  <c r="B3286" i="1"/>
  <c r="A3287" i="1"/>
  <c r="B3287" i="1"/>
  <c r="A3288" i="1"/>
  <c r="B3288" i="1"/>
  <c r="A3289" i="1"/>
  <c r="B3289" i="1"/>
  <c r="A3290" i="1"/>
  <c r="B3290" i="1"/>
  <c r="A3291" i="1"/>
  <c r="B3291" i="1"/>
  <c r="A3292" i="1"/>
  <c r="B3292" i="1"/>
  <c r="A3293" i="1"/>
  <c r="B3293" i="1"/>
  <c r="A3294" i="1"/>
  <c r="B3294" i="1"/>
  <c r="A3295" i="1"/>
  <c r="B3295" i="1"/>
  <c r="A3296" i="1"/>
  <c r="B3296" i="1"/>
  <c r="A3297" i="1"/>
  <c r="B3297" i="1"/>
  <c r="A3298" i="1"/>
  <c r="B3298" i="1"/>
  <c r="A3299" i="1"/>
  <c r="B3299" i="1"/>
  <c r="A3300" i="1"/>
  <c r="B3300" i="1"/>
  <c r="A3301" i="1"/>
  <c r="B3301" i="1"/>
  <c r="A3302" i="1"/>
  <c r="B3302" i="1"/>
  <c r="A3303" i="1"/>
  <c r="B3303" i="1"/>
  <c r="A3304" i="1"/>
  <c r="B3304" i="1"/>
  <c r="A3305" i="1"/>
  <c r="B3305" i="1"/>
  <c r="A3306" i="1"/>
  <c r="B3306" i="1"/>
  <c r="A3307" i="1"/>
  <c r="B3307" i="1"/>
  <c r="A3308" i="1"/>
  <c r="B3308" i="1"/>
  <c r="A3309" i="1"/>
  <c r="B3309" i="1"/>
  <c r="A3310" i="1"/>
  <c r="B3310" i="1"/>
  <c r="A3311" i="1"/>
  <c r="B3311" i="1"/>
  <c r="A3312" i="1"/>
  <c r="B3312" i="1"/>
  <c r="A3313" i="1"/>
  <c r="B3313" i="1"/>
  <c r="A3314" i="1"/>
  <c r="B3314" i="1"/>
  <c r="A3315" i="1"/>
  <c r="B3315" i="1"/>
  <c r="A3316" i="1"/>
  <c r="B3316" i="1"/>
  <c r="A3317" i="1"/>
  <c r="B3317" i="1"/>
  <c r="A3318" i="1"/>
  <c r="B3318" i="1"/>
  <c r="A3319" i="1"/>
  <c r="B3319" i="1"/>
  <c r="A3320" i="1"/>
  <c r="B3320" i="1"/>
  <c r="A3321" i="1"/>
  <c r="B3321" i="1"/>
  <c r="A3322" i="1"/>
  <c r="B3322" i="1"/>
  <c r="A3323" i="1"/>
  <c r="B3323" i="1"/>
  <c r="A3324" i="1"/>
  <c r="B3324" i="1"/>
  <c r="A3325" i="1"/>
  <c r="B3325" i="1"/>
  <c r="A3326" i="1"/>
  <c r="B3326" i="1"/>
  <c r="A3327" i="1"/>
  <c r="B3327" i="1"/>
  <c r="A3328" i="1"/>
  <c r="B3328" i="1"/>
  <c r="A3329" i="1"/>
  <c r="B3329" i="1"/>
  <c r="A3330" i="1"/>
  <c r="B3330" i="1"/>
  <c r="A3331" i="1"/>
  <c r="B3331" i="1"/>
  <c r="A3332" i="1"/>
  <c r="B3332" i="1"/>
  <c r="A3333" i="1"/>
  <c r="B3333" i="1"/>
  <c r="A3334" i="1"/>
  <c r="B3334" i="1"/>
  <c r="A3335" i="1"/>
  <c r="B3335" i="1"/>
  <c r="A3336" i="1"/>
  <c r="B3336" i="1"/>
  <c r="A3337" i="1"/>
  <c r="B3337" i="1"/>
  <c r="A3338" i="1"/>
  <c r="B3338" i="1"/>
  <c r="A3339" i="1"/>
  <c r="B3339" i="1"/>
  <c r="A3340" i="1"/>
  <c r="B3340" i="1"/>
  <c r="A3341" i="1"/>
  <c r="B3341" i="1"/>
  <c r="A3342" i="1"/>
  <c r="B3342" i="1"/>
  <c r="A3343" i="1"/>
  <c r="B3343" i="1"/>
  <c r="A3344" i="1"/>
  <c r="B3344" i="1"/>
  <c r="A3345" i="1"/>
  <c r="B3345" i="1"/>
  <c r="A3346" i="1"/>
  <c r="B3346" i="1"/>
  <c r="A3347" i="1"/>
  <c r="B3347" i="1"/>
  <c r="A3348" i="1"/>
  <c r="B3348" i="1"/>
  <c r="A3349" i="1"/>
  <c r="B3349" i="1"/>
  <c r="A3350" i="1"/>
  <c r="B3350" i="1"/>
  <c r="A3351" i="1"/>
  <c r="B3351" i="1"/>
  <c r="A3352" i="1"/>
  <c r="B3352" i="1"/>
  <c r="A3353" i="1"/>
  <c r="B3353" i="1"/>
  <c r="A3354" i="1"/>
  <c r="B3354" i="1"/>
  <c r="A3355" i="1"/>
  <c r="B3355" i="1"/>
  <c r="A3356" i="1"/>
  <c r="B3356" i="1"/>
  <c r="A3357" i="1"/>
  <c r="B3357" i="1"/>
  <c r="A3358" i="1"/>
  <c r="B3358" i="1"/>
  <c r="A3359" i="1"/>
  <c r="B3359" i="1"/>
  <c r="A3360" i="1"/>
  <c r="B3360" i="1"/>
  <c r="A3361" i="1"/>
  <c r="B3361" i="1"/>
  <c r="A3362" i="1"/>
  <c r="B3362" i="1"/>
  <c r="A3363" i="1"/>
  <c r="B3363" i="1"/>
  <c r="A3364" i="1"/>
  <c r="B3364" i="1"/>
  <c r="A3365" i="1"/>
  <c r="B3365" i="1"/>
  <c r="A3366" i="1"/>
  <c r="B3366" i="1"/>
  <c r="A3367" i="1"/>
  <c r="B3367" i="1"/>
  <c r="A3368" i="1"/>
  <c r="B3368" i="1"/>
  <c r="A3369" i="1"/>
  <c r="B3369" i="1"/>
  <c r="A3370" i="1"/>
  <c r="B3370" i="1"/>
  <c r="A3371" i="1"/>
  <c r="B3371" i="1"/>
  <c r="A3372" i="1"/>
  <c r="B3372" i="1"/>
  <c r="A3373" i="1"/>
  <c r="B3373" i="1"/>
  <c r="A3374" i="1"/>
  <c r="B3374" i="1"/>
  <c r="A3375" i="1"/>
  <c r="B3375" i="1"/>
  <c r="A3376" i="1"/>
  <c r="B3376" i="1"/>
  <c r="A3377" i="1"/>
  <c r="B3377" i="1"/>
  <c r="A3378" i="1"/>
  <c r="B3378" i="1"/>
  <c r="A3379" i="1"/>
  <c r="B3379" i="1"/>
  <c r="A3380" i="1"/>
  <c r="B3380" i="1"/>
  <c r="A3381" i="1"/>
  <c r="B3381" i="1"/>
  <c r="A3382" i="1"/>
  <c r="B3382" i="1"/>
  <c r="A3383" i="1"/>
  <c r="B3383" i="1"/>
  <c r="A3384" i="1"/>
  <c r="B3384" i="1"/>
  <c r="A3385" i="1"/>
  <c r="B3385" i="1"/>
  <c r="A3386" i="1"/>
  <c r="B3386" i="1"/>
  <c r="A3387" i="1"/>
  <c r="B3387" i="1"/>
  <c r="A3388" i="1"/>
  <c r="B3388" i="1"/>
  <c r="A3389" i="1"/>
  <c r="B3389" i="1"/>
  <c r="A3390" i="1"/>
  <c r="B3390" i="1"/>
  <c r="A3391" i="1"/>
  <c r="B3391" i="1"/>
  <c r="A3392" i="1"/>
  <c r="B3392" i="1"/>
  <c r="A3393" i="1"/>
  <c r="B3393" i="1"/>
  <c r="A3394" i="1"/>
  <c r="B3394" i="1"/>
  <c r="A3395" i="1"/>
  <c r="B3395" i="1"/>
  <c r="A3396" i="1"/>
  <c r="B3396" i="1"/>
  <c r="A3397" i="1"/>
  <c r="B3397" i="1"/>
  <c r="A3398" i="1"/>
  <c r="B3398" i="1"/>
  <c r="A3399" i="1"/>
  <c r="B3399" i="1"/>
  <c r="A3400" i="1"/>
  <c r="B3400" i="1"/>
  <c r="A3401" i="1"/>
  <c r="B3401" i="1"/>
  <c r="A3402" i="1"/>
  <c r="B3402" i="1"/>
  <c r="A3403" i="1"/>
  <c r="B3403" i="1"/>
  <c r="A3404" i="1"/>
  <c r="B3404" i="1"/>
  <c r="A3405" i="1"/>
  <c r="B3405" i="1"/>
  <c r="A3406" i="1"/>
  <c r="B3406" i="1"/>
  <c r="A3407" i="1"/>
  <c r="B3407" i="1"/>
  <c r="A3408" i="1"/>
  <c r="B3408" i="1"/>
  <c r="A3409" i="1"/>
  <c r="B3409" i="1"/>
  <c r="A3410" i="1"/>
  <c r="B3410" i="1"/>
  <c r="A3411" i="1"/>
  <c r="B3411" i="1"/>
  <c r="A3412" i="1"/>
  <c r="B3412" i="1"/>
  <c r="A3413" i="1"/>
  <c r="B3413" i="1"/>
  <c r="A3414" i="1"/>
  <c r="B3414" i="1"/>
  <c r="A3415" i="1"/>
  <c r="B3415" i="1"/>
  <c r="A3416" i="1"/>
  <c r="B3416" i="1"/>
  <c r="A3417" i="1"/>
  <c r="B3417" i="1"/>
  <c r="A3418" i="1"/>
  <c r="B3418" i="1"/>
  <c r="A3419" i="1"/>
  <c r="B3419" i="1"/>
  <c r="A3420" i="1"/>
  <c r="B3420" i="1"/>
  <c r="A3421" i="1"/>
  <c r="B3421" i="1"/>
  <c r="A3422" i="1"/>
  <c r="B3422" i="1"/>
  <c r="A3423" i="1"/>
  <c r="B3423" i="1"/>
  <c r="A3424" i="1"/>
  <c r="B3424" i="1"/>
  <c r="A3425" i="1"/>
  <c r="B3425" i="1"/>
  <c r="A3426" i="1"/>
  <c r="B3426" i="1"/>
  <c r="A3427" i="1"/>
  <c r="B3427" i="1"/>
  <c r="A3428" i="1"/>
  <c r="B3428" i="1"/>
  <c r="A3429" i="1"/>
  <c r="B3429" i="1"/>
  <c r="A3430" i="1"/>
  <c r="B3430" i="1"/>
  <c r="A3431" i="1"/>
  <c r="B3431" i="1"/>
  <c r="A3432" i="1"/>
  <c r="B3432" i="1"/>
  <c r="A3433" i="1"/>
  <c r="B3433" i="1"/>
  <c r="A3434" i="1"/>
  <c r="B3434" i="1"/>
  <c r="A3435" i="1"/>
  <c r="B3435" i="1"/>
  <c r="A3436" i="1"/>
  <c r="B3436" i="1"/>
  <c r="A3437" i="1"/>
  <c r="B3437" i="1"/>
  <c r="A3438" i="1"/>
  <c r="B3438" i="1"/>
  <c r="A3439" i="1"/>
  <c r="B3439" i="1"/>
  <c r="A3440" i="1"/>
  <c r="B3440" i="1"/>
  <c r="A3441" i="1"/>
  <c r="B3441" i="1"/>
  <c r="A3442" i="1"/>
  <c r="B3442" i="1"/>
  <c r="A3443" i="1"/>
  <c r="B3443" i="1"/>
  <c r="A3444" i="1"/>
  <c r="B3444" i="1"/>
  <c r="A3445" i="1"/>
  <c r="B3445" i="1"/>
  <c r="A3446" i="1"/>
  <c r="B3446" i="1"/>
  <c r="A3447" i="1"/>
  <c r="B3447" i="1"/>
  <c r="A3448" i="1"/>
  <c r="B3448" i="1"/>
  <c r="A3449" i="1"/>
  <c r="B3449" i="1"/>
  <c r="A3450" i="1"/>
  <c r="B3450" i="1"/>
  <c r="A3451" i="1"/>
  <c r="B3451" i="1"/>
  <c r="A3452" i="1"/>
  <c r="B3452" i="1"/>
  <c r="A3453" i="1"/>
  <c r="B3453" i="1"/>
  <c r="A3454" i="1"/>
  <c r="B3454" i="1"/>
  <c r="A3455" i="1"/>
  <c r="B3455" i="1"/>
  <c r="A3456" i="1"/>
  <c r="B3456" i="1"/>
  <c r="A3457" i="1"/>
  <c r="B3457" i="1"/>
  <c r="A3458" i="1"/>
  <c r="B3458" i="1"/>
  <c r="A3459" i="1"/>
  <c r="B3459" i="1"/>
  <c r="A3460" i="1"/>
  <c r="B3460" i="1"/>
  <c r="A3461" i="1"/>
  <c r="B3461" i="1"/>
  <c r="A3462" i="1"/>
  <c r="B3462" i="1"/>
  <c r="A3463" i="1"/>
  <c r="B3463" i="1"/>
  <c r="A3464" i="1"/>
  <c r="B3464" i="1"/>
  <c r="A3465" i="1"/>
  <c r="B3465" i="1"/>
  <c r="A3466" i="1"/>
  <c r="B3466" i="1"/>
  <c r="A3467" i="1"/>
  <c r="B3467" i="1"/>
  <c r="A3468" i="1"/>
  <c r="B3468" i="1"/>
  <c r="A3469" i="1"/>
  <c r="B3469" i="1"/>
  <c r="A3470" i="1"/>
  <c r="B3470" i="1"/>
  <c r="A3471" i="1"/>
  <c r="B3471" i="1"/>
  <c r="A3472" i="1"/>
  <c r="B3472" i="1"/>
  <c r="A3473" i="1"/>
  <c r="B3473" i="1"/>
  <c r="A3474" i="1"/>
  <c r="B3474" i="1"/>
  <c r="A3475" i="1"/>
  <c r="B3475" i="1"/>
  <c r="A3476" i="1"/>
  <c r="B3476" i="1"/>
  <c r="A3477" i="1"/>
  <c r="B3477" i="1"/>
  <c r="A3478" i="1"/>
  <c r="B3478" i="1"/>
  <c r="A3479" i="1"/>
  <c r="B3479" i="1"/>
  <c r="A3480" i="1"/>
  <c r="B3480" i="1"/>
  <c r="A3481" i="1"/>
  <c r="B3481" i="1"/>
  <c r="A3482" i="1"/>
  <c r="B3482" i="1"/>
  <c r="A3483" i="1"/>
  <c r="B3483" i="1"/>
  <c r="A3484" i="1"/>
  <c r="B3484" i="1"/>
  <c r="A3485" i="1"/>
  <c r="B3485" i="1"/>
  <c r="A3486" i="1"/>
  <c r="B3486" i="1"/>
  <c r="A3487" i="1"/>
  <c r="B3487" i="1"/>
  <c r="A3488" i="1"/>
  <c r="B3488" i="1"/>
  <c r="A3489" i="1"/>
  <c r="B3489" i="1"/>
  <c r="A3490" i="1"/>
  <c r="B3490" i="1"/>
  <c r="A3491" i="1"/>
  <c r="B3491" i="1"/>
  <c r="A3492" i="1"/>
  <c r="B3492" i="1"/>
  <c r="A3493" i="1"/>
  <c r="B3493" i="1"/>
  <c r="A3494" i="1"/>
  <c r="B3494" i="1"/>
  <c r="A3495" i="1"/>
  <c r="B3495" i="1"/>
  <c r="A3496" i="1"/>
  <c r="B3496" i="1"/>
  <c r="A3497" i="1"/>
  <c r="B3497" i="1"/>
  <c r="A3498" i="1"/>
  <c r="B3498" i="1"/>
  <c r="A3499" i="1"/>
  <c r="B3499" i="1"/>
  <c r="A3500" i="1"/>
  <c r="B3500" i="1"/>
  <c r="A3501" i="1"/>
  <c r="B3501" i="1"/>
  <c r="A3502" i="1"/>
  <c r="B3502" i="1"/>
  <c r="A3503" i="1"/>
  <c r="B3503" i="1"/>
  <c r="A3504" i="1"/>
  <c r="B3504" i="1"/>
  <c r="A3505" i="1"/>
  <c r="B3505" i="1"/>
  <c r="A3506" i="1"/>
  <c r="B3506" i="1"/>
  <c r="A3507" i="1"/>
  <c r="B3507" i="1"/>
  <c r="A3508" i="1"/>
  <c r="B3508" i="1"/>
  <c r="A3509" i="1"/>
  <c r="B3509" i="1"/>
  <c r="A3510" i="1"/>
  <c r="B3510" i="1"/>
  <c r="A3511" i="1"/>
  <c r="B3511" i="1"/>
  <c r="A3512" i="1"/>
  <c r="B3512" i="1"/>
  <c r="A3513" i="1"/>
  <c r="B3513" i="1"/>
  <c r="A3514" i="1"/>
  <c r="B3514" i="1"/>
  <c r="A3515" i="1"/>
  <c r="B3515" i="1"/>
  <c r="A3516" i="1"/>
  <c r="B3516" i="1"/>
  <c r="A3517" i="1"/>
  <c r="B3517" i="1"/>
  <c r="A3518" i="1"/>
  <c r="B3518" i="1"/>
  <c r="A3519" i="1"/>
  <c r="B3519" i="1"/>
  <c r="A3520" i="1"/>
  <c r="B3520" i="1"/>
  <c r="A3521" i="1"/>
  <c r="B3521" i="1"/>
  <c r="A3522" i="1"/>
  <c r="B3522" i="1"/>
  <c r="A3523" i="1"/>
  <c r="B3523" i="1"/>
  <c r="A3524" i="1"/>
  <c r="B3524" i="1"/>
  <c r="A3525" i="1"/>
  <c r="B3525" i="1"/>
  <c r="A3526" i="1"/>
  <c r="B3526" i="1"/>
  <c r="A3527" i="1"/>
  <c r="B3527" i="1"/>
  <c r="A3528" i="1"/>
  <c r="B3528" i="1"/>
  <c r="A3529" i="1"/>
  <c r="B3529" i="1"/>
  <c r="A3530" i="1"/>
  <c r="B3530" i="1"/>
  <c r="A3531" i="1"/>
  <c r="B3531" i="1"/>
  <c r="A3532" i="1"/>
  <c r="B3532" i="1"/>
  <c r="A3533" i="1"/>
  <c r="B3533" i="1"/>
  <c r="A3534" i="1"/>
  <c r="B3534" i="1"/>
  <c r="A3535" i="1"/>
  <c r="B3535" i="1"/>
  <c r="A3536" i="1"/>
  <c r="B3536" i="1"/>
  <c r="A3537" i="1"/>
  <c r="B3537" i="1"/>
  <c r="A3538" i="1"/>
  <c r="B3538" i="1"/>
  <c r="A3539" i="1"/>
  <c r="B3539" i="1"/>
  <c r="A3540" i="1"/>
  <c r="B3540" i="1"/>
  <c r="A3541" i="1"/>
  <c r="B3541" i="1"/>
  <c r="A3542" i="1"/>
  <c r="B3542" i="1"/>
  <c r="A3543" i="1"/>
  <c r="B3543" i="1"/>
  <c r="A3544" i="1"/>
  <c r="B3544" i="1"/>
  <c r="A3545" i="1"/>
  <c r="B3545" i="1"/>
  <c r="A3546" i="1"/>
  <c r="B3546" i="1"/>
  <c r="A3547" i="1"/>
  <c r="B3547" i="1"/>
  <c r="A3548" i="1"/>
  <c r="B3548" i="1"/>
  <c r="A3549" i="1"/>
  <c r="B3549" i="1"/>
  <c r="A3550" i="1"/>
  <c r="B3550" i="1"/>
  <c r="A3551" i="1"/>
  <c r="B3551" i="1"/>
  <c r="A3552" i="1"/>
  <c r="B3552" i="1"/>
  <c r="A3553" i="1"/>
  <c r="B3553" i="1"/>
  <c r="A3554" i="1"/>
  <c r="B3554" i="1"/>
  <c r="A3555" i="1"/>
  <c r="B3555" i="1"/>
  <c r="A3556" i="1"/>
  <c r="B3556" i="1"/>
  <c r="A3557" i="1"/>
  <c r="B3557" i="1"/>
  <c r="A3558" i="1"/>
  <c r="B3558" i="1"/>
  <c r="A3559" i="1"/>
  <c r="B3559" i="1"/>
  <c r="A3560" i="1"/>
  <c r="B3560" i="1"/>
  <c r="A3561" i="1"/>
  <c r="B3561" i="1"/>
  <c r="A3562" i="1"/>
  <c r="B3562" i="1"/>
  <c r="A3563" i="1"/>
  <c r="B3563" i="1"/>
  <c r="A3564" i="1"/>
  <c r="B3564" i="1"/>
  <c r="A3565" i="1"/>
  <c r="B3565" i="1"/>
  <c r="A3566" i="1"/>
  <c r="B3566" i="1"/>
  <c r="A3567" i="1"/>
  <c r="B3567" i="1"/>
  <c r="A3568" i="1"/>
  <c r="B3568" i="1"/>
  <c r="A3569" i="1"/>
  <c r="B3569" i="1"/>
  <c r="A3570" i="1"/>
  <c r="B3570" i="1"/>
  <c r="A3571" i="1"/>
  <c r="B3571" i="1"/>
  <c r="A3572" i="1"/>
  <c r="B3572" i="1"/>
  <c r="A3573" i="1"/>
  <c r="B3573" i="1"/>
  <c r="A3574" i="1"/>
  <c r="B3574" i="1"/>
  <c r="A3575" i="1"/>
  <c r="B3575" i="1"/>
  <c r="A3576" i="1"/>
  <c r="B3576" i="1"/>
  <c r="A3577" i="1"/>
  <c r="B3577" i="1"/>
  <c r="A3578" i="1"/>
  <c r="B3578" i="1"/>
  <c r="A3579" i="1"/>
  <c r="B3579" i="1"/>
  <c r="A3580" i="1"/>
  <c r="B3580" i="1"/>
  <c r="A3581" i="1"/>
  <c r="B3581" i="1"/>
  <c r="A3582" i="1"/>
  <c r="B3582" i="1"/>
  <c r="A3583" i="1"/>
  <c r="B3583" i="1"/>
  <c r="A3584" i="1"/>
  <c r="B3584" i="1"/>
  <c r="A3585" i="1"/>
  <c r="B3585" i="1"/>
  <c r="A3586" i="1"/>
  <c r="B3586" i="1"/>
  <c r="A3587" i="1"/>
  <c r="B3587" i="1"/>
  <c r="A3588" i="1"/>
  <c r="B3588" i="1"/>
  <c r="A3589" i="1"/>
  <c r="B3589" i="1"/>
  <c r="A3590" i="1"/>
  <c r="B3590" i="1"/>
  <c r="A3591" i="1"/>
  <c r="B3591" i="1"/>
  <c r="A3592" i="1"/>
  <c r="B3592" i="1"/>
  <c r="A3593" i="1"/>
  <c r="B3593" i="1"/>
  <c r="A3594" i="1"/>
  <c r="B3594" i="1"/>
  <c r="A3595" i="1"/>
  <c r="B3595" i="1"/>
  <c r="A3596" i="1"/>
  <c r="B3596" i="1"/>
  <c r="A3597" i="1"/>
  <c r="B3597" i="1"/>
  <c r="A3598" i="1"/>
  <c r="B3598" i="1"/>
  <c r="A3599" i="1"/>
  <c r="B3599" i="1"/>
  <c r="A3600" i="1"/>
  <c r="B3600" i="1"/>
  <c r="A3601" i="1"/>
  <c r="B3601" i="1"/>
  <c r="A3602" i="1"/>
  <c r="B3602" i="1"/>
  <c r="A3603" i="1"/>
  <c r="B3603" i="1"/>
  <c r="A3604" i="1"/>
  <c r="B3604" i="1"/>
  <c r="A3605" i="1"/>
  <c r="B3605" i="1"/>
  <c r="A3606" i="1"/>
  <c r="B3606" i="1"/>
  <c r="A3607" i="1"/>
  <c r="B3607" i="1"/>
  <c r="A3608" i="1"/>
  <c r="B3608" i="1"/>
  <c r="A3609" i="1"/>
  <c r="B3609" i="1"/>
  <c r="A3610" i="1"/>
  <c r="B3610" i="1"/>
  <c r="A3611" i="1"/>
  <c r="B3611" i="1"/>
  <c r="A3612" i="1"/>
  <c r="B3612" i="1"/>
  <c r="A3613" i="1"/>
  <c r="B3613" i="1"/>
  <c r="A3614" i="1"/>
  <c r="B3614" i="1"/>
  <c r="A3615" i="1"/>
  <c r="B3615" i="1"/>
  <c r="A3616" i="1"/>
  <c r="B3616" i="1"/>
  <c r="A3617" i="1"/>
  <c r="B3617" i="1"/>
  <c r="A3618" i="1"/>
  <c r="B3618" i="1"/>
  <c r="A3619" i="1"/>
  <c r="B3619" i="1"/>
  <c r="A3620" i="1"/>
  <c r="B3620" i="1"/>
  <c r="A3621" i="1"/>
  <c r="B3621" i="1"/>
  <c r="A3622" i="1"/>
  <c r="B3622" i="1"/>
  <c r="A3623" i="1"/>
  <c r="B3623" i="1"/>
  <c r="A3624" i="1"/>
  <c r="B3624" i="1"/>
  <c r="A3625" i="1"/>
  <c r="B3625" i="1"/>
  <c r="A3626" i="1"/>
  <c r="B3626" i="1"/>
  <c r="A3627" i="1"/>
  <c r="B3627" i="1"/>
  <c r="A3628" i="1"/>
  <c r="B3628" i="1"/>
  <c r="A3629" i="1"/>
  <c r="B3629" i="1"/>
  <c r="A3630" i="1"/>
  <c r="B3630" i="1"/>
  <c r="A3631" i="1"/>
  <c r="B3631" i="1"/>
  <c r="A3632" i="1"/>
  <c r="B3632" i="1"/>
  <c r="A3633" i="1"/>
  <c r="B3633" i="1"/>
  <c r="A3634" i="1"/>
  <c r="B3634" i="1"/>
  <c r="A3635" i="1"/>
  <c r="B3635" i="1"/>
  <c r="A3636" i="1"/>
  <c r="B3636" i="1"/>
  <c r="A3637" i="1"/>
  <c r="B3637" i="1"/>
  <c r="A3638" i="1"/>
  <c r="B3638" i="1"/>
  <c r="A3639" i="1"/>
  <c r="B3639" i="1"/>
  <c r="A3640" i="1"/>
  <c r="B3640" i="1"/>
  <c r="A3641" i="1"/>
  <c r="B3641" i="1"/>
  <c r="A3642" i="1"/>
  <c r="B3642" i="1"/>
  <c r="A3643" i="1"/>
  <c r="B3643" i="1"/>
  <c r="A3644" i="1"/>
  <c r="B3644" i="1"/>
  <c r="A3645" i="1"/>
  <c r="B3645" i="1"/>
  <c r="A3646" i="1"/>
  <c r="B3646" i="1"/>
  <c r="A3647" i="1"/>
  <c r="B3647" i="1"/>
  <c r="A3648" i="1"/>
  <c r="B3648" i="1"/>
  <c r="A3649" i="1"/>
  <c r="B3649" i="1"/>
  <c r="A3650" i="1"/>
  <c r="B3650" i="1"/>
  <c r="A3651" i="1"/>
  <c r="B3651" i="1"/>
  <c r="A3652" i="1"/>
  <c r="B3652" i="1"/>
  <c r="A3653" i="1"/>
  <c r="B3653" i="1"/>
  <c r="A3654" i="1"/>
  <c r="B3654" i="1"/>
  <c r="A3655" i="1"/>
  <c r="B3655" i="1"/>
  <c r="A3656" i="1"/>
  <c r="B3656" i="1"/>
  <c r="A3657" i="1"/>
  <c r="B3657" i="1"/>
  <c r="A3658" i="1"/>
  <c r="B3658" i="1"/>
  <c r="A3659" i="1"/>
  <c r="B3659" i="1"/>
  <c r="A3660" i="1"/>
  <c r="B3660" i="1"/>
  <c r="A3661" i="1"/>
  <c r="B3661" i="1"/>
  <c r="A3662" i="1"/>
  <c r="B3662" i="1"/>
  <c r="A3663" i="1"/>
  <c r="B3663" i="1"/>
  <c r="A3664" i="1"/>
  <c r="B3664" i="1"/>
  <c r="A3665" i="1"/>
  <c r="B3665" i="1"/>
  <c r="A3666" i="1"/>
  <c r="B3666" i="1"/>
  <c r="A3667" i="1"/>
  <c r="B3667" i="1"/>
  <c r="A3668" i="1"/>
  <c r="B3668" i="1"/>
  <c r="A3669" i="1"/>
  <c r="B3669" i="1"/>
  <c r="A3670" i="1"/>
  <c r="B3670" i="1"/>
  <c r="A3671" i="1"/>
  <c r="B3671" i="1"/>
  <c r="A3672" i="1"/>
  <c r="B3672" i="1"/>
  <c r="A3673" i="1"/>
  <c r="B3673" i="1"/>
  <c r="A3674" i="1"/>
  <c r="B3674" i="1"/>
  <c r="A3675" i="1"/>
  <c r="B3675" i="1"/>
  <c r="A3676" i="1"/>
  <c r="B3676" i="1"/>
  <c r="A3677" i="1"/>
  <c r="B3677" i="1"/>
  <c r="A3678" i="1"/>
  <c r="B3678" i="1"/>
  <c r="A3679" i="1"/>
  <c r="B3679" i="1"/>
  <c r="A3680" i="1"/>
  <c r="B3680" i="1"/>
  <c r="A3681" i="1"/>
  <c r="B3681" i="1"/>
  <c r="A3682" i="1"/>
  <c r="B3682" i="1"/>
  <c r="A3683" i="1"/>
  <c r="B3683" i="1"/>
  <c r="A3684" i="1"/>
  <c r="B3684" i="1"/>
  <c r="A3685" i="1"/>
  <c r="B3685" i="1"/>
  <c r="A3686" i="1"/>
  <c r="B3686" i="1"/>
  <c r="A3687" i="1"/>
  <c r="B3687" i="1"/>
  <c r="A3688" i="1"/>
  <c r="B3688" i="1"/>
  <c r="A3689" i="1"/>
  <c r="B3689" i="1"/>
  <c r="A3690" i="1"/>
  <c r="B3690" i="1"/>
  <c r="A3691" i="1"/>
  <c r="B3691" i="1"/>
  <c r="A3692" i="1"/>
  <c r="B3692" i="1"/>
  <c r="A3693" i="1"/>
  <c r="B3693" i="1"/>
  <c r="A3694" i="1"/>
  <c r="B3694" i="1"/>
  <c r="A3695" i="1"/>
  <c r="B3695" i="1"/>
  <c r="A3696" i="1"/>
  <c r="B3696" i="1"/>
  <c r="A3697" i="1"/>
  <c r="B3697" i="1"/>
  <c r="A3698" i="1"/>
  <c r="B3698" i="1"/>
  <c r="A3699" i="1"/>
  <c r="B3699" i="1"/>
  <c r="A3700" i="1"/>
  <c r="B3700" i="1"/>
  <c r="A3701" i="1"/>
  <c r="B3701" i="1"/>
  <c r="A3702" i="1"/>
  <c r="B3702" i="1"/>
  <c r="A3703" i="1"/>
  <c r="B3703" i="1"/>
  <c r="A3704" i="1"/>
  <c r="B3704" i="1"/>
  <c r="A3705" i="1"/>
  <c r="B3705" i="1"/>
  <c r="A3706" i="1"/>
  <c r="B3706" i="1"/>
  <c r="A3707" i="1"/>
  <c r="B3707" i="1"/>
  <c r="A3708" i="1"/>
  <c r="B3708" i="1"/>
  <c r="A3709" i="1"/>
  <c r="B3709" i="1"/>
  <c r="A3710" i="1"/>
  <c r="B3710" i="1"/>
  <c r="A3711" i="1"/>
  <c r="B3711" i="1"/>
  <c r="A3712" i="1"/>
  <c r="B3712" i="1"/>
  <c r="A3713" i="1"/>
  <c r="B3713" i="1"/>
  <c r="A3714" i="1"/>
  <c r="B3714" i="1"/>
  <c r="A3715" i="1"/>
  <c r="B3715" i="1"/>
  <c r="A3716" i="1"/>
  <c r="B3716" i="1"/>
  <c r="A3717" i="1"/>
  <c r="B3717" i="1"/>
  <c r="A3718" i="1"/>
  <c r="B3718" i="1"/>
  <c r="A3719" i="1"/>
  <c r="B3719" i="1"/>
  <c r="A3720" i="1"/>
  <c r="B3720" i="1"/>
  <c r="A3721" i="1"/>
  <c r="B3721" i="1"/>
  <c r="A3722" i="1"/>
  <c r="B3722" i="1"/>
  <c r="A3723" i="1"/>
  <c r="B3723" i="1"/>
  <c r="A3724" i="1"/>
  <c r="B3724" i="1"/>
  <c r="A3725" i="1"/>
  <c r="B3725" i="1"/>
  <c r="A3726" i="1"/>
  <c r="B3726" i="1"/>
  <c r="A3727" i="1"/>
  <c r="B3727" i="1"/>
  <c r="A3728" i="1"/>
  <c r="B3728" i="1"/>
  <c r="A3729" i="1"/>
  <c r="B3729" i="1"/>
  <c r="A3730" i="1"/>
  <c r="B3730" i="1"/>
  <c r="A3731" i="1"/>
  <c r="B3731" i="1"/>
  <c r="A3732" i="1"/>
  <c r="B3732" i="1"/>
  <c r="A3733" i="1"/>
  <c r="B3733" i="1"/>
  <c r="A3734" i="1"/>
  <c r="B3734" i="1"/>
  <c r="A3735" i="1"/>
  <c r="B3735" i="1"/>
  <c r="A3736" i="1"/>
  <c r="B3736" i="1"/>
  <c r="A3737" i="1"/>
  <c r="B3737" i="1"/>
  <c r="A3738" i="1"/>
  <c r="B3738" i="1"/>
  <c r="A3739" i="1"/>
  <c r="B3739" i="1"/>
  <c r="A3740" i="1"/>
  <c r="B3740" i="1"/>
  <c r="A3741" i="1"/>
  <c r="B3741" i="1"/>
  <c r="A3742" i="1"/>
  <c r="B3742" i="1"/>
  <c r="A3743" i="1"/>
  <c r="B3743" i="1"/>
  <c r="A3744" i="1"/>
  <c r="B3744" i="1"/>
  <c r="A3745" i="1"/>
  <c r="B3745" i="1"/>
  <c r="A3746" i="1"/>
  <c r="B3746" i="1"/>
  <c r="A3747" i="1"/>
  <c r="B3747" i="1"/>
  <c r="A3748" i="1"/>
  <c r="B3748" i="1"/>
  <c r="A3749" i="1"/>
  <c r="B3749" i="1"/>
  <c r="A3750" i="1"/>
  <c r="B3750" i="1"/>
  <c r="A3751" i="1"/>
  <c r="B3751" i="1"/>
  <c r="A3752" i="1"/>
  <c r="B3752" i="1"/>
  <c r="A3753" i="1"/>
  <c r="B3753" i="1"/>
  <c r="A3754" i="1"/>
  <c r="B3754" i="1"/>
  <c r="A3755" i="1"/>
  <c r="B3755" i="1"/>
  <c r="A3756" i="1"/>
  <c r="B3756" i="1"/>
  <c r="A3757" i="1"/>
  <c r="B3757" i="1"/>
  <c r="A3758" i="1"/>
  <c r="B3758" i="1"/>
  <c r="A3759" i="1"/>
  <c r="B3759" i="1"/>
  <c r="A3760" i="1"/>
  <c r="B3760" i="1"/>
  <c r="A3761" i="1"/>
  <c r="B3761" i="1"/>
  <c r="A3762" i="1"/>
  <c r="B3762" i="1"/>
  <c r="A3763" i="1"/>
  <c r="B3763" i="1"/>
  <c r="A3764" i="1"/>
  <c r="B3764" i="1"/>
  <c r="A3765" i="1"/>
  <c r="B3765" i="1"/>
  <c r="A3766" i="1"/>
  <c r="B3766" i="1"/>
  <c r="A3767" i="1"/>
  <c r="B3767" i="1"/>
  <c r="A3768" i="1"/>
  <c r="B3768" i="1"/>
  <c r="A3769" i="1"/>
  <c r="B3769" i="1"/>
  <c r="A3770" i="1"/>
  <c r="B3770" i="1"/>
  <c r="A3771" i="1"/>
  <c r="B3771" i="1"/>
  <c r="A3772" i="1"/>
  <c r="B3772" i="1"/>
  <c r="A3773" i="1"/>
  <c r="B3773" i="1"/>
  <c r="A3774" i="1"/>
  <c r="B3774" i="1"/>
  <c r="A3775" i="1"/>
  <c r="B3775" i="1"/>
  <c r="A3776" i="1"/>
  <c r="B3776" i="1"/>
  <c r="A3777" i="1"/>
  <c r="B3777" i="1"/>
  <c r="A3778" i="1"/>
  <c r="B3778" i="1"/>
  <c r="A3779" i="1"/>
  <c r="B3779" i="1"/>
  <c r="A3780" i="1"/>
  <c r="B3780" i="1"/>
  <c r="A3781" i="1"/>
  <c r="B3781" i="1"/>
  <c r="A3782" i="1"/>
  <c r="B3782" i="1"/>
  <c r="A3783" i="1"/>
  <c r="B3783" i="1"/>
  <c r="A3784" i="1"/>
  <c r="B3784" i="1"/>
  <c r="A3785" i="1"/>
  <c r="B3785" i="1"/>
  <c r="A3786" i="1"/>
  <c r="B3786" i="1"/>
  <c r="A3787" i="1"/>
  <c r="B3787" i="1"/>
  <c r="A3788" i="1"/>
  <c r="B3788" i="1"/>
  <c r="A3789" i="1"/>
  <c r="A3790" i="1"/>
  <c r="B3790" i="1"/>
  <c r="A3791" i="1"/>
  <c r="B3791" i="1"/>
  <c r="A3792" i="1"/>
  <c r="B3792" i="1"/>
  <c r="A3793" i="1"/>
  <c r="B3793" i="1"/>
  <c r="A3794" i="1"/>
  <c r="B3794" i="1"/>
  <c r="A3795" i="1"/>
  <c r="B3795" i="1"/>
  <c r="A3796" i="1"/>
  <c r="B3796" i="1"/>
  <c r="A3797" i="1"/>
  <c r="B3797" i="1"/>
  <c r="A3798" i="1"/>
  <c r="B3798" i="1"/>
  <c r="A3799" i="1"/>
  <c r="B3799" i="1"/>
  <c r="A3800" i="1"/>
  <c r="B3800" i="1"/>
  <c r="A3801" i="1"/>
  <c r="B3801" i="1"/>
  <c r="A3802" i="1"/>
  <c r="B3802" i="1"/>
  <c r="A3803" i="1"/>
  <c r="B3803" i="1"/>
  <c r="A3804" i="1"/>
  <c r="B3804" i="1"/>
  <c r="A3805" i="1"/>
  <c r="B3805" i="1"/>
  <c r="A3806" i="1"/>
  <c r="B3806" i="1"/>
  <c r="A3807" i="1"/>
  <c r="B3807" i="1"/>
  <c r="A3808" i="1"/>
  <c r="B3808" i="1"/>
  <c r="A3809" i="1"/>
  <c r="B3809" i="1"/>
  <c r="A3810" i="1"/>
  <c r="B3810" i="1"/>
  <c r="A3811" i="1"/>
  <c r="B3811" i="1"/>
  <c r="A3812" i="1"/>
  <c r="B3812" i="1"/>
  <c r="A3813" i="1"/>
  <c r="B3813" i="1"/>
  <c r="A3814" i="1"/>
  <c r="B3814" i="1"/>
  <c r="A3815" i="1"/>
  <c r="B3815" i="1"/>
  <c r="A3816" i="1"/>
  <c r="B3816" i="1"/>
  <c r="A3817" i="1"/>
  <c r="B3817" i="1"/>
  <c r="A3818" i="1"/>
  <c r="B3818" i="1"/>
  <c r="A3819" i="1"/>
  <c r="B3819" i="1"/>
  <c r="A3820" i="1"/>
  <c r="B3820" i="1"/>
  <c r="A3821" i="1"/>
  <c r="B3821" i="1"/>
  <c r="A3822" i="1"/>
  <c r="B3822" i="1"/>
  <c r="A3823" i="1"/>
  <c r="B3823" i="1"/>
  <c r="A3824" i="1"/>
  <c r="B3824" i="1"/>
  <c r="A3825" i="1"/>
  <c r="B3825" i="1"/>
  <c r="A3826" i="1"/>
  <c r="B3826" i="1"/>
  <c r="A3827" i="1"/>
  <c r="B3827" i="1"/>
  <c r="A3828" i="1"/>
  <c r="B3828" i="1"/>
  <c r="A3829" i="1"/>
  <c r="B3829" i="1"/>
  <c r="A3830" i="1"/>
  <c r="B3830" i="1"/>
  <c r="A3831" i="1"/>
  <c r="B3831" i="1"/>
  <c r="A3832" i="1"/>
  <c r="B3832" i="1"/>
  <c r="A3833" i="1"/>
  <c r="B3833" i="1"/>
  <c r="A3834" i="1"/>
  <c r="B3834" i="1"/>
  <c r="A3835" i="1"/>
  <c r="B3835" i="1"/>
  <c r="A3836" i="1"/>
  <c r="B3836" i="1"/>
  <c r="A3837" i="1"/>
  <c r="B3837" i="1"/>
  <c r="A3838" i="1"/>
  <c r="B3838" i="1"/>
  <c r="A3839" i="1"/>
  <c r="B3839" i="1"/>
  <c r="A3840" i="1"/>
  <c r="B3840" i="1"/>
  <c r="A3841" i="1"/>
  <c r="B3841" i="1"/>
  <c r="A3842" i="1"/>
  <c r="B3842" i="1"/>
  <c r="A3843" i="1"/>
  <c r="B3843" i="1"/>
  <c r="A3844" i="1"/>
  <c r="B3844" i="1"/>
  <c r="A3845" i="1"/>
  <c r="B3845" i="1"/>
  <c r="A3846" i="1"/>
  <c r="B3846" i="1"/>
  <c r="A3847" i="1"/>
  <c r="B3847" i="1"/>
  <c r="A3848" i="1"/>
  <c r="B3848" i="1"/>
  <c r="A3849" i="1"/>
  <c r="B3849" i="1"/>
  <c r="A3850" i="1"/>
  <c r="B3850" i="1"/>
  <c r="A3851" i="1"/>
  <c r="B3851" i="1"/>
  <c r="A3852" i="1"/>
  <c r="B3852" i="1"/>
  <c r="A3853" i="1"/>
  <c r="B3853" i="1"/>
  <c r="A3854" i="1"/>
  <c r="B3854" i="1"/>
  <c r="A3855" i="1"/>
  <c r="B3855" i="1"/>
  <c r="A3856" i="1"/>
  <c r="B3856" i="1"/>
  <c r="A3857" i="1"/>
  <c r="B3857" i="1"/>
  <c r="A3858" i="1"/>
  <c r="B3858" i="1"/>
  <c r="A3859" i="1"/>
  <c r="B3859" i="1"/>
  <c r="A3860" i="1"/>
  <c r="B3860" i="1"/>
  <c r="A3861" i="1"/>
  <c r="B3861" i="1"/>
  <c r="A3862" i="1"/>
  <c r="B3862" i="1"/>
  <c r="A3863" i="1"/>
  <c r="B3863" i="1"/>
  <c r="A3864" i="1"/>
  <c r="B3864" i="1"/>
  <c r="A3865" i="1"/>
  <c r="B3865" i="1"/>
  <c r="A3866" i="1"/>
  <c r="B3866" i="1"/>
  <c r="A3867" i="1"/>
  <c r="B3867" i="1"/>
  <c r="A3868" i="1"/>
  <c r="B3868" i="1"/>
  <c r="A3869" i="1"/>
  <c r="B3869" i="1"/>
  <c r="A3870" i="1"/>
  <c r="B3870" i="1"/>
  <c r="A3871" i="1"/>
  <c r="B3871" i="1"/>
  <c r="A3872" i="1"/>
  <c r="B3872" i="1"/>
  <c r="A3873" i="1"/>
  <c r="B3873" i="1"/>
  <c r="A3874" i="1"/>
  <c r="B3874" i="1"/>
  <c r="A3875" i="1"/>
  <c r="B3875" i="1"/>
  <c r="A3876" i="1"/>
  <c r="B3876" i="1"/>
  <c r="A3877" i="1"/>
  <c r="B3877" i="1"/>
  <c r="A3878" i="1"/>
  <c r="B3878" i="1"/>
  <c r="A3879" i="1"/>
  <c r="B3879" i="1"/>
  <c r="A3880" i="1"/>
  <c r="B3880" i="1"/>
  <c r="A3881" i="1"/>
  <c r="B3881" i="1"/>
  <c r="A3882" i="1"/>
  <c r="B3882" i="1"/>
  <c r="A3883" i="1"/>
  <c r="B3883" i="1"/>
  <c r="A3884" i="1"/>
  <c r="B3884" i="1"/>
  <c r="A3885" i="1"/>
  <c r="B3885" i="1"/>
  <c r="A3886" i="1"/>
  <c r="B3886" i="1"/>
  <c r="A3887" i="1"/>
  <c r="B3887" i="1"/>
  <c r="A3888" i="1"/>
  <c r="B3888" i="1"/>
  <c r="A3889" i="1"/>
  <c r="B3889" i="1"/>
  <c r="A3890" i="1"/>
  <c r="B3890" i="1"/>
  <c r="A3891" i="1"/>
  <c r="B3891" i="1"/>
  <c r="A3892" i="1"/>
  <c r="B3892" i="1"/>
  <c r="A3893" i="1"/>
  <c r="B3893" i="1"/>
  <c r="A3894" i="1"/>
  <c r="B3894" i="1"/>
  <c r="A3895" i="1"/>
  <c r="B3895" i="1"/>
  <c r="A3896" i="1"/>
  <c r="B3896" i="1"/>
  <c r="A3897" i="1"/>
  <c r="B3897" i="1"/>
  <c r="A3898" i="1"/>
  <c r="B3898" i="1"/>
  <c r="A3899" i="1"/>
  <c r="B3899" i="1"/>
  <c r="A3900" i="1"/>
  <c r="B3900" i="1"/>
  <c r="A3901" i="1"/>
  <c r="B3901" i="1"/>
  <c r="A3902" i="1"/>
  <c r="B3902" i="1"/>
  <c r="A3903" i="1"/>
  <c r="B3903" i="1"/>
  <c r="A3904" i="1"/>
  <c r="B3904" i="1"/>
  <c r="A3905" i="1"/>
  <c r="B3905" i="1"/>
  <c r="A3906" i="1"/>
  <c r="B3906" i="1"/>
  <c r="A3907" i="1"/>
  <c r="B3907" i="1"/>
  <c r="A3908" i="1"/>
  <c r="B3908" i="1"/>
  <c r="A3909" i="1"/>
  <c r="B3909" i="1"/>
  <c r="A3910" i="1"/>
  <c r="B3910" i="1"/>
  <c r="A3911" i="1"/>
  <c r="B3911" i="1"/>
  <c r="A3912" i="1"/>
  <c r="B3912" i="1"/>
  <c r="A3913" i="1"/>
  <c r="B3913" i="1"/>
  <c r="A3914" i="1"/>
  <c r="B3914" i="1"/>
  <c r="A3915" i="1"/>
  <c r="B3915" i="1"/>
  <c r="A3916" i="1"/>
  <c r="B3916" i="1"/>
  <c r="A3917" i="1"/>
  <c r="B3917" i="1"/>
  <c r="A3918" i="1"/>
  <c r="B3918" i="1"/>
  <c r="A3919" i="1"/>
  <c r="B3919" i="1"/>
  <c r="A3920" i="1"/>
  <c r="B3920" i="1"/>
  <c r="A3921" i="1"/>
  <c r="B3921" i="1"/>
  <c r="A3922" i="1"/>
  <c r="B3922" i="1"/>
  <c r="A3923" i="1"/>
  <c r="B3923" i="1"/>
  <c r="A3924" i="1"/>
  <c r="B3924" i="1"/>
  <c r="A3925" i="1"/>
  <c r="B3925" i="1"/>
  <c r="A3926" i="1"/>
  <c r="B3926" i="1"/>
  <c r="A3927" i="1"/>
  <c r="B3927" i="1"/>
  <c r="A3928" i="1"/>
  <c r="B3928" i="1"/>
  <c r="A3929" i="1"/>
  <c r="B3929" i="1"/>
  <c r="A3930" i="1"/>
  <c r="B3930" i="1"/>
  <c r="A3931" i="1"/>
  <c r="B3931" i="1"/>
  <c r="A3932" i="1"/>
  <c r="B3932" i="1"/>
  <c r="A3933" i="1"/>
  <c r="B3933" i="1"/>
  <c r="A3934" i="1"/>
  <c r="B3934" i="1"/>
  <c r="A3935" i="1"/>
  <c r="B3935" i="1"/>
  <c r="A3936" i="1"/>
  <c r="B3936" i="1"/>
  <c r="A3937" i="1"/>
  <c r="B3937" i="1"/>
  <c r="A3938" i="1"/>
  <c r="A3939" i="1"/>
  <c r="B3939" i="1"/>
  <c r="A3940" i="1"/>
  <c r="B3940" i="1"/>
  <c r="A3941" i="1"/>
  <c r="B3941" i="1"/>
  <c r="A3942" i="1"/>
  <c r="B3942" i="1"/>
  <c r="A3943" i="1"/>
  <c r="B3943" i="1"/>
  <c r="A3944" i="1"/>
  <c r="B3944" i="1"/>
  <c r="A3945" i="1"/>
  <c r="B3945" i="1"/>
  <c r="A3946" i="1"/>
  <c r="B3946" i="1"/>
  <c r="A3947" i="1"/>
  <c r="B3947" i="1"/>
  <c r="A3948" i="1"/>
  <c r="B3948" i="1"/>
  <c r="A3949" i="1"/>
  <c r="B3949" i="1"/>
  <c r="A3950" i="1"/>
  <c r="B3950" i="1"/>
  <c r="A3951" i="1"/>
  <c r="B3951" i="1"/>
  <c r="A3952" i="1"/>
  <c r="B3952" i="1"/>
  <c r="A3953" i="1"/>
  <c r="B3953" i="1"/>
  <c r="A3954" i="1"/>
  <c r="B3954" i="1"/>
  <c r="A3955" i="1"/>
  <c r="B3955" i="1"/>
  <c r="A3956" i="1"/>
  <c r="B3956" i="1"/>
  <c r="A3957" i="1"/>
  <c r="B3957" i="1"/>
  <c r="A3958" i="1"/>
  <c r="B3958" i="1"/>
  <c r="A3959" i="1"/>
  <c r="B3959" i="1"/>
  <c r="A3960" i="1"/>
  <c r="B3960" i="1"/>
  <c r="A3961" i="1"/>
  <c r="B3961" i="1"/>
  <c r="A3962" i="1"/>
  <c r="B3962" i="1"/>
  <c r="A3963" i="1"/>
  <c r="B3963" i="1"/>
  <c r="A3964" i="1"/>
  <c r="B3964" i="1"/>
  <c r="A3965" i="1"/>
  <c r="B3965" i="1"/>
  <c r="A3966" i="1"/>
  <c r="B3966" i="1"/>
  <c r="A3967" i="1"/>
  <c r="B3967" i="1"/>
  <c r="A3968" i="1"/>
  <c r="B3968" i="1"/>
  <c r="A3969" i="1"/>
  <c r="B3969" i="1"/>
  <c r="A3970" i="1"/>
  <c r="B3970" i="1"/>
  <c r="A3971" i="1"/>
  <c r="B3971" i="1"/>
  <c r="A3972" i="1"/>
  <c r="B3972" i="1"/>
  <c r="A3973" i="1"/>
  <c r="B3973" i="1"/>
  <c r="A3974" i="1"/>
  <c r="B3974" i="1"/>
  <c r="A3975" i="1"/>
  <c r="B3975" i="1"/>
  <c r="A3976" i="1"/>
  <c r="B3976" i="1"/>
  <c r="A3977" i="1"/>
  <c r="B3977" i="1"/>
  <c r="A3978" i="1"/>
  <c r="B3978" i="1"/>
  <c r="A3979" i="1"/>
  <c r="B3979" i="1"/>
  <c r="A3980" i="1"/>
  <c r="B3980" i="1"/>
  <c r="A3981" i="1"/>
  <c r="B3981" i="1"/>
  <c r="A3982" i="1"/>
  <c r="B3982" i="1"/>
  <c r="A3983" i="1"/>
  <c r="B3983" i="1"/>
  <c r="A3984" i="1"/>
  <c r="B3984" i="1"/>
  <c r="A3985" i="1"/>
  <c r="B3985" i="1"/>
  <c r="A3986" i="1"/>
  <c r="B3986" i="1"/>
  <c r="A3987" i="1"/>
  <c r="B3987" i="1"/>
  <c r="A3988" i="1"/>
  <c r="B3988" i="1"/>
  <c r="A3989" i="1"/>
  <c r="B3989" i="1"/>
  <c r="A3990" i="1"/>
  <c r="B3990" i="1"/>
  <c r="A3991" i="1"/>
  <c r="B3991" i="1"/>
  <c r="A3992" i="1"/>
  <c r="B3992" i="1"/>
  <c r="A3993" i="1"/>
  <c r="B3993" i="1"/>
  <c r="A3994" i="1"/>
  <c r="B3994" i="1"/>
  <c r="A3995" i="1"/>
  <c r="B3995" i="1"/>
  <c r="A3996" i="1"/>
  <c r="B3996" i="1"/>
  <c r="A3997" i="1"/>
  <c r="B3997" i="1"/>
  <c r="A3998" i="1"/>
  <c r="B3998" i="1"/>
  <c r="A3999" i="1"/>
  <c r="B3999" i="1"/>
  <c r="A4000" i="1"/>
  <c r="B4000" i="1"/>
  <c r="A4001" i="1"/>
  <c r="B4001" i="1"/>
  <c r="A4002" i="1"/>
  <c r="B4002" i="1"/>
  <c r="A4003" i="1"/>
  <c r="B4003" i="1"/>
  <c r="A4004" i="1"/>
  <c r="B4004" i="1"/>
  <c r="A4005" i="1"/>
  <c r="B4005" i="1"/>
  <c r="A4006" i="1"/>
  <c r="B4006" i="1"/>
  <c r="A4007" i="1"/>
  <c r="B4007" i="1"/>
  <c r="A4008" i="1"/>
  <c r="B4008" i="1"/>
  <c r="A4009" i="1"/>
  <c r="B4009" i="1"/>
  <c r="A4010" i="1"/>
  <c r="B4010" i="1"/>
  <c r="A4011" i="1"/>
  <c r="B4011" i="1"/>
  <c r="A4012" i="1"/>
  <c r="B4012" i="1"/>
  <c r="A4013" i="1"/>
  <c r="B4013" i="1"/>
  <c r="A4014" i="1"/>
  <c r="B4014" i="1"/>
  <c r="A4015" i="1"/>
  <c r="B4015" i="1"/>
  <c r="A4016" i="1"/>
  <c r="B4016" i="1"/>
  <c r="A4017" i="1"/>
  <c r="B4017" i="1"/>
  <c r="A4018" i="1"/>
  <c r="B4018" i="1"/>
  <c r="A4019" i="1"/>
  <c r="B4019" i="1"/>
  <c r="A4020" i="1"/>
  <c r="B4020" i="1"/>
  <c r="A4021" i="1"/>
  <c r="B4021" i="1"/>
  <c r="A4022" i="1"/>
  <c r="B4022" i="1"/>
  <c r="A4023" i="1"/>
  <c r="B4023" i="1"/>
  <c r="A4024" i="1"/>
  <c r="B4024" i="1"/>
  <c r="A4025" i="1"/>
  <c r="B4025" i="1"/>
  <c r="A4026" i="1"/>
  <c r="B4026" i="1"/>
  <c r="A4027" i="1"/>
  <c r="B4027" i="1"/>
  <c r="A4028" i="1"/>
  <c r="B4028" i="1"/>
  <c r="A4029" i="1"/>
  <c r="B4029" i="1"/>
  <c r="A4030" i="1"/>
  <c r="B4030" i="1"/>
  <c r="A4031" i="1"/>
  <c r="B4031" i="1"/>
  <c r="A4032" i="1"/>
  <c r="B4032" i="1"/>
  <c r="A4033" i="1"/>
  <c r="B4033" i="1"/>
  <c r="A4034" i="1"/>
  <c r="B4034" i="1"/>
  <c r="A4035" i="1"/>
  <c r="B4035" i="1"/>
  <c r="A4036" i="1"/>
  <c r="B4036" i="1"/>
  <c r="A4037" i="1"/>
  <c r="B4037" i="1"/>
  <c r="A4038" i="1"/>
  <c r="B4038" i="1"/>
  <c r="A4039" i="1"/>
  <c r="B4039" i="1"/>
  <c r="A4040" i="1"/>
  <c r="B4040" i="1"/>
  <c r="A4041" i="1"/>
  <c r="B4041" i="1"/>
  <c r="A4042" i="1"/>
  <c r="B4042" i="1"/>
  <c r="A4043" i="1"/>
  <c r="B4043" i="1"/>
  <c r="A4044" i="1"/>
  <c r="B4044" i="1"/>
  <c r="A4045" i="1"/>
  <c r="B4045" i="1"/>
  <c r="A4046" i="1"/>
  <c r="B4046" i="1"/>
  <c r="A4047" i="1"/>
  <c r="B4047" i="1"/>
  <c r="A4048" i="1"/>
  <c r="B4048" i="1"/>
  <c r="A4049" i="1"/>
  <c r="B4049" i="1"/>
  <c r="A4050" i="1"/>
  <c r="B4050" i="1"/>
  <c r="A4051" i="1"/>
  <c r="B4051" i="1"/>
  <c r="A4052" i="1"/>
  <c r="B4052" i="1"/>
  <c r="A4053" i="1"/>
  <c r="B4053" i="1"/>
  <c r="A4054" i="1"/>
  <c r="B4054" i="1"/>
  <c r="A4055" i="1"/>
  <c r="B4055" i="1"/>
  <c r="A4056" i="1"/>
  <c r="B4056" i="1"/>
  <c r="A4057" i="1"/>
  <c r="B4057" i="1"/>
  <c r="A4058" i="1"/>
  <c r="B4058" i="1"/>
  <c r="A4059" i="1"/>
  <c r="B4059" i="1"/>
  <c r="A4060" i="1"/>
  <c r="B4060" i="1"/>
  <c r="A4061" i="1"/>
  <c r="B4061" i="1"/>
  <c r="A4062" i="1"/>
  <c r="B4062" i="1"/>
  <c r="A4063" i="1"/>
  <c r="B4063" i="1"/>
  <c r="A4064" i="1"/>
  <c r="B4064" i="1"/>
  <c r="A4065" i="1"/>
  <c r="B4065" i="1"/>
  <c r="A4066" i="1"/>
  <c r="B4066" i="1"/>
  <c r="A4067" i="1"/>
  <c r="B4067" i="1"/>
  <c r="A4068" i="1"/>
  <c r="B4068" i="1"/>
  <c r="A4069" i="1"/>
  <c r="B4069" i="1"/>
  <c r="A4070" i="1"/>
  <c r="B4070" i="1"/>
  <c r="A4071" i="1"/>
  <c r="B4071" i="1"/>
  <c r="A4072" i="1"/>
  <c r="B4072" i="1"/>
  <c r="A4073" i="1"/>
  <c r="B4073" i="1"/>
  <c r="A4074" i="1"/>
  <c r="B4074" i="1"/>
  <c r="A4075" i="1"/>
  <c r="B4075" i="1"/>
  <c r="A4076" i="1"/>
  <c r="B4076" i="1"/>
  <c r="A4077" i="1"/>
  <c r="B4077" i="1"/>
  <c r="A4078" i="1"/>
  <c r="B4078" i="1"/>
  <c r="A4079" i="1"/>
  <c r="B4079" i="1"/>
  <c r="A4080" i="1"/>
  <c r="B4080" i="1"/>
  <c r="A4081" i="1"/>
  <c r="B4081" i="1"/>
  <c r="A4082" i="1"/>
  <c r="B4082" i="1"/>
  <c r="A4083" i="1"/>
  <c r="B4083" i="1"/>
  <c r="A4084" i="1"/>
  <c r="B4084" i="1"/>
  <c r="A4085" i="1"/>
  <c r="B4085" i="1"/>
  <c r="A4086" i="1"/>
  <c r="B4086" i="1"/>
  <c r="A4087" i="1"/>
  <c r="B4087" i="1"/>
  <c r="A4088" i="1"/>
  <c r="B4088" i="1"/>
  <c r="A4089" i="1"/>
  <c r="B4089" i="1"/>
  <c r="A4090" i="1"/>
  <c r="B4090" i="1"/>
  <c r="A4091" i="1"/>
  <c r="B4091" i="1"/>
  <c r="A4092" i="1"/>
  <c r="B4092" i="1"/>
  <c r="A4093" i="1"/>
  <c r="B4093" i="1"/>
  <c r="A4094" i="1"/>
  <c r="B4094" i="1"/>
  <c r="A4095" i="1"/>
  <c r="B4095" i="1"/>
  <c r="A4096" i="1"/>
  <c r="B4096" i="1"/>
  <c r="A4097" i="1"/>
  <c r="B4097" i="1"/>
  <c r="A4098" i="1"/>
  <c r="B4098" i="1"/>
  <c r="A4099" i="1"/>
  <c r="B4099" i="1"/>
  <c r="A4100" i="1"/>
  <c r="B4100" i="1"/>
  <c r="A4101" i="1"/>
  <c r="B4101" i="1"/>
  <c r="A4102" i="1"/>
  <c r="B4102" i="1"/>
  <c r="A4103" i="1"/>
  <c r="B4103" i="1"/>
  <c r="A4104" i="1"/>
  <c r="B4104" i="1"/>
  <c r="A4105" i="1"/>
  <c r="B4105" i="1"/>
  <c r="A4106" i="1"/>
  <c r="B4106" i="1"/>
  <c r="A4107" i="1"/>
  <c r="B4107" i="1"/>
  <c r="A4108" i="1"/>
  <c r="B4108" i="1"/>
  <c r="A4109" i="1"/>
  <c r="B4109" i="1"/>
  <c r="A4110" i="1"/>
  <c r="B4110" i="1"/>
  <c r="A4111" i="1"/>
  <c r="B4111" i="1"/>
  <c r="A4112" i="1"/>
  <c r="B4112" i="1"/>
  <c r="A4113" i="1"/>
  <c r="B4113" i="1"/>
  <c r="A4114" i="1"/>
  <c r="B4114" i="1"/>
  <c r="A4115" i="1"/>
  <c r="B4115" i="1"/>
  <c r="A4116" i="1"/>
  <c r="B4116" i="1"/>
  <c r="A4117" i="1"/>
  <c r="B4117" i="1"/>
  <c r="A4118" i="1"/>
  <c r="B4118" i="1"/>
  <c r="A4119" i="1"/>
  <c r="B4119" i="1"/>
  <c r="A4120" i="1"/>
  <c r="B4120" i="1"/>
  <c r="A4121" i="1"/>
  <c r="B4121" i="1"/>
  <c r="A4122" i="1"/>
  <c r="B4122" i="1"/>
  <c r="A4123" i="1"/>
  <c r="B4123" i="1"/>
  <c r="A4124" i="1"/>
  <c r="B4124" i="1"/>
  <c r="A4125" i="1"/>
  <c r="B4125" i="1"/>
  <c r="A4126" i="1"/>
  <c r="B4126" i="1"/>
  <c r="A4127" i="1"/>
  <c r="B4127" i="1"/>
  <c r="A4128" i="1"/>
  <c r="B4128" i="1"/>
  <c r="A4129" i="1"/>
  <c r="B4129" i="1"/>
  <c r="A4130" i="1"/>
  <c r="B4130" i="1"/>
  <c r="A4131" i="1"/>
  <c r="B4131" i="1"/>
  <c r="A4132" i="1"/>
  <c r="B4132" i="1"/>
  <c r="A4133" i="1"/>
  <c r="B4133" i="1"/>
  <c r="A4134" i="1"/>
  <c r="B4134" i="1"/>
  <c r="A4135" i="1"/>
  <c r="B4135" i="1"/>
  <c r="A4136" i="1"/>
  <c r="B4136" i="1"/>
  <c r="A4137" i="1"/>
  <c r="B4137" i="1"/>
  <c r="A4138" i="1"/>
  <c r="B4138" i="1"/>
  <c r="A4139" i="1"/>
  <c r="B4139" i="1"/>
  <c r="A4140" i="1"/>
  <c r="B4140" i="1"/>
  <c r="A4141" i="1"/>
  <c r="B4141" i="1"/>
  <c r="A4142" i="1"/>
  <c r="B4142" i="1"/>
  <c r="A4143" i="1"/>
  <c r="B4143" i="1"/>
  <c r="A4144" i="1"/>
  <c r="B4144" i="1"/>
  <c r="A4145" i="1"/>
  <c r="B4145" i="1"/>
  <c r="A4146" i="1"/>
  <c r="B4146" i="1"/>
  <c r="A4147" i="1"/>
  <c r="B4147" i="1"/>
  <c r="A4148" i="1"/>
  <c r="B4148" i="1"/>
  <c r="A4149" i="1"/>
  <c r="B4149" i="1"/>
  <c r="A4150" i="1"/>
  <c r="B4150" i="1"/>
  <c r="A4151" i="1"/>
  <c r="B4151" i="1"/>
  <c r="A4152" i="1"/>
  <c r="B4152" i="1"/>
  <c r="A4153" i="1"/>
  <c r="B4153" i="1"/>
  <c r="A4154" i="1"/>
  <c r="B4154" i="1"/>
  <c r="A4155" i="1"/>
  <c r="B4155" i="1"/>
  <c r="A4156" i="1"/>
  <c r="B4156" i="1"/>
  <c r="A4157" i="1"/>
  <c r="B4157" i="1"/>
  <c r="A4158" i="1"/>
  <c r="B4158" i="1"/>
  <c r="A4159" i="1"/>
  <c r="B4159" i="1"/>
  <c r="A4160" i="1"/>
  <c r="B4160" i="1"/>
  <c r="A4161" i="1"/>
  <c r="B4161" i="1"/>
  <c r="A4162" i="1"/>
  <c r="B4162" i="1"/>
  <c r="A4163" i="1"/>
  <c r="B4163" i="1"/>
  <c r="A4164" i="1"/>
  <c r="B4164" i="1"/>
  <c r="A4165" i="1"/>
  <c r="B4165" i="1"/>
  <c r="A4166" i="1"/>
  <c r="B4166" i="1"/>
  <c r="A4167" i="1"/>
  <c r="B4167" i="1"/>
  <c r="A4168" i="1"/>
  <c r="B4168" i="1"/>
  <c r="A4169" i="1"/>
  <c r="B4169" i="1"/>
  <c r="A4170" i="1"/>
  <c r="B4170" i="1"/>
  <c r="A4171" i="1"/>
  <c r="B4171" i="1"/>
  <c r="A4172" i="1"/>
  <c r="B4172" i="1"/>
  <c r="A4173" i="1"/>
  <c r="B4173" i="1"/>
  <c r="A4174" i="1"/>
  <c r="B4174" i="1"/>
  <c r="A4175" i="1"/>
  <c r="B4175" i="1"/>
  <c r="A4176" i="1"/>
  <c r="B4176" i="1"/>
  <c r="A4177" i="1"/>
  <c r="B4177" i="1"/>
  <c r="A4178" i="1"/>
  <c r="B4178" i="1"/>
  <c r="A4179" i="1"/>
  <c r="B4179" i="1"/>
  <c r="A4180" i="1"/>
  <c r="B4180" i="1"/>
  <c r="A4181" i="1"/>
  <c r="B4181" i="1"/>
  <c r="A4182" i="1"/>
  <c r="B4182" i="1"/>
  <c r="A4183" i="1"/>
  <c r="B4183" i="1"/>
  <c r="A4184" i="1"/>
  <c r="B4184" i="1"/>
  <c r="A4185" i="1"/>
  <c r="B4185" i="1"/>
  <c r="A4186" i="1"/>
  <c r="B4186" i="1"/>
  <c r="A4187" i="1"/>
  <c r="B4187" i="1"/>
  <c r="A4188" i="1"/>
  <c r="B4188" i="1"/>
  <c r="A4189" i="1"/>
  <c r="B4189" i="1"/>
  <c r="A4190" i="1"/>
  <c r="B4190" i="1"/>
  <c r="A4191" i="1"/>
  <c r="B4191" i="1"/>
  <c r="A4192" i="1"/>
  <c r="B4192" i="1"/>
  <c r="A4193" i="1"/>
  <c r="B4193" i="1"/>
  <c r="A4194" i="1"/>
  <c r="B4194" i="1"/>
  <c r="A4195" i="1"/>
  <c r="B4195" i="1"/>
  <c r="A4196" i="1"/>
  <c r="B4196" i="1"/>
  <c r="A4197" i="1"/>
  <c r="B4197" i="1"/>
  <c r="A4198" i="1"/>
  <c r="B4198" i="1"/>
  <c r="A4199" i="1"/>
  <c r="B4199" i="1"/>
  <c r="A4200" i="1"/>
  <c r="B4200" i="1"/>
  <c r="A4201" i="1"/>
  <c r="B4201" i="1"/>
  <c r="A4202" i="1"/>
  <c r="B4202" i="1"/>
  <c r="A4203" i="1"/>
  <c r="B4203" i="1"/>
  <c r="A4204" i="1"/>
  <c r="B4204" i="1"/>
  <c r="A4205" i="1"/>
  <c r="B4205" i="1"/>
  <c r="A4206" i="1"/>
  <c r="B4206" i="1"/>
  <c r="A4207" i="1"/>
  <c r="B4207" i="1"/>
  <c r="A4208" i="1"/>
  <c r="B4208" i="1"/>
  <c r="A4209" i="1"/>
  <c r="B4209" i="1"/>
  <c r="A4210" i="1"/>
  <c r="B4210" i="1"/>
  <c r="A4211" i="1"/>
  <c r="B4211" i="1"/>
  <c r="A4212" i="1"/>
  <c r="B4212" i="1"/>
  <c r="A4213" i="1"/>
  <c r="B4213" i="1"/>
  <c r="A4214" i="1"/>
  <c r="B4214" i="1"/>
  <c r="A4215" i="1"/>
  <c r="B4215" i="1"/>
  <c r="A4216" i="1"/>
  <c r="B4216" i="1"/>
  <c r="A4217" i="1"/>
  <c r="B4217" i="1"/>
  <c r="A4218" i="1"/>
  <c r="B4218" i="1"/>
  <c r="A4219" i="1"/>
  <c r="B4219" i="1"/>
  <c r="A4220" i="1"/>
  <c r="B4220" i="1"/>
  <c r="A4221" i="1"/>
  <c r="B4221" i="1"/>
  <c r="A4222" i="1"/>
  <c r="B4222" i="1"/>
  <c r="A4223" i="1"/>
  <c r="B4223" i="1"/>
  <c r="A4224" i="1"/>
  <c r="B4224" i="1"/>
  <c r="A4225" i="1"/>
  <c r="B4225" i="1"/>
  <c r="A4226" i="1"/>
  <c r="B4226" i="1"/>
  <c r="A4227" i="1"/>
  <c r="B4227" i="1"/>
  <c r="A4228" i="1"/>
  <c r="B4228" i="1"/>
  <c r="A4229" i="1"/>
  <c r="B4229" i="1"/>
  <c r="A4230" i="1"/>
  <c r="B4230" i="1"/>
  <c r="A4231" i="1"/>
  <c r="B4231" i="1"/>
  <c r="A4232" i="1"/>
  <c r="B4232" i="1"/>
  <c r="A4233" i="1"/>
  <c r="B4233" i="1"/>
  <c r="A4234" i="1"/>
  <c r="B4234" i="1"/>
  <c r="A4235" i="1"/>
  <c r="B4235" i="1"/>
  <c r="A4236" i="1"/>
  <c r="B4236" i="1"/>
  <c r="A4237" i="1"/>
  <c r="B4237" i="1"/>
  <c r="A4238" i="1"/>
  <c r="B4238" i="1"/>
  <c r="A4239" i="1"/>
  <c r="B4239" i="1"/>
  <c r="A4240" i="1"/>
  <c r="B4240" i="1"/>
  <c r="A4241" i="1"/>
  <c r="B4241" i="1"/>
  <c r="A4242" i="1"/>
  <c r="B4242" i="1"/>
  <c r="A4243" i="1"/>
  <c r="B4243" i="1"/>
  <c r="A4244" i="1"/>
  <c r="B4244" i="1"/>
  <c r="A4245" i="1"/>
  <c r="B4245" i="1"/>
  <c r="A4246" i="1"/>
  <c r="B4246" i="1"/>
  <c r="A4247" i="1"/>
  <c r="B4247" i="1"/>
  <c r="A4248" i="1"/>
  <c r="B4248" i="1"/>
  <c r="A4249" i="1"/>
  <c r="B4249" i="1"/>
  <c r="A4250" i="1"/>
  <c r="B4250" i="1"/>
  <c r="A4251" i="1"/>
  <c r="B4251" i="1"/>
  <c r="A4252" i="1"/>
  <c r="B4252" i="1"/>
  <c r="A4253" i="1"/>
  <c r="B4253" i="1"/>
  <c r="A4254" i="1"/>
  <c r="B4254" i="1"/>
  <c r="A4255" i="1"/>
  <c r="B4255" i="1"/>
  <c r="A4256" i="1"/>
  <c r="B4256" i="1"/>
  <c r="A4257" i="1"/>
  <c r="B4257" i="1"/>
  <c r="A4258" i="1"/>
  <c r="B4258" i="1"/>
  <c r="A4259" i="1"/>
  <c r="B4259" i="1"/>
  <c r="A4260" i="1"/>
  <c r="B4260" i="1"/>
  <c r="A4261" i="1"/>
  <c r="B4261" i="1"/>
  <c r="A4262" i="1"/>
  <c r="B4262" i="1"/>
  <c r="A4263" i="1"/>
  <c r="B4263" i="1"/>
  <c r="A4264" i="1"/>
  <c r="B4264" i="1"/>
  <c r="A4265" i="1"/>
  <c r="B4265" i="1"/>
  <c r="A4266" i="1"/>
  <c r="B4266" i="1"/>
  <c r="A4267" i="1"/>
  <c r="B4267" i="1"/>
  <c r="A4268" i="1"/>
  <c r="B4268" i="1"/>
  <c r="A4269" i="1"/>
  <c r="B4269" i="1"/>
  <c r="A4270" i="1"/>
  <c r="B4270" i="1"/>
  <c r="A4271" i="1"/>
  <c r="B4271" i="1"/>
  <c r="A4272" i="1"/>
  <c r="B4272" i="1"/>
  <c r="A4273" i="1"/>
  <c r="B4273" i="1"/>
  <c r="A4274" i="1"/>
  <c r="B4274" i="1"/>
  <c r="A4275" i="1"/>
  <c r="B4275" i="1"/>
  <c r="A4276" i="1"/>
  <c r="B4276" i="1"/>
  <c r="A4277" i="1"/>
  <c r="B4277" i="1"/>
  <c r="A4278" i="1"/>
  <c r="B4278" i="1"/>
  <c r="A4279" i="1"/>
  <c r="B4279" i="1"/>
  <c r="A4280" i="1"/>
  <c r="B4280" i="1"/>
  <c r="A4281" i="1"/>
  <c r="B4281" i="1"/>
  <c r="A4282" i="1"/>
  <c r="B4282" i="1"/>
  <c r="A4283" i="1"/>
  <c r="B4283" i="1"/>
  <c r="A4284" i="1"/>
  <c r="B4284" i="1"/>
  <c r="A4285" i="1"/>
  <c r="B4285" i="1"/>
  <c r="A4286" i="1"/>
  <c r="B4286" i="1"/>
  <c r="A4287" i="1"/>
  <c r="B4287" i="1"/>
  <c r="A4288" i="1"/>
  <c r="B4288" i="1"/>
  <c r="A4289" i="1"/>
  <c r="B4289" i="1"/>
  <c r="A4290" i="1"/>
  <c r="B4290" i="1"/>
  <c r="A4291" i="1"/>
  <c r="B4291" i="1"/>
  <c r="A4292" i="1"/>
  <c r="B4292" i="1"/>
  <c r="A4293" i="1"/>
  <c r="B4293" i="1"/>
  <c r="A4294" i="1"/>
  <c r="B4294" i="1"/>
  <c r="A4295" i="1"/>
  <c r="B4295" i="1"/>
  <c r="A4296" i="1"/>
  <c r="B4296" i="1"/>
  <c r="A4297" i="1"/>
  <c r="B4297" i="1"/>
  <c r="A4298" i="1"/>
  <c r="B4298" i="1"/>
  <c r="A4299" i="1"/>
  <c r="B4299" i="1"/>
  <c r="A4300" i="1"/>
  <c r="B4300" i="1"/>
  <c r="A4301" i="1"/>
  <c r="B4301" i="1"/>
  <c r="A4302" i="1"/>
  <c r="B4302" i="1"/>
  <c r="A4303" i="1"/>
  <c r="B4303" i="1"/>
  <c r="A4304" i="1"/>
  <c r="B4304" i="1"/>
  <c r="A4305" i="1"/>
  <c r="B4305" i="1"/>
  <c r="A4306" i="1"/>
  <c r="B4306" i="1"/>
  <c r="A4307" i="1"/>
  <c r="B4307" i="1"/>
  <c r="A4308" i="1"/>
  <c r="B4308" i="1"/>
  <c r="A4309" i="1"/>
  <c r="B4309" i="1"/>
  <c r="A4310" i="1"/>
  <c r="B4310" i="1"/>
  <c r="A4311" i="1"/>
  <c r="B4311" i="1"/>
  <c r="A4312" i="1"/>
  <c r="B4312" i="1"/>
  <c r="A4313" i="1"/>
  <c r="B4313" i="1"/>
  <c r="A4314" i="1"/>
  <c r="B4314" i="1"/>
  <c r="A4315" i="1"/>
  <c r="B4315" i="1"/>
  <c r="A4316" i="1"/>
  <c r="B4316" i="1"/>
  <c r="A4317" i="1"/>
  <c r="B4317" i="1"/>
  <c r="A4318" i="1"/>
  <c r="B4318" i="1"/>
  <c r="A4319" i="1"/>
  <c r="B4319" i="1"/>
  <c r="A4320" i="1"/>
  <c r="B4320" i="1"/>
  <c r="A4321" i="1"/>
  <c r="B4321" i="1"/>
  <c r="A4322" i="1"/>
  <c r="B4322" i="1"/>
  <c r="A4323" i="1"/>
  <c r="B4323" i="1"/>
  <c r="A4324" i="1"/>
  <c r="B4324" i="1"/>
  <c r="A4325" i="1"/>
  <c r="B4325" i="1"/>
  <c r="A4326" i="1"/>
  <c r="B4326" i="1"/>
  <c r="A4327" i="1"/>
  <c r="B4327" i="1"/>
  <c r="A4328" i="1"/>
  <c r="B4328" i="1"/>
  <c r="A4329" i="1"/>
  <c r="B4329" i="1"/>
  <c r="A4330" i="1"/>
  <c r="B4330" i="1"/>
  <c r="A4331" i="1"/>
  <c r="B4331" i="1"/>
  <c r="A4332" i="1"/>
  <c r="B4332" i="1"/>
  <c r="A4333" i="1"/>
  <c r="B4333" i="1"/>
  <c r="A4334" i="1"/>
  <c r="B4334" i="1"/>
  <c r="A4335" i="1"/>
  <c r="B4335" i="1"/>
  <c r="A4336" i="1"/>
  <c r="B4336" i="1"/>
  <c r="A4337" i="1"/>
  <c r="B4337" i="1"/>
  <c r="A4338" i="1"/>
  <c r="B4338" i="1"/>
  <c r="A4339" i="1"/>
  <c r="B4339" i="1"/>
  <c r="A4340" i="1"/>
  <c r="B4340" i="1"/>
  <c r="A4341" i="1"/>
  <c r="B4341" i="1"/>
  <c r="A4342" i="1"/>
  <c r="B4342" i="1"/>
  <c r="A4343" i="1"/>
  <c r="B4343" i="1"/>
  <c r="A4344" i="1"/>
  <c r="B4344" i="1"/>
  <c r="A4345" i="1"/>
  <c r="B4345" i="1"/>
  <c r="A4346" i="1"/>
  <c r="B4346" i="1"/>
  <c r="A4347" i="1"/>
  <c r="B4347" i="1"/>
  <c r="A4348" i="1"/>
  <c r="B4348" i="1"/>
  <c r="A4349" i="1"/>
  <c r="B4349" i="1"/>
  <c r="A4350" i="1"/>
  <c r="B4350" i="1"/>
  <c r="A4351" i="1"/>
  <c r="B4351" i="1"/>
  <c r="A4352" i="1"/>
  <c r="B4352" i="1"/>
  <c r="A4353" i="1"/>
  <c r="B4353" i="1"/>
  <c r="A4354" i="1"/>
  <c r="B4354" i="1"/>
  <c r="A4355" i="1"/>
  <c r="B4355" i="1"/>
  <c r="A4356" i="1"/>
  <c r="B4356" i="1"/>
  <c r="A4357" i="1"/>
  <c r="B4357" i="1"/>
  <c r="A4358" i="1"/>
  <c r="B4358" i="1"/>
  <c r="A4359" i="1"/>
  <c r="B4359" i="1"/>
  <c r="A4360" i="1"/>
  <c r="B4360" i="1"/>
  <c r="A4361" i="1"/>
  <c r="B4361" i="1"/>
  <c r="A4362" i="1"/>
  <c r="B4362" i="1"/>
  <c r="A4363" i="1"/>
  <c r="B4363" i="1"/>
  <c r="A4364" i="1"/>
  <c r="B4364" i="1"/>
  <c r="A4365" i="1"/>
  <c r="B4365" i="1"/>
  <c r="A4366" i="1"/>
  <c r="B4366" i="1"/>
  <c r="A4367" i="1"/>
  <c r="B4367" i="1"/>
  <c r="A4368" i="1"/>
  <c r="B4368" i="1"/>
  <c r="A4369" i="1"/>
  <c r="B4369" i="1"/>
  <c r="A4370" i="1"/>
  <c r="B4370" i="1"/>
  <c r="A4371" i="1"/>
  <c r="B4371" i="1"/>
  <c r="A4372" i="1"/>
  <c r="B4372" i="1"/>
  <c r="A4373" i="1"/>
  <c r="B4373" i="1"/>
  <c r="A4374" i="1"/>
  <c r="B4374" i="1"/>
  <c r="A4375" i="1"/>
  <c r="B4375" i="1"/>
  <c r="A4376" i="1"/>
  <c r="B4376" i="1"/>
  <c r="A4377" i="1"/>
  <c r="B4377" i="1"/>
  <c r="A4378" i="1"/>
  <c r="B4378" i="1"/>
  <c r="A4379" i="1"/>
  <c r="B4379" i="1"/>
  <c r="A4380" i="1"/>
  <c r="B4380" i="1"/>
  <c r="A4381" i="1"/>
  <c r="B4381" i="1"/>
  <c r="A4382" i="1"/>
  <c r="B4382" i="1"/>
  <c r="A4383" i="1"/>
  <c r="B4383" i="1"/>
  <c r="A4384" i="1"/>
  <c r="B4384" i="1"/>
  <c r="A4385" i="1"/>
  <c r="B4385" i="1"/>
  <c r="A4386" i="1"/>
  <c r="B4386" i="1"/>
  <c r="A4387" i="1"/>
  <c r="B4387" i="1"/>
  <c r="A4388" i="1"/>
  <c r="B4388" i="1"/>
  <c r="A4389" i="1"/>
  <c r="B4389" i="1"/>
  <c r="A4390" i="1"/>
  <c r="B4390" i="1"/>
  <c r="A4391" i="1"/>
  <c r="B4391" i="1"/>
  <c r="A4392" i="1"/>
  <c r="B4392" i="1"/>
  <c r="A4393" i="1"/>
  <c r="B4393" i="1"/>
  <c r="A4394" i="1"/>
  <c r="B4394" i="1"/>
  <c r="A4395" i="1"/>
  <c r="B4395" i="1"/>
  <c r="A4396" i="1"/>
  <c r="B4396" i="1"/>
  <c r="A4397" i="1"/>
  <c r="B4397" i="1"/>
  <c r="A4398" i="1"/>
  <c r="B4398" i="1"/>
  <c r="A4399" i="1"/>
  <c r="B4399" i="1"/>
  <c r="A4400" i="1"/>
  <c r="B4400" i="1"/>
  <c r="A4401" i="1"/>
  <c r="B4401" i="1"/>
  <c r="A4402" i="1"/>
  <c r="B4402" i="1"/>
  <c r="A4403" i="1"/>
  <c r="B4403" i="1"/>
  <c r="A4404" i="1"/>
  <c r="B4404" i="1"/>
  <c r="A4405" i="1"/>
  <c r="B4405" i="1"/>
  <c r="A4406" i="1"/>
  <c r="B4406" i="1"/>
  <c r="A4407" i="1"/>
  <c r="B4407" i="1"/>
  <c r="A4408" i="1"/>
  <c r="B4408" i="1"/>
  <c r="A4409" i="1"/>
  <c r="B4409" i="1"/>
  <c r="A4410" i="1"/>
  <c r="B4410" i="1"/>
  <c r="A4411" i="1"/>
  <c r="B4411" i="1"/>
  <c r="A4412" i="1"/>
  <c r="B4412" i="1"/>
  <c r="A4413" i="1"/>
  <c r="B4413" i="1"/>
  <c r="A4414" i="1"/>
  <c r="B4414" i="1"/>
  <c r="A4415" i="1"/>
  <c r="B4415" i="1"/>
  <c r="A4416" i="1"/>
  <c r="B4416" i="1"/>
  <c r="A4417" i="1"/>
  <c r="B4417" i="1"/>
  <c r="A4418" i="1"/>
  <c r="B4418" i="1"/>
  <c r="A4419" i="1"/>
  <c r="B4419" i="1"/>
  <c r="A4420" i="1"/>
  <c r="B4420" i="1"/>
  <c r="A4421" i="1"/>
  <c r="B4421" i="1"/>
  <c r="A4422" i="1"/>
  <c r="B4422" i="1"/>
  <c r="A4423" i="1"/>
  <c r="B4423" i="1"/>
  <c r="A4424" i="1"/>
  <c r="B4424" i="1"/>
  <c r="A4425" i="1"/>
  <c r="B4425" i="1"/>
  <c r="A4426" i="1"/>
  <c r="B4426" i="1"/>
  <c r="A4427" i="1"/>
  <c r="B4427" i="1"/>
  <c r="A4428" i="1"/>
  <c r="B4428" i="1"/>
  <c r="A4429" i="1"/>
  <c r="B4429" i="1"/>
  <c r="A4430" i="1"/>
  <c r="B4430" i="1"/>
  <c r="A4431" i="1"/>
  <c r="B4431" i="1"/>
  <c r="A4432" i="1"/>
  <c r="B4432" i="1"/>
  <c r="A4433" i="1"/>
  <c r="B4433" i="1"/>
  <c r="A4434" i="1"/>
  <c r="B4434" i="1"/>
  <c r="A4435" i="1"/>
  <c r="B4435" i="1"/>
  <c r="A4436" i="1"/>
  <c r="B4436" i="1"/>
  <c r="A4437" i="1"/>
  <c r="B4437" i="1"/>
  <c r="A4438" i="1"/>
  <c r="B4438" i="1"/>
  <c r="A4439" i="1"/>
  <c r="B4439" i="1"/>
  <c r="A4440" i="1"/>
  <c r="B4440" i="1"/>
  <c r="A4441" i="1"/>
  <c r="B4441" i="1"/>
  <c r="A4442" i="1"/>
  <c r="B4442" i="1"/>
  <c r="A4443" i="1"/>
  <c r="B4443" i="1"/>
  <c r="A4444" i="1"/>
  <c r="B4444" i="1"/>
  <c r="A4445" i="1"/>
  <c r="B4445" i="1"/>
  <c r="A4446" i="1"/>
  <c r="B4446" i="1"/>
  <c r="A4447" i="1"/>
  <c r="B4447" i="1"/>
  <c r="A4448" i="1"/>
  <c r="B4448" i="1"/>
  <c r="A4449" i="1"/>
  <c r="B4449" i="1"/>
  <c r="A4450" i="1"/>
  <c r="B4450" i="1"/>
  <c r="A4451" i="1"/>
  <c r="B4451" i="1"/>
  <c r="A4452" i="1"/>
  <c r="B4452" i="1"/>
  <c r="A4453" i="1"/>
  <c r="B4453" i="1"/>
  <c r="A4454" i="1"/>
  <c r="B4454" i="1"/>
  <c r="A4455" i="1"/>
  <c r="B4455" i="1"/>
  <c r="A4456" i="1"/>
  <c r="B4456" i="1"/>
  <c r="A4457" i="1"/>
  <c r="B4457" i="1"/>
  <c r="A4458" i="1"/>
  <c r="B4458" i="1"/>
  <c r="A4459" i="1"/>
  <c r="B4459" i="1"/>
  <c r="A4460" i="1"/>
  <c r="B4460" i="1"/>
  <c r="A4461" i="1"/>
  <c r="B4461" i="1"/>
  <c r="A4462" i="1"/>
  <c r="B4462" i="1"/>
  <c r="A4463" i="1"/>
  <c r="B4463" i="1"/>
  <c r="A4464" i="1"/>
  <c r="B4464" i="1"/>
  <c r="A4465" i="1"/>
  <c r="B4465" i="1"/>
  <c r="A4466" i="1"/>
  <c r="B4466" i="1"/>
  <c r="A4467" i="1"/>
  <c r="B4467" i="1"/>
  <c r="A4468" i="1"/>
  <c r="B4468" i="1"/>
  <c r="A4469" i="1"/>
  <c r="B4469" i="1"/>
  <c r="A4470" i="1"/>
  <c r="B4470" i="1"/>
  <c r="A4471" i="1"/>
  <c r="B4471" i="1"/>
  <c r="A4472" i="1"/>
  <c r="B4472" i="1"/>
  <c r="A4473" i="1"/>
  <c r="B4473" i="1"/>
  <c r="A4474" i="1"/>
  <c r="B4474" i="1"/>
  <c r="A4475" i="1"/>
  <c r="B4475" i="1"/>
  <c r="A4476" i="1"/>
  <c r="B4476" i="1"/>
  <c r="A4477" i="1"/>
  <c r="B4477" i="1"/>
  <c r="A4478" i="1"/>
  <c r="B4478" i="1"/>
  <c r="A4479" i="1"/>
  <c r="B4479" i="1"/>
  <c r="A4480" i="1"/>
  <c r="B4480" i="1"/>
  <c r="A4481" i="1"/>
  <c r="B4481" i="1"/>
  <c r="A4482" i="1"/>
  <c r="B4482" i="1"/>
  <c r="A4483" i="1"/>
  <c r="B4483" i="1"/>
  <c r="A4484" i="1"/>
  <c r="B4484" i="1"/>
  <c r="A4485" i="1"/>
  <c r="B4485" i="1"/>
  <c r="A4486" i="1"/>
  <c r="B4486" i="1"/>
  <c r="A4487" i="1"/>
  <c r="B4487" i="1"/>
  <c r="A4488" i="1"/>
  <c r="B4488" i="1"/>
  <c r="A4489" i="1"/>
  <c r="B4489" i="1"/>
  <c r="A4490" i="1"/>
  <c r="B4490" i="1"/>
  <c r="A4491" i="1"/>
  <c r="B4491" i="1"/>
  <c r="A4492" i="1"/>
  <c r="B4492" i="1"/>
  <c r="A4493" i="1"/>
  <c r="B4493" i="1"/>
  <c r="A4494" i="1"/>
  <c r="B4494" i="1"/>
  <c r="A4495" i="1"/>
  <c r="B4495" i="1"/>
  <c r="A4496" i="1"/>
  <c r="B4496" i="1"/>
  <c r="A4497" i="1"/>
  <c r="B4497" i="1"/>
  <c r="A4498" i="1"/>
  <c r="B4498" i="1"/>
  <c r="A4499" i="1"/>
  <c r="B4499" i="1"/>
  <c r="A4500" i="1"/>
  <c r="B4500" i="1"/>
  <c r="A4501" i="1"/>
  <c r="B4501" i="1"/>
  <c r="A4502" i="1"/>
  <c r="B4502" i="1"/>
  <c r="A4503" i="1"/>
  <c r="B4503" i="1"/>
  <c r="A4504" i="1"/>
  <c r="B4504" i="1"/>
  <c r="A4505" i="1"/>
  <c r="B4505" i="1"/>
  <c r="A4506" i="1"/>
  <c r="B4506" i="1"/>
  <c r="A4507" i="1"/>
  <c r="B4507" i="1"/>
  <c r="A4508" i="1"/>
  <c r="B4508" i="1"/>
  <c r="A4509" i="1"/>
  <c r="B4509" i="1"/>
  <c r="A4510" i="1"/>
  <c r="B4510" i="1"/>
  <c r="A4511" i="1"/>
  <c r="B4511" i="1"/>
  <c r="A4512" i="1"/>
  <c r="B4512" i="1"/>
  <c r="A4513" i="1"/>
  <c r="B4513" i="1"/>
  <c r="A4514" i="1"/>
  <c r="B4514" i="1"/>
  <c r="A4515" i="1"/>
  <c r="B4515" i="1"/>
  <c r="A4516" i="1"/>
  <c r="B4516" i="1"/>
  <c r="A4517" i="1"/>
  <c r="B4517" i="1"/>
  <c r="A4518" i="1"/>
  <c r="B4518" i="1"/>
  <c r="A4519" i="1"/>
  <c r="B4519" i="1"/>
  <c r="A4520" i="1"/>
  <c r="B4520" i="1"/>
  <c r="A4521" i="1"/>
  <c r="B4521" i="1"/>
  <c r="A4522" i="1"/>
  <c r="B4522" i="1"/>
  <c r="A4523" i="1"/>
  <c r="B4523" i="1"/>
  <c r="A4524" i="1"/>
  <c r="B4524" i="1"/>
  <c r="A4525" i="1"/>
  <c r="B4525" i="1"/>
  <c r="A4526" i="1"/>
  <c r="B4526" i="1"/>
  <c r="A4527" i="1"/>
  <c r="B4527" i="1"/>
  <c r="A4528" i="1"/>
  <c r="B4528" i="1"/>
  <c r="A4529" i="1"/>
  <c r="B4529" i="1"/>
  <c r="A4530" i="1"/>
  <c r="B4530" i="1"/>
  <c r="A4531" i="1"/>
  <c r="B4531" i="1"/>
  <c r="A4532" i="1"/>
  <c r="B4532" i="1"/>
  <c r="A4533" i="1"/>
  <c r="B4533" i="1"/>
  <c r="A4534" i="1"/>
  <c r="B4534" i="1"/>
  <c r="A4535" i="1"/>
  <c r="B4535" i="1"/>
  <c r="A4536" i="1"/>
  <c r="B4536" i="1"/>
  <c r="A4537" i="1"/>
  <c r="B4537" i="1"/>
  <c r="A4538" i="1"/>
  <c r="B4538" i="1"/>
  <c r="A4539" i="1"/>
  <c r="B4539" i="1"/>
  <c r="A4540" i="1"/>
  <c r="B4540" i="1"/>
  <c r="A4541" i="1"/>
  <c r="B4541" i="1"/>
  <c r="A4542" i="1"/>
  <c r="B4542" i="1"/>
  <c r="A4543" i="1"/>
  <c r="B4543" i="1"/>
  <c r="A4544" i="1"/>
  <c r="B4544" i="1"/>
  <c r="A4545" i="1"/>
  <c r="B4545" i="1"/>
  <c r="A4546" i="1"/>
  <c r="B4546" i="1"/>
  <c r="A4547" i="1"/>
  <c r="B4547" i="1"/>
  <c r="A4548" i="1"/>
  <c r="B4548" i="1"/>
  <c r="A4549" i="1"/>
  <c r="B4549" i="1"/>
  <c r="A4550" i="1"/>
  <c r="B4550" i="1"/>
  <c r="A4551" i="1"/>
  <c r="B4551" i="1"/>
  <c r="A4552" i="1"/>
  <c r="B4552" i="1"/>
  <c r="A4553" i="1"/>
  <c r="B4553" i="1"/>
  <c r="A4554" i="1"/>
  <c r="B4554" i="1"/>
  <c r="A4555" i="1"/>
  <c r="B4555" i="1"/>
  <c r="A4556" i="1"/>
  <c r="B4556" i="1"/>
  <c r="A4557" i="1"/>
  <c r="B4557" i="1"/>
  <c r="A4558" i="1"/>
  <c r="B4558" i="1"/>
  <c r="A4559" i="1"/>
  <c r="B4559" i="1"/>
  <c r="A4560" i="1"/>
  <c r="B4560" i="1"/>
  <c r="A4561" i="1"/>
  <c r="B4561" i="1"/>
  <c r="A4562" i="1"/>
  <c r="B4562" i="1"/>
  <c r="A4563" i="1"/>
  <c r="B4563" i="1"/>
  <c r="A4564" i="1"/>
  <c r="B4564" i="1"/>
  <c r="A4565" i="1"/>
  <c r="B4565" i="1"/>
  <c r="A4566" i="1"/>
  <c r="B4566" i="1"/>
  <c r="A4567" i="1"/>
  <c r="B4567" i="1"/>
  <c r="A4568" i="1"/>
  <c r="B4568" i="1"/>
  <c r="A4569" i="1"/>
  <c r="B4569" i="1"/>
  <c r="A4570" i="1"/>
  <c r="B4570" i="1"/>
  <c r="A4571" i="1"/>
  <c r="B4571" i="1"/>
  <c r="A4572" i="1"/>
  <c r="B4572" i="1"/>
  <c r="A4573" i="1"/>
  <c r="B4573" i="1"/>
  <c r="A4574" i="1"/>
  <c r="B4574" i="1"/>
  <c r="A4575" i="1"/>
  <c r="B4575" i="1"/>
  <c r="A4576" i="1"/>
  <c r="B4576" i="1"/>
  <c r="A4577" i="1"/>
  <c r="B4577" i="1"/>
  <c r="A4578" i="1"/>
  <c r="B4578" i="1"/>
  <c r="A4579" i="1"/>
  <c r="B4579" i="1"/>
  <c r="A4580" i="1"/>
  <c r="B4580" i="1"/>
  <c r="A4581" i="1"/>
  <c r="B4581" i="1"/>
  <c r="A4582" i="1"/>
  <c r="B4582" i="1"/>
  <c r="A4583" i="1"/>
  <c r="B4583" i="1"/>
  <c r="A4584" i="1"/>
  <c r="B4584" i="1"/>
  <c r="A4585" i="1"/>
  <c r="B4585" i="1"/>
  <c r="A4586" i="1"/>
  <c r="B4586" i="1"/>
  <c r="A4587" i="1"/>
  <c r="B4587" i="1"/>
  <c r="A4588" i="1"/>
  <c r="B4588" i="1"/>
  <c r="A4589" i="1"/>
  <c r="B4589" i="1"/>
  <c r="A4590" i="1"/>
  <c r="B4590" i="1"/>
  <c r="A4591" i="1"/>
  <c r="B4591" i="1"/>
  <c r="A4592" i="1"/>
  <c r="B4592" i="1"/>
  <c r="A4593" i="1"/>
  <c r="B4593" i="1"/>
  <c r="A4594" i="1"/>
  <c r="B4594" i="1"/>
  <c r="A4595" i="1"/>
  <c r="B4595" i="1"/>
  <c r="A4596" i="1"/>
  <c r="B4596" i="1"/>
  <c r="A4597" i="1"/>
  <c r="B4597" i="1"/>
  <c r="A4598" i="1"/>
  <c r="B4598" i="1"/>
  <c r="A4599" i="1"/>
  <c r="B4599" i="1"/>
  <c r="A4600" i="1"/>
  <c r="B4600" i="1"/>
  <c r="A4601" i="1"/>
  <c r="B4601" i="1"/>
  <c r="A4602" i="1"/>
  <c r="B4602" i="1"/>
  <c r="A4603" i="1"/>
  <c r="B4603" i="1"/>
  <c r="A4604" i="1"/>
  <c r="B4604" i="1"/>
  <c r="A4605" i="1"/>
  <c r="B4605" i="1"/>
  <c r="A4606" i="1"/>
  <c r="B4606" i="1"/>
  <c r="A4607" i="1"/>
  <c r="B4607" i="1"/>
  <c r="A4608" i="1"/>
  <c r="B4608" i="1"/>
  <c r="A4609" i="1"/>
  <c r="B4609" i="1"/>
  <c r="A4610" i="1"/>
  <c r="B4610" i="1"/>
  <c r="A4611" i="1"/>
  <c r="B4611" i="1"/>
  <c r="A4612" i="1"/>
  <c r="B4612" i="1"/>
  <c r="A4613" i="1"/>
  <c r="B4613" i="1"/>
  <c r="A4614" i="1"/>
  <c r="B4614" i="1"/>
  <c r="A4615" i="1"/>
  <c r="B4615" i="1"/>
  <c r="A4616" i="1"/>
  <c r="B4616" i="1"/>
  <c r="A4617" i="1"/>
  <c r="B4617" i="1"/>
  <c r="A4618" i="1"/>
  <c r="B4618" i="1"/>
  <c r="A4619" i="1"/>
  <c r="B4619" i="1"/>
  <c r="A4620" i="1"/>
  <c r="B4620" i="1"/>
  <c r="A4621" i="1"/>
  <c r="B4621" i="1"/>
  <c r="A4622" i="1"/>
  <c r="B4622" i="1"/>
  <c r="A4623" i="1"/>
  <c r="B4623" i="1"/>
  <c r="A4624" i="1"/>
  <c r="B4624" i="1"/>
  <c r="A4625" i="1"/>
  <c r="B4625" i="1"/>
  <c r="A4626" i="1"/>
  <c r="B4626" i="1"/>
  <c r="A4627" i="1"/>
  <c r="B4627" i="1"/>
  <c r="A4628" i="1"/>
  <c r="B4628" i="1"/>
  <c r="A4629" i="1"/>
  <c r="B4629" i="1"/>
  <c r="A4630" i="1"/>
  <c r="B4630" i="1"/>
  <c r="A4631" i="1"/>
  <c r="B4631" i="1"/>
  <c r="A4632" i="1"/>
  <c r="B4632" i="1"/>
  <c r="A4633" i="1"/>
  <c r="B4633" i="1"/>
  <c r="A4634" i="1"/>
  <c r="B4634" i="1"/>
  <c r="A4635" i="1"/>
  <c r="B4635" i="1"/>
  <c r="A4636" i="1"/>
  <c r="B4636" i="1"/>
  <c r="A4637" i="1"/>
  <c r="B4637" i="1"/>
  <c r="A4638" i="1"/>
  <c r="B4638" i="1"/>
  <c r="A4639" i="1"/>
  <c r="B4639" i="1"/>
  <c r="A4640" i="1"/>
  <c r="B4640" i="1"/>
  <c r="A4641" i="1"/>
  <c r="B4641" i="1"/>
  <c r="A4642" i="1"/>
  <c r="B4642" i="1"/>
  <c r="A4643" i="1"/>
  <c r="B4643" i="1"/>
  <c r="A4644" i="1"/>
  <c r="B4644" i="1"/>
  <c r="A4645" i="1"/>
  <c r="B4645" i="1"/>
  <c r="A4646" i="1"/>
  <c r="B4646" i="1"/>
  <c r="A4647" i="1"/>
  <c r="B4647" i="1"/>
  <c r="A4648" i="1"/>
  <c r="B4648" i="1"/>
  <c r="A4649" i="1"/>
  <c r="B4649" i="1"/>
  <c r="A4650" i="1"/>
  <c r="B4650" i="1"/>
  <c r="A4651" i="1"/>
  <c r="B4651" i="1"/>
  <c r="A4652" i="1"/>
  <c r="B4652" i="1"/>
  <c r="A4653" i="1"/>
  <c r="B4653" i="1"/>
  <c r="A4654" i="1"/>
  <c r="B4654" i="1"/>
  <c r="A4655" i="1"/>
  <c r="B4655" i="1"/>
  <c r="A4656" i="1"/>
  <c r="B4656" i="1"/>
  <c r="A4657" i="1"/>
  <c r="B4657" i="1"/>
  <c r="A4658" i="1"/>
  <c r="B4658" i="1"/>
  <c r="A4659" i="1"/>
  <c r="B4659" i="1"/>
  <c r="A4660" i="1"/>
  <c r="B4660" i="1"/>
  <c r="A4661" i="1"/>
  <c r="B4661" i="1"/>
  <c r="A4662" i="1"/>
  <c r="B4662" i="1"/>
  <c r="A4663" i="1"/>
  <c r="B4663" i="1"/>
  <c r="A4664" i="1"/>
  <c r="B4664" i="1"/>
  <c r="A4665" i="1"/>
  <c r="B4665" i="1"/>
  <c r="A4666" i="1"/>
  <c r="B4666" i="1"/>
  <c r="A4667" i="1"/>
  <c r="B4667" i="1"/>
  <c r="A4668" i="1"/>
  <c r="B4668" i="1"/>
  <c r="A4669" i="1"/>
  <c r="B4669" i="1"/>
  <c r="A4670" i="1"/>
  <c r="B4670" i="1"/>
  <c r="A4671" i="1"/>
  <c r="B4671" i="1"/>
  <c r="A4672" i="1"/>
  <c r="B4672" i="1"/>
  <c r="A4673" i="1"/>
  <c r="B4673" i="1"/>
  <c r="A4674" i="1"/>
  <c r="B4674" i="1"/>
  <c r="A4675" i="1"/>
  <c r="B4675" i="1"/>
  <c r="A4676" i="1"/>
  <c r="B4676" i="1"/>
  <c r="A4677" i="1"/>
  <c r="B4677" i="1"/>
  <c r="A4678" i="1"/>
  <c r="B4678" i="1"/>
  <c r="A4679" i="1"/>
  <c r="B4679" i="1"/>
  <c r="A4680" i="1"/>
  <c r="B4680" i="1"/>
  <c r="A4681" i="1"/>
  <c r="B4681" i="1"/>
  <c r="A4682" i="1"/>
  <c r="B4682" i="1"/>
  <c r="A4683" i="1"/>
  <c r="B4683" i="1"/>
  <c r="A4684" i="1"/>
  <c r="B4684" i="1"/>
  <c r="A4685" i="1"/>
  <c r="B4685" i="1"/>
  <c r="A4686" i="1"/>
  <c r="B4686" i="1"/>
  <c r="A4687" i="1"/>
  <c r="B4687" i="1"/>
  <c r="A4688" i="1"/>
  <c r="B4688" i="1"/>
  <c r="A4689" i="1"/>
  <c r="B4689" i="1"/>
  <c r="A4690" i="1"/>
  <c r="B4690" i="1"/>
  <c r="A4691" i="1"/>
  <c r="B4691" i="1"/>
  <c r="A4692" i="1"/>
  <c r="B4692" i="1"/>
  <c r="A4693" i="1"/>
  <c r="B4693" i="1"/>
  <c r="A4694" i="1"/>
  <c r="B4694" i="1"/>
  <c r="A4695" i="1"/>
  <c r="B4695" i="1"/>
  <c r="A4696" i="1"/>
  <c r="B4696" i="1"/>
  <c r="A4697" i="1"/>
  <c r="B4697" i="1"/>
  <c r="A4698" i="1"/>
  <c r="B4698" i="1"/>
  <c r="A4699" i="1"/>
  <c r="B4699" i="1"/>
  <c r="A4700" i="1"/>
  <c r="B4700" i="1"/>
  <c r="A4701" i="1"/>
  <c r="B4701" i="1"/>
  <c r="A4702" i="1"/>
  <c r="B4702" i="1"/>
  <c r="A4703" i="1"/>
  <c r="B4703" i="1"/>
  <c r="A4704" i="1"/>
  <c r="B4704" i="1"/>
  <c r="A4705" i="1"/>
  <c r="B4705" i="1"/>
  <c r="A4706" i="1"/>
  <c r="B4706" i="1"/>
  <c r="A4707" i="1"/>
  <c r="B4707" i="1"/>
  <c r="A4708" i="1"/>
  <c r="B4708" i="1"/>
  <c r="A4709" i="1"/>
  <c r="B4709" i="1"/>
  <c r="A4710" i="1"/>
  <c r="B4710" i="1"/>
  <c r="A4711" i="1"/>
  <c r="B4711" i="1"/>
  <c r="A4712" i="1"/>
  <c r="B4712" i="1"/>
  <c r="A4713" i="1"/>
  <c r="B4713" i="1"/>
  <c r="A4714" i="1"/>
  <c r="B4714" i="1"/>
  <c r="A4715" i="1"/>
  <c r="B4715" i="1"/>
  <c r="A4716" i="1"/>
  <c r="B4716" i="1"/>
  <c r="A4717" i="1"/>
  <c r="B4717" i="1"/>
  <c r="A4718" i="1"/>
  <c r="B4718" i="1"/>
  <c r="A4719" i="1"/>
  <c r="B4719" i="1"/>
  <c r="A4720" i="1"/>
  <c r="B4720" i="1"/>
  <c r="A4721" i="1"/>
  <c r="B4721" i="1"/>
  <c r="A4722" i="1"/>
  <c r="B4722" i="1"/>
  <c r="A4723" i="1"/>
  <c r="B4723" i="1"/>
  <c r="A4724" i="1"/>
  <c r="B4724" i="1"/>
  <c r="A4725" i="1"/>
  <c r="B4725" i="1"/>
  <c r="A4726" i="1"/>
  <c r="B4726" i="1"/>
  <c r="A4727" i="1"/>
  <c r="B4727" i="1"/>
  <c r="A4728" i="1"/>
  <c r="B4728" i="1"/>
  <c r="A4729" i="1"/>
  <c r="B4729" i="1"/>
  <c r="A4730" i="1"/>
  <c r="B4730" i="1"/>
  <c r="A4731" i="1"/>
  <c r="B4731" i="1"/>
  <c r="A4732" i="1"/>
  <c r="B4732" i="1"/>
  <c r="A4733" i="1"/>
  <c r="B4733" i="1"/>
  <c r="A4734" i="1"/>
  <c r="B4734" i="1"/>
  <c r="A4735" i="1"/>
  <c r="B4735" i="1"/>
  <c r="A4736" i="1"/>
  <c r="B4736" i="1"/>
  <c r="A4737" i="1"/>
  <c r="B4737" i="1"/>
  <c r="A4738" i="1"/>
  <c r="B4738" i="1"/>
  <c r="A4739" i="1"/>
  <c r="B4739" i="1"/>
  <c r="A4740" i="1"/>
  <c r="B4740" i="1"/>
  <c r="A4741" i="1"/>
  <c r="B4741" i="1"/>
  <c r="A4742" i="1"/>
  <c r="B4742" i="1"/>
  <c r="A4743" i="1"/>
  <c r="B4743" i="1"/>
  <c r="A4744" i="1"/>
  <c r="B4744" i="1"/>
  <c r="A4745" i="1"/>
  <c r="B4745" i="1"/>
  <c r="A4746" i="1"/>
  <c r="B4746" i="1"/>
  <c r="A4747" i="1"/>
  <c r="B4747" i="1"/>
  <c r="A4748" i="1"/>
  <c r="B4748" i="1"/>
  <c r="A4749" i="1"/>
  <c r="B4749" i="1"/>
  <c r="A4750" i="1"/>
  <c r="B4750" i="1"/>
  <c r="A4751" i="1"/>
  <c r="B4751" i="1"/>
  <c r="A4752" i="1"/>
  <c r="B4752" i="1"/>
  <c r="A4753" i="1"/>
  <c r="B4753" i="1"/>
  <c r="A4754" i="1"/>
  <c r="B4754" i="1"/>
  <c r="A4755" i="1"/>
  <c r="B4755" i="1"/>
  <c r="A4756" i="1"/>
  <c r="B4756" i="1"/>
  <c r="A4757" i="1"/>
  <c r="B4757" i="1"/>
  <c r="A4758" i="1"/>
  <c r="B4758" i="1"/>
  <c r="A4759" i="1"/>
  <c r="B4759" i="1"/>
  <c r="A4760" i="1"/>
  <c r="B4760" i="1"/>
  <c r="A4761" i="1"/>
  <c r="B4761" i="1"/>
  <c r="A4762" i="1"/>
  <c r="B4762" i="1"/>
  <c r="A4763" i="1"/>
  <c r="B4763" i="1"/>
  <c r="A4764" i="1"/>
  <c r="B4764" i="1"/>
  <c r="A4765" i="1"/>
  <c r="B4765" i="1"/>
  <c r="A4766" i="1"/>
  <c r="B4766" i="1"/>
  <c r="A4767" i="1"/>
  <c r="B4767" i="1"/>
  <c r="A4768" i="1"/>
  <c r="B4768" i="1"/>
  <c r="A4769" i="1"/>
  <c r="B4769" i="1"/>
  <c r="A4770" i="1"/>
  <c r="B4770" i="1"/>
  <c r="A4771" i="1"/>
  <c r="B4771" i="1"/>
  <c r="A4772" i="1"/>
  <c r="B4772" i="1"/>
  <c r="A4773" i="1"/>
  <c r="B4773" i="1"/>
  <c r="A4774" i="1"/>
  <c r="B4774" i="1"/>
  <c r="A4775" i="1"/>
  <c r="B4775" i="1"/>
  <c r="A4776" i="1"/>
  <c r="B4776" i="1"/>
  <c r="A4777" i="1"/>
  <c r="B4777" i="1"/>
  <c r="A4778" i="1"/>
  <c r="B4778" i="1"/>
  <c r="A4779" i="1"/>
  <c r="B4779" i="1"/>
  <c r="A4780" i="1"/>
  <c r="B4780" i="1"/>
  <c r="A4781" i="1"/>
  <c r="B4781" i="1"/>
  <c r="A4782" i="1"/>
  <c r="B4782" i="1"/>
  <c r="A4783" i="1"/>
  <c r="B4783" i="1"/>
  <c r="A4784" i="1"/>
  <c r="B4784" i="1"/>
  <c r="A4785" i="1"/>
  <c r="B4785" i="1"/>
  <c r="A4786" i="1"/>
  <c r="B4786" i="1"/>
  <c r="A4787" i="1"/>
  <c r="B4787" i="1"/>
  <c r="A4788" i="1"/>
  <c r="B4788" i="1"/>
  <c r="A4789" i="1"/>
  <c r="B4789" i="1"/>
  <c r="A4790" i="1"/>
  <c r="B4790" i="1"/>
  <c r="A4791" i="1"/>
  <c r="B4791" i="1"/>
  <c r="A4792" i="1"/>
  <c r="B4792" i="1"/>
  <c r="A4793" i="1"/>
  <c r="B4793" i="1"/>
  <c r="A4794" i="1"/>
  <c r="B4794" i="1"/>
  <c r="A4795" i="1"/>
  <c r="B4795" i="1"/>
  <c r="A4796" i="1"/>
  <c r="B4796" i="1"/>
  <c r="A4797" i="1"/>
  <c r="B4797" i="1"/>
  <c r="A4798" i="1"/>
  <c r="B4798" i="1"/>
  <c r="A4799" i="1"/>
  <c r="B4799" i="1"/>
  <c r="A4800" i="1"/>
  <c r="B4800" i="1"/>
  <c r="A4801" i="1"/>
  <c r="B4801" i="1"/>
  <c r="A4802" i="1"/>
  <c r="B4802" i="1"/>
  <c r="A4803" i="1"/>
  <c r="B4803" i="1"/>
  <c r="A4804" i="1"/>
  <c r="B4804" i="1"/>
  <c r="A4805" i="1"/>
  <c r="B4805" i="1"/>
  <c r="A4806" i="1"/>
  <c r="B4806" i="1"/>
  <c r="A4807" i="1"/>
  <c r="B4807" i="1"/>
  <c r="A4808" i="1"/>
  <c r="B4808" i="1"/>
  <c r="A4809" i="1"/>
  <c r="B4809" i="1"/>
  <c r="A4810" i="1"/>
  <c r="B4810" i="1"/>
  <c r="A4811" i="1"/>
  <c r="B4811" i="1"/>
  <c r="A4812" i="1"/>
  <c r="B4812" i="1"/>
  <c r="A4813" i="1"/>
  <c r="B4813" i="1"/>
  <c r="A4814" i="1"/>
  <c r="B4814" i="1"/>
  <c r="A4815" i="1"/>
  <c r="B4815" i="1"/>
  <c r="A4816" i="1"/>
  <c r="B4816" i="1"/>
  <c r="A4817" i="1"/>
  <c r="B4817" i="1"/>
  <c r="A4818" i="1"/>
  <c r="B4818" i="1"/>
  <c r="A4819" i="1"/>
  <c r="B4819" i="1"/>
  <c r="A4820" i="1"/>
  <c r="B4820" i="1"/>
  <c r="A4821" i="1"/>
  <c r="B4821" i="1"/>
  <c r="A4822" i="1"/>
  <c r="B4822" i="1"/>
  <c r="A4823" i="1"/>
  <c r="B4823" i="1"/>
  <c r="A4824" i="1"/>
  <c r="B4824" i="1"/>
  <c r="A4825" i="1"/>
  <c r="B4825" i="1"/>
  <c r="A4826" i="1"/>
  <c r="B4826" i="1"/>
  <c r="A4827" i="1"/>
  <c r="B4827" i="1"/>
  <c r="A4828" i="1"/>
  <c r="B4828" i="1"/>
  <c r="A4829" i="1"/>
  <c r="B4829" i="1"/>
  <c r="A4830" i="1"/>
  <c r="B4830" i="1"/>
  <c r="A4831" i="1"/>
  <c r="B4831" i="1"/>
  <c r="A4832" i="1"/>
  <c r="B4832" i="1"/>
  <c r="A4833" i="1"/>
  <c r="B4833" i="1"/>
  <c r="A4834" i="1"/>
  <c r="B4834" i="1"/>
  <c r="A4835" i="1"/>
  <c r="B4835" i="1"/>
  <c r="A4836" i="1"/>
  <c r="B4836" i="1"/>
  <c r="A4837" i="1"/>
  <c r="B4837" i="1"/>
  <c r="A4838" i="1"/>
  <c r="B4838" i="1"/>
  <c r="A4839" i="1"/>
  <c r="B4839" i="1"/>
  <c r="A4840" i="1"/>
  <c r="B4840" i="1"/>
  <c r="A4841" i="1"/>
  <c r="B4841" i="1"/>
  <c r="A4842" i="1"/>
  <c r="B4842" i="1"/>
  <c r="A4843" i="1"/>
  <c r="B4843" i="1"/>
  <c r="A4844" i="1"/>
  <c r="B4844" i="1"/>
  <c r="A4845" i="1"/>
  <c r="B4845" i="1"/>
  <c r="A4846" i="1"/>
  <c r="B4846" i="1"/>
  <c r="A4847" i="1"/>
  <c r="B4847" i="1"/>
  <c r="A4848" i="1"/>
  <c r="B4848" i="1"/>
  <c r="A4849" i="1"/>
  <c r="B4849" i="1"/>
  <c r="A4850" i="1"/>
  <c r="B4850" i="1"/>
  <c r="A4851" i="1"/>
  <c r="B4851" i="1"/>
  <c r="A4852" i="1"/>
  <c r="B4852" i="1"/>
  <c r="A4853" i="1"/>
  <c r="B4853" i="1"/>
  <c r="A4854" i="1"/>
  <c r="B4854" i="1"/>
  <c r="A4855" i="1"/>
  <c r="B4855" i="1"/>
  <c r="A4856" i="1"/>
  <c r="B4856" i="1"/>
  <c r="A4857" i="1"/>
  <c r="B4857" i="1"/>
  <c r="A4858" i="1"/>
  <c r="B4858" i="1"/>
  <c r="A4859" i="1"/>
  <c r="B4859" i="1"/>
  <c r="A4860" i="1"/>
  <c r="B4860" i="1"/>
  <c r="A4861" i="1"/>
  <c r="B4861" i="1"/>
  <c r="A4862" i="1"/>
  <c r="B4862" i="1"/>
  <c r="A4863" i="1"/>
  <c r="B4863" i="1"/>
  <c r="A4864" i="1"/>
  <c r="B4864" i="1"/>
  <c r="A4865" i="1"/>
  <c r="B4865" i="1"/>
  <c r="A4866" i="1"/>
  <c r="B4866" i="1"/>
  <c r="A4867" i="1"/>
  <c r="B4867" i="1"/>
  <c r="A4868" i="1"/>
  <c r="B4868" i="1"/>
  <c r="A4869" i="1"/>
  <c r="B4869" i="1"/>
  <c r="A4870" i="1"/>
  <c r="B4870" i="1"/>
  <c r="A4871" i="1"/>
  <c r="B4871" i="1"/>
  <c r="A4872" i="1"/>
  <c r="B4872" i="1"/>
  <c r="A4873" i="1"/>
  <c r="B4873" i="1"/>
  <c r="A4874" i="1"/>
  <c r="B4874" i="1"/>
  <c r="A4875" i="1"/>
  <c r="B4875" i="1"/>
  <c r="A4876" i="1"/>
  <c r="B4876" i="1"/>
  <c r="A4877" i="1"/>
  <c r="B4877" i="1"/>
  <c r="A4878" i="1"/>
  <c r="B4878" i="1"/>
  <c r="A4879" i="1"/>
  <c r="B4879" i="1"/>
  <c r="A4880" i="1"/>
  <c r="B4880" i="1"/>
  <c r="A4881" i="1"/>
  <c r="B4881" i="1"/>
  <c r="A4882" i="1"/>
  <c r="B4882" i="1"/>
  <c r="A4883" i="1"/>
  <c r="B4883" i="1"/>
  <c r="A4884" i="1"/>
  <c r="B4884" i="1"/>
  <c r="A4885" i="1"/>
  <c r="B4885" i="1"/>
  <c r="A4886" i="1"/>
  <c r="B4886" i="1"/>
  <c r="A4887" i="1"/>
  <c r="B4887" i="1"/>
  <c r="A4888" i="1"/>
  <c r="B4888" i="1"/>
  <c r="A4889" i="1"/>
  <c r="B4889" i="1"/>
  <c r="A4890" i="1"/>
  <c r="B4890" i="1"/>
  <c r="A4891" i="1"/>
  <c r="B4891" i="1"/>
  <c r="A4892" i="1"/>
  <c r="B4892" i="1"/>
  <c r="A4893" i="1"/>
  <c r="B4893" i="1"/>
  <c r="A4894" i="1"/>
  <c r="B4894" i="1"/>
  <c r="A4895" i="1"/>
  <c r="B4895" i="1"/>
  <c r="A4896" i="1"/>
  <c r="B4896" i="1"/>
  <c r="A4897" i="1"/>
  <c r="B4897" i="1"/>
  <c r="A4898" i="1"/>
  <c r="B4898" i="1"/>
  <c r="A4899" i="1"/>
  <c r="B4899" i="1"/>
  <c r="A4900" i="1"/>
  <c r="B4900" i="1"/>
  <c r="A4901" i="1"/>
  <c r="B4901" i="1"/>
  <c r="A4902" i="1"/>
  <c r="B4902" i="1"/>
  <c r="A4903" i="1"/>
  <c r="B4903" i="1"/>
  <c r="A4904" i="1"/>
  <c r="B4904" i="1"/>
  <c r="A4905" i="1"/>
  <c r="B4905" i="1"/>
  <c r="A4906" i="1"/>
  <c r="B4906" i="1"/>
  <c r="A4907" i="1"/>
  <c r="B4907" i="1"/>
  <c r="A4908" i="1"/>
  <c r="B4908" i="1"/>
  <c r="A4909" i="1"/>
  <c r="B4909" i="1"/>
  <c r="A4910" i="1"/>
  <c r="B4910" i="1"/>
  <c r="A4911" i="1"/>
  <c r="B4911" i="1"/>
  <c r="A4912" i="1"/>
  <c r="B4912" i="1"/>
  <c r="A4913" i="1"/>
  <c r="B4913" i="1"/>
  <c r="A4914" i="1"/>
  <c r="B4914" i="1"/>
  <c r="A4915" i="1"/>
  <c r="B4915" i="1"/>
  <c r="A4916" i="1"/>
  <c r="B4916" i="1"/>
  <c r="A4917" i="1"/>
  <c r="B4917" i="1"/>
  <c r="A4918" i="1"/>
  <c r="B4918" i="1"/>
  <c r="A4919" i="1"/>
  <c r="B4919" i="1"/>
  <c r="A4920" i="1"/>
  <c r="B4920" i="1"/>
  <c r="A4921" i="1"/>
  <c r="B4921" i="1"/>
  <c r="A4922" i="1"/>
  <c r="B4922" i="1"/>
  <c r="A4923" i="1"/>
  <c r="B4923" i="1"/>
  <c r="A4924" i="1"/>
  <c r="B4924" i="1"/>
  <c r="A4925" i="1"/>
  <c r="B4925" i="1"/>
  <c r="A4926" i="1"/>
  <c r="B4926" i="1"/>
  <c r="A4927" i="1"/>
  <c r="B4927" i="1"/>
  <c r="A4928" i="1"/>
  <c r="B4928" i="1"/>
  <c r="A4929" i="1"/>
  <c r="B4929" i="1"/>
  <c r="A4930" i="1"/>
  <c r="B4930" i="1"/>
  <c r="A4931" i="1"/>
  <c r="B4931" i="1"/>
  <c r="A4932" i="1"/>
  <c r="B4932" i="1"/>
  <c r="A4933" i="1"/>
  <c r="B4933" i="1"/>
  <c r="A4934" i="1"/>
  <c r="B4934" i="1"/>
  <c r="A4935" i="1"/>
  <c r="B4935" i="1"/>
  <c r="A4936" i="1"/>
  <c r="B4936" i="1"/>
  <c r="A4937" i="1"/>
  <c r="B4937" i="1"/>
  <c r="A4938" i="1"/>
  <c r="B4938" i="1"/>
  <c r="A4939" i="1"/>
  <c r="B4939" i="1"/>
  <c r="A4940" i="1"/>
  <c r="B4940" i="1"/>
  <c r="A4941" i="1"/>
  <c r="B4941" i="1"/>
  <c r="A4942" i="1"/>
  <c r="B4942" i="1"/>
  <c r="A4943" i="1"/>
  <c r="B4943" i="1"/>
  <c r="A4944" i="1"/>
  <c r="B4944" i="1"/>
  <c r="A4945" i="1"/>
  <c r="B4945" i="1"/>
  <c r="A4946" i="1"/>
  <c r="B4946" i="1"/>
  <c r="A4947" i="1"/>
  <c r="B4947" i="1"/>
  <c r="A4948" i="1"/>
  <c r="B4948" i="1"/>
  <c r="A4949" i="1"/>
  <c r="B4949" i="1"/>
  <c r="A4950" i="1"/>
  <c r="B4950" i="1"/>
  <c r="A4951" i="1"/>
  <c r="B4951" i="1"/>
  <c r="A4952" i="1"/>
  <c r="B4952" i="1"/>
  <c r="A4953" i="1"/>
  <c r="B4953" i="1"/>
  <c r="A4954" i="1"/>
  <c r="B4954" i="1"/>
  <c r="A4955" i="1"/>
  <c r="B4955" i="1"/>
  <c r="A4956" i="1"/>
  <c r="B4956" i="1"/>
  <c r="A4957" i="1"/>
  <c r="B4957" i="1"/>
  <c r="A4958" i="1"/>
  <c r="B4958" i="1"/>
  <c r="A4959" i="1"/>
  <c r="B4959" i="1"/>
  <c r="A4960" i="1"/>
  <c r="B4960" i="1"/>
  <c r="A4961" i="1"/>
  <c r="B4961" i="1"/>
  <c r="A4962" i="1"/>
  <c r="B4962" i="1"/>
  <c r="A4963" i="1"/>
  <c r="B4963" i="1"/>
  <c r="A4964" i="1"/>
  <c r="B4964" i="1"/>
  <c r="A4965" i="1"/>
  <c r="B4965" i="1"/>
  <c r="A4966" i="1"/>
  <c r="B4966" i="1"/>
  <c r="A4967" i="1"/>
  <c r="B4967" i="1"/>
  <c r="A4968" i="1"/>
  <c r="B4968" i="1"/>
  <c r="A4969" i="1"/>
  <c r="B4969" i="1"/>
  <c r="A4970" i="1"/>
  <c r="B4970" i="1"/>
  <c r="A4971" i="1"/>
  <c r="B4971" i="1"/>
  <c r="A4972" i="1"/>
  <c r="B4972" i="1"/>
  <c r="A4973" i="1"/>
  <c r="B4973" i="1"/>
  <c r="A4974" i="1"/>
  <c r="B4974" i="1"/>
  <c r="A4975" i="1"/>
  <c r="B4975" i="1"/>
  <c r="A4976" i="1"/>
  <c r="B4976" i="1"/>
  <c r="A4977" i="1"/>
  <c r="B4977" i="1"/>
  <c r="A4978" i="1"/>
  <c r="B4978" i="1"/>
  <c r="A4979" i="1"/>
  <c r="B4979" i="1"/>
  <c r="A4980" i="1"/>
  <c r="B4980" i="1"/>
  <c r="A4981" i="1"/>
  <c r="B4981" i="1"/>
  <c r="A4982" i="1"/>
  <c r="B4982" i="1"/>
  <c r="A4983" i="1"/>
  <c r="B4983" i="1"/>
  <c r="A4984" i="1"/>
  <c r="B4984" i="1"/>
  <c r="A4985" i="1"/>
  <c r="B4985" i="1"/>
  <c r="A4986" i="1"/>
  <c r="B4986" i="1"/>
  <c r="A4987" i="1"/>
  <c r="B4987" i="1"/>
  <c r="A4988" i="1"/>
  <c r="B4988" i="1"/>
  <c r="A4989" i="1"/>
  <c r="B4989" i="1"/>
  <c r="A4990" i="1"/>
  <c r="B4990" i="1"/>
  <c r="A4991" i="1"/>
  <c r="B4991" i="1"/>
  <c r="A4992" i="1"/>
  <c r="B4992" i="1"/>
  <c r="A4993" i="1"/>
  <c r="B4993" i="1"/>
  <c r="A4994" i="1"/>
  <c r="B4994" i="1"/>
  <c r="A4995" i="1"/>
  <c r="B4995" i="1"/>
  <c r="A4996" i="1"/>
  <c r="B4996" i="1"/>
  <c r="A4997" i="1"/>
  <c r="B4997" i="1"/>
  <c r="A4998" i="1"/>
  <c r="B4998" i="1"/>
  <c r="A4999" i="1"/>
  <c r="B4999" i="1"/>
  <c r="A5000" i="1"/>
  <c r="B5000" i="1"/>
  <c r="A5001" i="1"/>
  <c r="B5001" i="1"/>
  <c r="A5002" i="1"/>
  <c r="B5002" i="1"/>
  <c r="A5003" i="1"/>
  <c r="B5003" i="1"/>
  <c r="A5004" i="1"/>
  <c r="B5004" i="1"/>
  <c r="A5005" i="1"/>
  <c r="B5005" i="1"/>
  <c r="A5006" i="1"/>
  <c r="B5006" i="1"/>
  <c r="A5007" i="1"/>
  <c r="B5007" i="1"/>
  <c r="A5008" i="1"/>
  <c r="B5008" i="1"/>
  <c r="A5009" i="1"/>
  <c r="B5009" i="1"/>
  <c r="A5010" i="1"/>
  <c r="B5010" i="1"/>
  <c r="A5011" i="1"/>
  <c r="B5011" i="1"/>
  <c r="A5012" i="1"/>
  <c r="B5012" i="1"/>
  <c r="A5013" i="1"/>
  <c r="B5013" i="1"/>
  <c r="A5014" i="1"/>
  <c r="B5014" i="1"/>
  <c r="A5015" i="1"/>
  <c r="B5015" i="1"/>
  <c r="A5016" i="1"/>
  <c r="B5016" i="1"/>
  <c r="A5017" i="1"/>
  <c r="B5017" i="1"/>
  <c r="A5018" i="1"/>
  <c r="B5018" i="1"/>
  <c r="A5019" i="1"/>
  <c r="B5019" i="1"/>
  <c r="A5020" i="1"/>
  <c r="B5020" i="1"/>
  <c r="A5021" i="1"/>
  <c r="B5021" i="1"/>
  <c r="A5022" i="1"/>
  <c r="B5022" i="1"/>
  <c r="A5023" i="1"/>
  <c r="B5023" i="1"/>
  <c r="A5024" i="1"/>
  <c r="B5024" i="1"/>
  <c r="A5025" i="1"/>
  <c r="B5025" i="1"/>
  <c r="A5026" i="1"/>
  <c r="B5026" i="1"/>
  <c r="A5027" i="1"/>
  <c r="B5027" i="1"/>
  <c r="A5028" i="1"/>
  <c r="B5028" i="1"/>
  <c r="A5029" i="1"/>
  <c r="B5029" i="1"/>
  <c r="A5030" i="1"/>
  <c r="B5030" i="1"/>
  <c r="A5031" i="1"/>
  <c r="B5031" i="1"/>
  <c r="A5032" i="1"/>
  <c r="B5032" i="1"/>
  <c r="A5033" i="1"/>
  <c r="B5033" i="1"/>
  <c r="A5034" i="1"/>
  <c r="B5034" i="1"/>
  <c r="A5035" i="1"/>
  <c r="B5035" i="1"/>
  <c r="A5036" i="1"/>
  <c r="B5036" i="1"/>
  <c r="A5037" i="1"/>
  <c r="B5037" i="1"/>
  <c r="A5038" i="1"/>
  <c r="B5038" i="1"/>
  <c r="A5039" i="1"/>
  <c r="B5039" i="1"/>
  <c r="A5040" i="1"/>
  <c r="B5040" i="1"/>
  <c r="A5041" i="1"/>
  <c r="B5041" i="1"/>
  <c r="A5042" i="1"/>
  <c r="B5042" i="1"/>
  <c r="A5043" i="1"/>
  <c r="B5043" i="1"/>
  <c r="A5044" i="1"/>
  <c r="B5044" i="1"/>
  <c r="A5045" i="1"/>
  <c r="B5045" i="1"/>
  <c r="A5046" i="1"/>
  <c r="B5046" i="1"/>
  <c r="A5047" i="1"/>
  <c r="B5047" i="1"/>
  <c r="A5048" i="1"/>
  <c r="B5048" i="1"/>
  <c r="A5049" i="1"/>
  <c r="B5049" i="1"/>
  <c r="A5050" i="1"/>
  <c r="B5050" i="1"/>
  <c r="A5051" i="1"/>
  <c r="B5051" i="1"/>
  <c r="A5052" i="1"/>
  <c r="B5052" i="1"/>
  <c r="A5053" i="1"/>
  <c r="B5053" i="1"/>
  <c r="A5054" i="1"/>
  <c r="B5054" i="1"/>
  <c r="A5055" i="1"/>
  <c r="B5055" i="1"/>
  <c r="A5056" i="1"/>
  <c r="B5056" i="1"/>
  <c r="A5057" i="1"/>
  <c r="B5057" i="1"/>
  <c r="A5058" i="1"/>
  <c r="B5058" i="1"/>
  <c r="A5059" i="1"/>
  <c r="B5059" i="1"/>
  <c r="A5060" i="1"/>
  <c r="B5060" i="1"/>
  <c r="A5061" i="1"/>
  <c r="B5061" i="1"/>
  <c r="A5062" i="1"/>
  <c r="B5062" i="1"/>
  <c r="A5063" i="1"/>
  <c r="B5063" i="1"/>
  <c r="A5064" i="1"/>
  <c r="B5064" i="1"/>
  <c r="A5065" i="1"/>
  <c r="B5065" i="1"/>
  <c r="A5066" i="1"/>
  <c r="B5066" i="1"/>
  <c r="A5067" i="1"/>
  <c r="B5067" i="1"/>
  <c r="A5068" i="1"/>
  <c r="B5068" i="1"/>
  <c r="A5069" i="1"/>
  <c r="B5069" i="1"/>
  <c r="A5070" i="1"/>
  <c r="B5070" i="1"/>
  <c r="A5071" i="1"/>
  <c r="B5071" i="1"/>
  <c r="A5072" i="1"/>
  <c r="B5072" i="1"/>
  <c r="A5073" i="1"/>
  <c r="B5073" i="1"/>
  <c r="A5074" i="1"/>
  <c r="B5074" i="1"/>
  <c r="A5075" i="1"/>
  <c r="B5075" i="1"/>
  <c r="A5076" i="1"/>
  <c r="B5076" i="1"/>
  <c r="A5077" i="1"/>
  <c r="B5077" i="1"/>
  <c r="A5078" i="1"/>
  <c r="B5078" i="1"/>
  <c r="A5079" i="1"/>
  <c r="B5079" i="1"/>
  <c r="A5080" i="1"/>
  <c r="B5080" i="1"/>
  <c r="A5081" i="1"/>
  <c r="B5081" i="1"/>
  <c r="A5082" i="1"/>
  <c r="B5082" i="1"/>
  <c r="A5083" i="1"/>
  <c r="B5083" i="1"/>
  <c r="A5084" i="1"/>
  <c r="B5084" i="1"/>
  <c r="A5085" i="1"/>
  <c r="B5085" i="1"/>
  <c r="A5086" i="1"/>
  <c r="B5086" i="1"/>
  <c r="A5087" i="1"/>
  <c r="B5087" i="1"/>
  <c r="A5088" i="1"/>
  <c r="B5088" i="1"/>
  <c r="A5089" i="1"/>
  <c r="B5089" i="1"/>
  <c r="A5090" i="1"/>
  <c r="B5090" i="1"/>
  <c r="A5091" i="1"/>
  <c r="B5091" i="1"/>
  <c r="A5092" i="1"/>
  <c r="B5092" i="1"/>
  <c r="A5093" i="1"/>
  <c r="B5093" i="1"/>
  <c r="A5094" i="1"/>
  <c r="B5094" i="1"/>
  <c r="A5095" i="1"/>
  <c r="B5095" i="1"/>
  <c r="A5096" i="1"/>
  <c r="B5096" i="1"/>
  <c r="A5097" i="1"/>
  <c r="B5097" i="1"/>
  <c r="A5098" i="1"/>
  <c r="B5098" i="1"/>
  <c r="A5099" i="1"/>
  <c r="B5099" i="1"/>
  <c r="A5100" i="1"/>
  <c r="B5100" i="1"/>
  <c r="A5101" i="1"/>
  <c r="B5101" i="1"/>
  <c r="A5102" i="1"/>
  <c r="B5102" i="1"/>
  <c r="A5103" i="1"/>
  <c r="B5103" i="1"/>
  <c r="A5104" i="1"/>
  <c r="B5104" i="1"/>
  <c r="A5105" i="1"/>
  <c r="B5105" i="1"/>
  <c r="A5106" i="1"/>
  <c r="B5106" i="1"/>
  <c r="A5107" i="1"/>
  <c r="B5107" i="1"/>
  <c r="A5108" i="1"/>
  <c r="B5108" i="1"/>
  <c r="A5109" i="1"/>
  <c r="B5109" i="1"/>
  <c r="A5110" i="1"/>
  <c r="B5110" i="1"/>
  <c r="A5111" i="1"/>
  <c r="B5111" i="1"/>
  <c r="A5112" i="1"/>
  <c r="B5112" i="1"/>
  <c r="A5113" i="1"/>
  <c r="B5113" i="1"/>
  <c r="A5114" i="1"/>
  <c r="B5114" i="1"/>
  <c r="A5115" i="1"/>
  <c r="B5115" i="1"/>
  <c r="A5116" i="1"/>
  <c r="B5116" i="1"/>
  <c r="A5117" i="1"/>
  <c r="B5117" i="1"/>
  <c r="A5118" i="1"/>
  <c r="B5118" i="1"/>
  <c r="A5119" i="1"/>
  <c r="B5119" i="1"/>
  <c r="A5120" i="1"/>
  <c r="B5120" i="1"/>
  <c r="A5121" i="1"/>
  <c r="B5121" i="1"/>
  <c r="A5122" i="1"/>
  <c r="B5122" i="1"/>
  <c r="A5123" i="1"/>
  <c r="B5123" i="1"/>
  <c r="A5124" i="1"/>
  <c r="B5124" i="1"/>
  <c r="A5125" i="1"/>
  <c r="B5125" i="1"/>
  <c r="A5126" i="1"/>
  <c r="B5126" i="1"/>
  <c r="A5127" i="1"/>
  <c r="B5127" i="1"/>
  <c r="A5128" i="1"/>
  <c r="B5128" i="1"/>
  <c r="A5129" i="1"/>
  <c r="B5129" i="1"/>
  <c r="A5130" i="1"/>
  <c r="B5130" i="1"/>
  <c r="A5131" i="1"/>
  <c r="B5131" i="1"/>
  <c r="A5132" i="1"/>
  <c r="B5132" i="1"/>
  <c r="A5133" i="1"/>
  <c r="B5133" i="1"/>
  <c r="A5134" i="1"/>
  <c r="B5134" i="1"/>
  <c r="A5135" i="1"/>
  <c r="B5135" i="1"/>
  <c r="A5136" i="1"/>
  <c r="B5136" i="1"/>
  <c r="A5137" i="1"/>
  <c r="B5137" i="1"/>
  <c r="A5138" i="1"/>
  <c r="B5138" i="1"/>
  <c r="A5139" i="1"/>
  <c r="B5139" i="1"/>
  <c r="A5140" i="1"/>
  <c r="B5140" i="1"/>
  <c r="A5141" i="1"/>
  <c r="B5141" i="1"/>
  <c r="A5142" i="1"/>
  <c r="B5142" i="1"/>
  <c r="A5143" i="1"/>
  <c r="B5143" i="1"/>
  <c r="A5144" i="1"/>
  <c r="B5144" i="1"/>
  <c r="A5145" i="1"/>
  <c r="B5145" i="1"/>
  <c r="A5146" i="1"/>
  <c r="B5146" i="1"/>
  <c r="A5147" i="1"/>
  <c r="B5147" i="1"/>
  <c r="A5148" i="1"/>
  <c r="B5148" i="1"/>
  <c r="A5149" i="1"/>
  <c r="B5149" i="1"/>
  <c r="A5150" i="1"/>
  <c r="B5150" i="1"/>
  <c r="A5151" i="1"/>
  <c r="B5151" i="1"/>
  <c r="A5152" i="1"/>
  <c r="B5152" i="1"/>
  <c r="A5153" i="1"/>
  <c r="B5153" i="1"/>
  <c r="A5154" i="1"/>
  <c r="B5154" i="1"/>
  <c r="A5155" i="1"/>
  <c r="B5155" i="1"/>
  <c r="A5156" i="1"/>
  <c r="B5156" i="1"/>
  <c r="A5157" i="1"/>
  <c r="B5157" i="1"/>
  <c r="A5158" i="1"/>
  <c r="B5158" i="1"/>
  <c r="A5159" i="1"/>
  <c r="B5159" i="1"/>
  <c r="A5160" i="1"/>
  <c r="B5160" i="1"/>
  <c r="A5161" i="1"/>
  <c r="B5161" i="1"/>
  <c r="A5162" i="1"/>
  <c r="B5162" i="1"/>
  <c r="A5163" i="1"/>
  <c r="B5163" i="1"/>
  <c r="A5164" i="1"/>
  <c r="B5164" i="1"/>
  <c r="A5165" i="1"/>
  <c r="B5165" i="1"/>
  <c r="A5166" i="1"/>
  <c r="B5166" i="1"/>
  <c r="A5167" i="1"/>
  <c r="B5167" i="1"/>
  <c r="A5168" i="1"/>
  <c r="B5168" i="1"/>
  <c r="A5169" i="1"/>
  <c r="B5169" i="1"/>
  <c r="A5170" i="1"/>
  <c r="B5170" i="1"/>
  <c r="A5171" i="1"/>
  <c r="B5171" i="1"/>
  <c r="A5172" i="1"/>
  <c r="B5172" i="1"/>
  <c r="A5173" i="1"/>
  <c r="B5173" i="1"/>
  <c r="A5174" i="1"/>
  <c r="B5174" i="1"/>
  <c r="A5175" i="1"/>
  <c r="B5175" i="1"/>
  <c r="A5176" i="1"/>
  <c r="B5176" i="1"/>
  <c r="A5177" i="1"/>
  <c r="B5177" i="1"/>
  <c r="A5178" i="1"/>
  <c r="B5178" i="1"/>
  <c r="A5179" i="1"/>
  <c r="B5179" i="1"/>
  <c r="A5180" i="1"/>
  <c r="B5180" i="1"/>
  <c r="A5181" i="1"/>
  <c r="B5181" i="1"/>
  <c r="A5182" i="1"/>
  <c r="B5182" i="1"/>
  <c r="A5183" i="1"/>
  <c r="B5183" i="1"/>
  <c r="A5184" i="1"/>
  <c r="B5184" i="1"/>
  <c r="A5185" i="1"/>
  <c r="B5185" i="1"/>
  <c r="A5186" i="1"/>
  <c r="B5186" i="1"/>
  <c r="A5187" i="1"/>
  <c r="B5187" i="1"/>
  <c r="A5188" i="1"/>
  <c r="B5188" i="1"/>
  <c r="A5189" i="1"/>
  <c r="B5189" i="1"/>
  <c r="A5190" i="1"/>
  <c r="B5190" i="1"/>
  <c r="A5191" i="1"/>
  <c r="B5191" i="1"/>
  <c r="A5192" i="1"/>
  <c r="B5192" i="1"/>
  <c r="A5193" i="1"/>
  <c r="B5193" i="1"/>
  <c r="A5194" i="1"/>
  <c r="B5194" i="1"/>
  <c r="A5195" i="1"/>
  <c r="B5195" i="1"/>
  <c r="A5196" i="1"/>
  <c r="B5196" i="1"/>
  <c r="A5197" i="1"/>
  <c r="B5197" i="1"/>
  <c r="A5198" i="1"/>
  <c r="B5198" i="1"/>
  <c r="A5199" i="1"/>
  <c r="B5199" i="1"/>
  <c r="A5200" i="1"/>
  <c r="B5200" i="1"/>
  <c r="A5201" i="1"/>
  <c r="B5201" i="1"/>
  <c r="A5202" i="1"/>
  <c r="B5202" i="1"/>
  <c r="A5203" i="1"/>
  <c r="B5203" i="1"/>
  <c r="A5204" i="1"/>
  <c r="B5204" i="1"/>
  <c r="A5205" i="1"/>
  <c r="B5205" i="1"/>
  <c r="A5206" i="1"/>
  <c r="B5206" i="1"/>
  <c r="A5207" i="1"/>
  <c r="B5207" i="1"/>
  <c r="A5208" i="1"/>
  <c r="B5208" i="1"/>
  <c r="A5209" i="1"/>
  <c r="B5209" i="1"/>
  <c r="A5210" i="1"/>
  <c r="B5210" i="1"/>
  <c r="A5211" i="1"/>
  <c r="B5211" i="1"/>
  <c r="A5212" i="1"/>
  <c r="B5212" i="1"/>
  <c r="A5213" i="1"/>
  <c r="B5213" i="1"/>
  <c r="A5214" i="1"/>
  <c r="B5214" i="1"/>
  <c r="A5215" i="1"/>
  <c r="B5215" i="1"/>
  <c r="A5216" i="1"/>
  <c r="B5216" i="1"/>
  <c r="A5217" i="1"/>
  <c r="B5217" i="1"/>
  <c r="A5218" i="1"/>
  <c r="B5218" i="1"/>
  <c r="A5219" i="1"/>
  <c r="B5219" i="1"/>
  <c r="A5220" i="1"/>
  <c r="B5220" i="1"/>
  <c r="A5221" i="1"/>
  <c r="B5221" i="1"/>
  <c r="A5222" i="1"/>
  <c r="B5222" i="1"/>
  <c r="A5223" i="1"/>
  <c r="B5223" i="1"/>
  <c r="A5224" i="1"/>
  <c r="B5224" i="1"/>
  <c r="A5225" i="1"/>
  <c r="B5225" i="1"/>
  <c r="A5226" i="1"/>
  <c r="B5226" i="1"/>
  <c r="A5227" i="1"/>
  <c r="B5227" i="1"/>
  <c r="A5228" i="1"/>
  <c r="B5228" i="1"/>
  <c r="A5229" i="1"/>
  <c r="B5229" i="1"/>
  <c r="A5230" i="1"/>
  <c r="B5230" i="1"/>
  <c r="A5231" i="1"/>
  <c r="B5231" i="1"/>
  <c r="A5232" i="1"/>
  <c r="B5232" i="1"/>
  <c r="A5233" i="1"/>
  <c r="B5233" i="1"/>
  <c r="A5234" i="1"/>
  <c r="B5234" i="1"/>
  <c r="A5235" i="1"/>
  <c r="B5235" i="1"/>
  <c r="A5236" i="1"/>
  <c r="B5236" i="1"/>
  <c r="A5237" i="1"/>
  <c r="B5237" i="1"/>
  <c r="A5238" i="1"/>
  <c r="B5238" i="1"/>
  <c r="A5239" i="1"/>
  <c r="B5239" i="1"/>
  <c r="A5240" i="1"/>
  <c r="B5240" i="1"/>
  <c r="A5241" i="1"/>
  <c r="B5241" i="1"/>
  <c r="A5242" i="1"/>
  <c r="B5242" i="1"/>
  <c r="A5243" i="1"/>
  <c r="B5243" i="1"/>
  <c r="A5244" i="1"/>
  <c r="B5244" i="1"/>
  <c r="A5245" i="1"/>
  <c r="B5245" i="1"/>
  <c r="A5246" i="1"/>
  <c r="B5246" i="1"/>
  <c r="A5247" i="1"/>
  <c r="B5247" i="1"/>
  <c r="A5248" i="1"/>
  <c r="B5248" i="1"/>
  <c r="A5249" i="1"/>
  <c r="B5249" i="1"/>
  <c r="A5250" i="1"/>
  <c r="B5250" i="1"/>
  <c r="A5251" i="1"/>
  <c r="B5251" i="1"/>
  <c r="A5252" i="1"/>
  <c r="B5252" i="1"/>
  <c r="A5253" i="1"/>
  <c r="B5253" i="1"/>
  <c r="A5254" i="1"/>
  <c r="B5254" i="1"/>
  <c r="A5255" i="1"/>
  <c r="B5255" i="1"/>
  <c r="A5256" i="1"/>
  <c r="B5256" i="1"/>
  <c r="A5257" i="1"/>
  <c r="B5257" i="1"/>
  <c r="A5258" i="1"/>
  <c r="B5258" i="1"/>
  <c r="A5259" i="1"/>
  <c r="B5259" i="1"/>
  <c r="A5260" i="1"/>
  <c r="B5260" i="1"/>
  <c r="A5261" i="1"/>
  <c r="B5261" i="1"/>
  <c r="A5262" i="1"/>
  <c r="B5262" i="1"/>
  <c r="A5263" i="1"/>
  <c r="B5263" i="1"/>
  <c r="A5264" i="1"/>
  <c r="B5264" i="1"/>
  <c r="A5265" i="1"/>
  <c r="B5265" i="1"/>
  <c r="A5266" i="1"/>
  <c r="B5266" i="1"/>
  <c r="A5267" i="1"/>
  <c r="B5267" i="1"/>
  <c r="A5268" i="1"/>
  <c r="B5268" i="1"/>
  <c r="A5269" i="1"/>
  <c r="B5269" i="1"/>
  <c r="A5270" i="1"/>
  <c r="B5270" i="1"/>
  <c r="A5271" i="1"/>
  <c r="B5271" i="1"/>
  <c r="A5272" i="1"/>
  <c r="B5272" i="1"/>
  <c r="A5273" i="1"/>
  <c r="B5273" i="1"/>
  <c r="A5274" i="1"/>
  <c r="B5274" i="1"/>
  <c r="A5275" i="1"/>
  <c r="B5275" i="1"/>
  <c r="A5276" i="1"/>
  <c r="B5276" i="1"/>
  <c r="A5277" i="1"/>
  <c r="B5277" i="1"/>
  <c r="A5278" i="1"/>
  <c r="B5278" i="1"/>
  <c r="A5279" i="1"/>
  <c r="B5279" i="1"/>
  <c r="A5280" i="1"/>
  <c r="B5280" i="1"/>
  <c r="A5281" i="1"/>
  <c r="B5281" i="1"/>
  <c r="A5282" i="1"/>
  <c r="B5282" i="1"/>
  <c r="A5283" i="1"/>
  <c r="B5283" i="1"/>
  <c r="A5284" i="1"/>
  <c r="B5284" i="1"/>
  <c r="A5285" i="1"/>
  <c r="B5285" i="1"/>
  <c r="A5286" i="1"/>
  <c r="B5286" i="1"/>
  <c r="A5287" i="1"/>
  <c r="B5287" i="1"/>
  <c r="A5288" i="1"/>
  <c r="B5288" i="1"/>
  <c r="A5289" i="1"/>
  <c r="B5289" i="1"/>
  <c r="A5290" i="1"/>
  <c r="B5290" i="1"/>
  <c r="A5291" i="1"/>
  <c r="B5291" i="1"/>
  <c r="A5292" i="1"/>
  <c r="B5292" i="1"/>
  <c r="A5293" i="1"/>
  <c r="B5293" i="1"/>
  <c r="A5294" i="1"/>
  <c r="B5294" i="1"/>
  <c r="A5295" i="1"/>
  <c r="B5295" i="1"/>
  <c r="A5296" i="1"/>
  <c r="B5296" i="1"/>
  <c r="A5297" i="1"/>
  <c r="B5297" i="1"/>
  <c r="A5298" i="1"/>
  <c r="B5298" i="1"/>
  <c r="A5299" i="1"/>
  <c r="B5299" i="1"/>
  <c r="A5300" i="1"/>
  <c r="B5300" i="1"/>
  <c r="A5301" i="1"/>
  <c r="B5301" i="1"/>
  <c r="A5302" i="1"/>
  <c r="B5302" i="1"/>
  <c r="A5303" i="1"/>
  <c r="B5303" i="1"/>
  <c r="A5304" i="1"/>
  <c r="B5304" i="1"/>
  <c r="A5305" i="1"/>
  <c r="B5305" i="1"/>
  <c r="A5306" i="1"/>
  <c r="B5306" i="1"/>
  <c r="A5307" i="1"/>
  <c r="B5307" i="1"/>
  <c r="A5308" i="1"/>
  <c r="B5308" i="1"/>
  <c r="A5309" i="1"/>
  <c r="B5309" i="1"/>
  <c r="A5310" i="1"/>
  <c r="B5310" i="1"/>
  <c r="A5311" i="1"/>
  <c r="B5311" i="1"/>
  <c r="A5312" i="1"/>
  <c r="B5312" i="1"/>
  <c r="A5313" i="1"/>
  <c r="B5313" i="1"/>
  <c r="A5314" i="1"/>
  <c r="B5314" i="1"/>
  <c r="A5315" i="1"/>
  <c r="B5315" i="1"/>
  <c r="A5316" i="1"/>
  <c r="B5316" i="1"/>
  <c r="A5317" i="1"/>
  <c r="B5317" i="1"/>
  <c r="A5318" i="1"/>
  <c r="B5318" i="1"/>
  <c r="A5319" i="1"/>
  <c r="B5319" i="1"/>
  <c r="A5320" i="1"/>
  <c r="B5320" i="1"/>
  <c r="A5321" i="1"/>
  <c r="B5321" i="1"/>
  <c r="A5322" i="1"/>
  <c r="B5322" i="1"/>
  <c r="A5323" i="1"/>
  <c r="B5323" i="1"/>
  <c r="A5324" i="1"/>
  <c r="B5324" i="1"/>
  <c r="A5325" i="1"/>
  <c r="B5325" i="1"/>
  <c r="A5326" i="1"/>
  <c r="B5326" i="1"/>
  <c r="A5327" i="1"/>
  <c r="B5327" i="1"/>
  <c r="A5328" i="1"/>
  <c r="B5328" i="1"/>
  <c r="A5329" i="1"/>
  <c r="B5329" i="1"/>
  <c r="A5330" i="1"/>
  <c r="B5330" i="1"/>
  <c r="A5331" i="1"/>
  <c r="B5331" i="1"/>
  <c r="A5332" i="1"/>
  <c r="B5332" i="1"/>
  <c r="A5333" i="1"/>
  <c r="B5333" i="1"/>
  <c r="A5334" i="1"/>
  <c r="B5334" i="1"/>
  <c r="A5335" i="1"/>
  <c r="B5335" i="1"/>
  <c r="A5336" i="1"/>
  <c r="B5336" i="1"/>
  <c r="A5337" i="1"/>
  <c r="B5337" i="1"/>
  <c r="A5338" i="1"/>
  <c r="B5338" i="1"/>
  <c r="A5339" i="1"/>
  <c r="B5339" i="1"/>
  <c r="A5340" i="1"/>
  <c r="B5340" i="1"/>
  <c r="A5341" i="1"/>
  <c r="B5341" i="1"/>
  <c r="A5342" i="1"/>
  <c r="B5342" i="1"/>
  <c r="A5343" i="1"/>
  <c r="B5343" i="1"/>
  <c r="A5344" i="1"/>
  <c r="B5344" i="1"/>
  <c r="A5345" i="1"/>
  <c r="B5345" i="1"/>
  <c r="A5346" i="1"/>
  <c r="B5346" i="1"/>
  <c r="A5347" i="1"/>
  <c r="B5347" i="1"/>
  <c r="A5348" i="1"/>
  <c r="B5348" i="1"/>
  <c r="A5349" i="1"/>
  <c r="B5349" i="1"/>
  <c r="A5350" i="1"/>
  <c r="B5350" i="1"/>
  <c r="A5351" i="1"/>
  <c r="B5351" i="1"/>
  <c r="A5352" i="1"/>
  <c r="B5352" i="1"/>
  <c r="A5353" i="1"/>
  <c r="B5353" i="1"/>
  <c r="A5354" i="1"/>
  <c r="B5354" i="1"/>
  <c r="A5355" i="1"/>
  <c r="B5355" i="1"/>
  <c r="A5356" i="1"/>
  <c r="B5356" i="1"/>
  <c r="A5357" i="1"/>
  <c r="B5357" i="1"/>
  <c r="A5358" i="1"/>
  <c r="B5358" i="1"/>
  <c r="A5359" i="1"/>
  <c r="B5359" i="1"/>
  <c r="A5360" i="1"/>
  <c r="B5360" i="1"/>
  <c r="A5361" i="1"/>
  <c r="B5361" i="1"/>
  <c r="A5362" i="1"/>
  <c r="B5362" i="1"/>
  <c r="A5363" i="1"/>
  <c r="B5363" i="1"/>
  <c r="A5364" i="1"/>
  <c r="B5364" i="1"/>
  <c r="A5365" i="1"/>
  <c r="B5365" i="1"/>
  <c r="A5366" i="1"/>
  <c r="B5366" i="1"/>
  <c r="A5367" i="1"/>
  <c r="B5367" i="1"/>
  <c r="A5368" i="1"/>
  <c r="B5368" i="1"/>
  <c r="A5369" i="1"/>
  <c r="B5369" i="1"/>
  <c r="A5370" i="1"/>
  <c r="B5370" i="1"/>
  <c r="A5371" i="1"/>
  <c r="B5371" i="1"/>
  <c r="A5372" i="1"/>
  <c r="B5372" i="1"/>
  <c r="A5373" i="1"/>
  <c r="B5373" i="1"/>
  <c r="A5374" i="1"/>
  <c r="B5374" i="1"/>
  <c r="A5375" i="1"/>
  <c r="B5375" i="1"/>
  <c r="A5376" i="1"/>
  <c r="B5376" i="1"/>
  <c r="A5377" i="1"/>
  <c r="B5377" i="1"/>
  <c r="A5378" i="1"/>
  <c r="B5378" i="1"/>
  <c r="A5379" i="1"/>
  <c r="B5379" i="1"/>
  <c r="A5380" i="1"/>
  <c r="B5380" i="1"/>
  <c r="A5381" i="1"/>
  <c r="B5381" i="1"/>
  <c r="A5382" i="1"/>
  <c r="B5382" i="1"/>
  <c r="A5383" i="1"/>
  <c r="B5383" i="1"/>
  <c r="A5384" i="1"/>
  <c r="B5384" i="1"/>
  <c r="A5385" i="1"/>
  <c r="B5385" i="1"/>
  <c r="A5386" i="1"/>
  <c r="B5386" i="1"/>
  <c r="A5387" i="1"/>
  <c r="B5387" i="1"/>
  <c r="A5388" i="1"/>
  <c r="B5388" i="1"/>
  <c r="A5389" i="1"/>
  <c r="B5389" i="1"/>
  <c r="A5390" i="1"/>
  <c r="B5390" i="1"/>
  <c r="A5391" i="1"/>
  <c r="B5391" i="1"/>
  <c r="A5392" i="1"/>
  <c r="B5392" i="1"/>
  <c r="A5393" i="1"/>
  <c r="B5393" i="1"/>
  <c r="A5394" i="1"/>
  <c r="B5394" i="1"/>
  <c r="A5395" i="1"/>
  <c r="B5395" i="1"/>
  <c r="A5396" i="1"/>
  <c r="B5396" i="1"/>
  <c r="A5397" i="1"/>
  <c r="B5397" i="1"/>
  <c r="A5398" i="1"/>
  <c r="B5398" i="1"/>
  <c r="A5399" i="1"/>
  <c r="B5399" i="1"/>
  <c r="A5400" i="1"/>
  <c r="B5400" i="1"/>
  <c r="A5401" i="1"/>
  <c r="B5401" i="1"/>
  <c r="A5402" i="1"/>
  <c r="B5402" i="1"/>
  <c r="A5403" i="1"/>
  <c r="B5403" i="1"/>
  <c r="A5404" i="1"/>
  <c r="B5404" i="1"/>
  <c r="A5405" i="1"/>
  <c r="B5405" i="1"/>
  <c r="A5406" i="1"/>
  <c r="B5406" i="1"/>
  <c r="A5407" i="1"/>
  <c r="B5407" i="1"/>
  <c r="A5408" i="1"/>
  <c r="B5408" i="1"/>
  <c r="A5409" i="1"/>
  <c r="B5409" i="1"/>
  <c r="A5410" i="1"/>
  <c r="B5410" i="1"/>
  <c r="A5411" i="1"/>
  <c r="B5411" i="1"/>
  <c r="A5412" i="1"/>
  <c r="B5412" i="1"/>
  <c r="A5413" i="1"/>
  <c r="B5413" i="1"/>
  <c r="A5414" i="1"/>
  <c r="B5414" i="1"/>
  <c r="A5415" i="1"/>
  <c r="B5415" i="1"/>
  <c r="A5416" i="1"/>
  <c r="B5416" i="1"/>
  <c r="A5417" i="1"/>
  <c r="B5417" i="1"/>
  <c r="A5418" i="1"/>
  <c r="B5418" i="1"/>
  <c r="A5419" i="1"/>
  <c r="B5419" i="1"/>
  <c r="A5420" i="1"/>
  <c r="B5420" i="1"/>
  <c r="A5421" i="1"/>
  <c r="B5421" i="1"/>
  <c r="A5422" i="1"/>
  <c r="B5422" i="1"/>
  <c r="A5423" i="1"/>
  <c r="B5423" i="1"/>
  <c r="A5424" i="1"/>
  <c r="B5424" i="1"/>
  <c r="A5425" i="1"/>
  <c r="B5425" i="1"/>
  <c r="A5426" i="1"/>
  <c r="B5426" i="1"/>
  <c r="A5427" i="1"/>
  <c r="B5427" i="1"/>
  <c r="A5428" i="1"/>
  <c r="B5428" i="1"/>
  <c r="A5429" i="1"/>
  <c r="B5429" i="1"/>
  <c r="A5430" i="1"/>
  <c r="B5430" i="1"/>
  <c r="A5431" i="1"/>
  <c r="B5431" i="1"/>
  <c r="A5432" i="1"/>
  <c r="B5432" i="1"/>
  <c r="A5433" i="1"/>
  <c r="B5433" i="1"/>
  <c r="A5434" i="1"/>
  <c r="B5434" i="1"/>
  <c r="A5435" i="1"/>
  <c r="B5435" i="1"/>
  <c r="A5436" i="1"/>
  <c r="B5436" i="1"/>
  <c r="A5437" i="1"/>
  <c r="B5437" i="1"/>
  <c r="A5438" i="1"/>
  <c r="B5438" i="1"/>
  <c r="A5439" i="1"/>
  <c r="B5439" i="1"/>
  <c r="A5440" i="1"/>
  <c r="B5440" i="1"/>
  <c r="A5441" i="1"/>
  <c r="B5441" i="1"/>
  <c r="A5442" i="1"/>
  <c r="B5442" i="1"/>
  <c r="A5443" i="1"/>
  <c r="B5443" i="1"/>
  <c r="A5444" i="1"/>
  <c r="B5444" i="1"/>
  <c r="A5445" i="1"/>
  <c r="B5445" i="1"/>
  <c r="A5446" i="1"/>
  <c r="B5446" i="1"/>
  <c r="A5447" i="1"/>
  <c r="B5447" i="1"/>
  <c r="A5448" i="1"/>
  <c r="B5448" i="1"/>
  <c r="A5449" i="1"/>
  <c r="B5449" i="1"/>
  <c r="A5450" i="1"/>
  <c r="B5450" i="1"/>
  <c r="A5451" i="1"/>
  <c r="B5451" i="1"/>
  <c r="A5452" i="1"/>
  <c r="B5452" i="1"/>
  <c r="A5453" i="1"/>
  <c r="B5453" i="1"/>
  <c r="A5454" i="1"/>
  <c r="B5454" i="1"/>
  <c r="A5455" i="1"/>
  <c r="B5455" i="1"/>
  <c r="A5456" i="1"/>
  <c r="B5456" i="1"/>
  <c r="A5457" i="1"/>
  <c r="B5457" i="1"/>
  <c r="A5458" i="1"/>
  <c r="B5458" i="1"/>
  <c r="A5459" i="1"/>
  <c r="B5459" i="1"/>
  <c r="A5460" i="1"/>
  <c r="B5460" i="1"/>
  <c r="A5461" i="1"/>
  <c r="B5461" i="1"/>
  <c r="A5462" i="1"/>
  <c r="B5462" i="1"/>
  <c r="A5463" i="1"/>
  <c r="B5463" i="1"/>
  <c r="A5464" i="1"/>
  <c r="B5464" i="1"/>
  <c r="A5465" i="1"/>
  <c r="B5465" i="1"/>
  <c r="A5466" i="1"/>
  <c r="B5466" i="1"/>
  <c r="A5467" i="1"/>
  <c r="B5467" i="1"/>
  <c r="A5468" i="1"/>
  <c r="B5468" i="1"/>
  <c r="A5469" i="1"/>
  <c r="B5469" i="1"/>
  <c r="A5470" i="1"/>
  <c r="B5470" i="1"/>
  <c r="A5471" i="1"/>
  <c r="B5471" i="1"/>
  <c r="A5472" i="1"/>
  <c r="B5472" i="1"/>
  <c r="A5473" i="1"/>
  <c r="B5473" i="1"/>
  <c r="A5474" i="1"/>
  <c r="B5474" i="1"/>
  <c r="A5475" i="1"/>
  <c r="B5475" i="1"/>
  <c r="A5476" i="1"/>
  <c r="B5476" i="1"/>
  <c r="A5477" i="1"/>
  <c r="B5477" i="1"/>
  <c r="A5478" i="1"/>
  <c r="B5478" i="1"/>
  <c r="A5479" i="1"/>
  <c r="B5479" i="1"/>
  <c r="A5480" i="1"/>
  <c r="B5480" i="1"/>
  <c r="A5481" i="1"/>
  <c r="B5481" i="1"/>
  <c r="A5482" i="1"/>
  <c r="B5482" i="1"/>
  <c r="A5483" i="1"/>
  <c r="B5483" i="1"/>
  <c r="A5484" i="1"/>
  <c r="B5484" i="1"/>
  <c r="A5485" i="1"/>
  <c r="B5485" i="1"/>
  <c r="A5486" i="1"/>
  <c r="B5486" i="1"/>
  <c r="A5487" i="1"/>
  <c r="B5487" i="1"/>
  <c r="A5488" i="1"/>
  <c r="B5488" i="1"/>
  <c r="A5489" i="1"/>
  <c r="B5489" i="1"/>
  <c r="A5490" i="1"/>
  <c r="B5490" i="1"/>
  <c r="A5491" i="1"/>
  <c r="B5491" i="1"/>
  <c r="A5492" i="1"/>
  <c r="B5492" i="1"/>
  <c r="A5493" i="1"/>
  <c r="B5493" i="1"/>
  <c r="A5494" i="1"/>
  <c r="B5494" i="1"/>
  <c r="A5495" i="1"/>
  <c r="B5495" i="1"/>
  <c r="A5496" i="1"/>
  <c r="B5496" i="1"/>
  <c r="A5497" i="1"/>
  <c r="B5497" i="1"/>
  <c r="A5498" i="1"/>
  <c r="B5498" i="1"/>
  <c r="A5499" i="1"/>
  <c r="B5499" i="1"/>
  <c r="A5500" i="1"/>
  <c r="B5500" i="1"/>
  <c r="A5501" i="1"/>
  <c r="B5501" i="1"/>
  <c r="A5502" i="1"/>
  <c r="B5502" i="1"/>
  <c r="A5503" i="1"/>
  <c r="B5503" i="1"/>
  <c r="A5504" i="1"/>
  <c r="B5504" i="1"/>
  <c r="A5505" i="1"/>
  <c r="B5505" i="1"/>
  <c r="A5506" i="1"/>
  <c r="B5506" i="1"/>
  <c r="A5507" i="1"/>
  <c r="B5507" i="1"/>
  <c r="A5508" i="1"/>
  <c r="B5508" i="1"/>
  <c r="A5509" i="1"/>
  <c r="B5509" i="1"/>
  <c r="A5510" i="1"/>
  <c r="B5510" i="1"/>
  <c r="A5511" i="1"/>
  <c r="B5511" i="1"/>
  <c r="A5512" i="1"/>
  <c r="B5512" i="1"/>
  <c r="A5513" i="1"/>
  <c r="B5513" i="1"/>
  <c r="A5514" i="1"/>
  <c r="B5514" i="1"/>
  <c r="A5515" i="1"/>
  <c r="B5515" i="1"/>
  <c r="A5516" i="1"/>
  <c r="B5516" i="1"/>
  <c r="A5517" i="1"/>
  <c r="B5517" i="1"/>
  <c r="A5518" i="1"/>
  <c r="B5518" i="1"/>
  <c r="A5519" i="1"/>
  <c r="B5519" i="1"/>
  <c r="A5520" i="1"/>
  <c r="B5520" i="1"/>
  <c r="A5521" i="1"/>
  <c r="B5521" i="1"/>
  <c r="A5522" i="1"/>
  <c r="B5522" i="1"/>
  <c r="A5523" i="1"/>
  <c r="B5523" i="1"/>
  <c r="A5524" i="1"/>
  <c r="B5524" i="1"/>
  <c r="A5525" i="1"/>
  <c r="B5525" i="1"/>
  <c r="A5526" i="1"/>
  <c r="B5526" i="1"/>
  <c r="A5527" i="1"/>
  <c r="B5527" i="1"/>
  <c r="A5528" i="1"/>
  <c r="B5528" i="1"/>
  <c r="A5529" i="1"/>
  <c r="B5529" i="1"/>
  <c r="A5530" i="1"/>
  <c r="B5530" i="1"/>
  <c r="A5531" i="1"/>
  <c r="B5531" i="1"/>
  <c r="A5532" i="1"/>
  <c r="B5532" i="1"/>
  <c r="A5533" i="1"/>
  <c r="B5533" i="1"/>
  <c r="A5534" i="1"/>
  <c r="B5534" i="1"/>
  <c r="A5535" i="1"/>
  <c r="B5535" i="1"/>
  <c r="A5536" i="1"/>
  <c r="B5536" i="1"/>
  <c r="A5537" i="1"/>
  <c r="B5537" i="1"/>
  <c r="A5538" i="1"/>
  <c r="B5538" i="1"/>
  <c r="A5539" i="1"/>
  <c r="B5539" i="1"/>
  <c r="A5540" i="1"/>
  <c r="B5540" i="1"/>
  <c r="A5541" i="1"/>
  <c r="B5541" i="1"/>
  <c r="A5542" i="1"/>
  <c r="B5542" i="1"/>
  <c r="A5543" i="1"/>
  <c r="B5543" i="1"/>
  <c r="A5544" i="1"/>
  <c r="B5544" i="1"/>
  <c r="A5545" i="1"/>
  <c r="B5545" i="1"/>
  <c r="A5546" i="1"/>
  <c r="B5546" i="1"/>
  <c r="A5547" i="1"/>
  <c r="B5547" i="1"/>
  <c r="A5548" i="1"/>
  <c r="B5548" i="1"/>
  <c r="A5549" i="1"/>
  <c r="B5549" i="1"/>
  <c r="A5550" i="1"/>
  <c r="B5550" i="1"/>
  <c r="A5551" i="1"/>
  <c r="B5551" i="1"/>
  <c r="A5552" i="1"/>
  <c r="B5552" i="1"/>
  <c r="A5553" i="1"/>
  <c r="B5553" i="1"/>
  <c r="A5554" i="1"/>
  <c r="B5554" i="1"/>
  <c r="A5555" i="1"/>
  <c r="B5555" i="1"/>
  <c r="A5556" i="1"/>
  <c r="B5556" i="1"/>
  <c r="A5557" i="1"/>
  <c r="B5557" i="1"/>
  <c r="A5558" i="1"/>
  <c r="B5558" i="1"/>
  <c r="A5559" i="1"/>
  <c r="B5559" i="1"/>
  <c r="A5560" i="1"/>
  <c r="B5560" i="1"/>
  <c r="A5561" i="1"/>
  <c r="B5561" i="1"/>
  <c r="A5562" i="1"/>
  <c r="B5562" i="1"/>
  <c r="A5563" i="1"/>
  <c r="B5563" i="1"/>
  <c r="A5564" i="1"/>
  <c r="B5564" i="1"/>
  <c r="A5565" i="1"/>
  <c r="B5565" i="1"/>
  <c r="A5566" i="1"/>
  <c r="B5566" i="1"/>
  <c r="A5567" i="1"/>
  <c r="B5567" i="1"/>
  <c r="A5568" i="1"/>
  <c r="B5568" i="1"/>
  <c r="A5569" i="1"/>
  <c r="B5569" i="1"/>
  <c r="A5570" i="1"/>
  <c r="B5570" i="1"/>
  <c r="A5571" i="1"/>
  <c r="B5571" i="1"/>
  <c r="A5572" i="1"/>
  <c r="B5572" i="1"/>
  <c r="A5573" i="1"/>
  <c r="B5573" i="1"/>
  <c r="A5574" i="1"/>
  <c r="B5574" i="1"/>
  <c r="A5575" i="1"/>
  <c r="B5575" i="1"/>
  <c r="A5576" i="1"/>
  <c r="B5576" i="1"/>
  <c r="A5577" i="1"/>
  <c r="B5577" i="1"/>
  <c r="A5578" i="1"/>
  <c r="B5578" i="1"/>
  <c r="A5579" i="1"/>
  <c r="B5579" i="1"/>
  <c r="A5580" i="1"/>
  <c r="B5580" i="1"/>
  <c r="A5581" i="1"/>
  <c r="B5581" i="1"/>
  <c r="A5582" i="1"/>
  <c r="B5582" i="1"/>
  <c r="A5583" i="1"/>
  <c r="B5583" i="1"/>
  <c r="A5584" i="1"/>
  <c r="B5584" i="1"/>
  <c r="A5585" i="1"/>
  <c r="B5585" i="1"/>
  <c r="A5586" i="1"/>
  <c r="B5586" i="1"/>
  <c r="A5587" i="1"/>
  <c r="B5587" i="1"/>
  <c r="A5588" i="1"/>
  <c r="B5588" i="1"/>
  <c r="A5589" i="1"/>
  <c r="B5589" i="1"/>
  <c r="A5590" i="1"/>
  <c r="B5590" i="1"/>
  <c r="A5591" i="1"/>
  <c r="B5591" i="1"/>
  <c r="A5592" i="1"/>
  <c r="B5592" i="1"/>
  <c r="A5593" i="1"/>
  <c r="B5593" i="1"/>
  <c r="A5594" i="1"/>
  <c r="B5594" i="1"/>
  <c r="A5595" i="1"/>
  <c r="B5595" i="1"/>
  <c r="A5596" i="1"/>
  <c r="B5596" i="1"/>
  <c r="A5597" i="1"/>
  <c r="B5597" i="1"/>
  <c r="A5598" i="1"/>
  <c r="B5598" i="1"/>
  <c r="A5599" i="1"/>
  <c r="B5599" i="1"/>
  <c r="A5600" i="1"/>
  <c r="B5600" i="1"/>
  <c r="A5601" i="1"/>
  <c r="B5601" i="1"/>
  <c r="A5602" i="1"/>
  <c r="B5602" i="1"/>
  <c r="A5603" i="1"/>
  <c r="B5603" i="1"/>
  <c r="A5604" i="1"/>
  <c r="B5604" i="1"/>
  <c r="A5605" i="1"/>
  <c r="B5605" i="1"/>
  <c r="A5606" i="1"/>
  <c r="B5606" i="1"/>
  <c r="A5607" i="1"/>
  <c r="B5607" i="1"/>
  <c r="A5608" i="1"/>
  <c r="B5608" i="1"/>
  <c r="A5609" i="1"/>
  <c r="B5609" i="1"/>
  <c r="A5610" i="1"/>
  <c r="B5610" i="1"/>
  <c r="A5611" i="1"/>
  <c r="B5611" i="1"/>
  <c r="A5612" i="1"/>
  <c r="B5612" i="1"/>
  <c r="A5613" i="1"/>
  <c r="B5613" i="1"/>
  <c r="A5614" i="1"/>
  <c r="B5614" i="1"/>
  <c r="A5615" i="1"/>
  <c r="B5615" i="1"/>
  <c r="A5616" i="1"/>
  <c r="B5616" i="1"/>
  <c r="A5617" i="1"/>
  <c r="B5617" i="1"/>
  <c r="A5618" i="1"/>
  <c r="B5618" i="1"/>
  <c r="A5619" i="1"/>
  <c r="B5619" i="1"/>
  <c r="A5620" i="1"/>
  <c r="B5620" i="1"/>
  <c r="A5621" i="1"/>
  <c r="B5621" i="1"/>
  <c r="A5622" i="1"/>
  <c r="B5622" i="1"/>
  <c r="A5623" i="1"/>
  <c r="B5623" i="1"/>
  <c r="A5624" i="1"/>
  <c r="B5624" i="1"/>
  <c r="A5625" i="1"/>
  <c r="B5625" i="1"/>
  <c r="A5626" i="1"/>
  <c r="B5626" i="1"/>
  <c r="A5627" i="1"/>
  <c r="B5627" i="1"/>
  <c r="A5628" i="1"/>
  <c r="B5628" i="1"/>
  <c r="A5629" i="1"/>
  <c r="B5629" i="1"/>
  <c r="A5630" i="1"/>
  <c r="B5630" i="1"/>
  <c r="A5631" i="1"/>
  <c r="B5631" i="1"/>
  <c r="A5632" i="1"/>
  <c r="B5632" i="1"/>
  <c r="A5633" i="1"/>
  <c r="B5633" i="1"/>
  <c r="A5634" i="1"/>
  <c r="B5634" i="1"/>
  <c r="A5635" i="1"/>
  <c r="B5635" i="1"/>
  <c r="A5636" i="1"/>
  <c r="B5636" i="1"/>
  <c r="A5637" i="1"/>
  <c r="B5637" i="1"/>
  <c r="A5638" i="1"/>
  <c r="B5638" i="1"/>
  <c r="A5639" i="1"/>
  <c r="B5639" i="1"/>
  <c r="A5640" i="1"/>
  <c r="B5640" i="1"/>
  <c r="A5641" i="1"/>
  <c r="B5641" i="1"/>
  <c r="A5642" i="1"/>
  <c r="B5642" i="1"/>
  <c r="A5643" i="1"/>
  <c r="B5643" i="1"/>
  <c r="A5644" i="1"/>
  <c r="B5644" i="1"/>
  <c r="A5645" i="1"/>
  <c r="B5645" i="1"/>
  <c r="A5646" i="1"/>
  <c r="B5646" i="1"/>
  <c r="A5647" i="1"/>
  <c r="B5647" i="1"/>
  <c r="A5648" i="1"/>
  <c r="B5648" i="1"/>
  <c r="A5649" i="1"/>
  <c r="B5649" i="1"/>
  <c r="A5650" i="1"/>
  <c r="B5650" i="1"/>
  <c r="A5651" i="1"/>
  <c r="B5651" i="1"/>
  <c r="A5652" i="1"/>
  <c r="B5652" i="1"/>
  <c r="A5653" i="1"/>
  <c r="B5653" i="1"/>
  <c r="A5654" i="1"/>
  <c r="B5654" i="1"/>
  <c r="A5655" i="1"/>
  <c r="B5655" i="1"/>
  <c r="A5656" i="1"/>
  <c r="B5656" i="1"/>
  <c r="A5657" i="1"/>
  <c r="B5657" i="1"/>
  <c r="A5658" i="1"/>
  <c r="B5658" i="1"/>
  <c r="A5659" i="1"/>
  <c r="B5659" i="1"/>
  <c r="A5660" i="1"/>
  <c r="B5660" i="1"/>
  <c r="A5661" i="1"/>
  <c r="B5661" i="1"/>
  <c r="A5662" i="1"/>
  <c r="B5662" i="1"/>
  <c r="A5663" i="1"/>
  <c r="B5663" i="1"/>
  <c r="A5664" i="1"/>
  <c r="B5664" i="1"/>
  <c r="A5665" i="1"/>
  <c r="B5665" i="1"/>
  <c r="A5666" i="1"/>
  <c r="B5666" i="1"/>
  <c r="A5667" i="1"/>
  <c r="B5667" i="1"/>
  <c r="A5668" i="1"/>
  <c r="B5668" i="1"/>
  <c r="A5669" i="1"/>
  <c r="B5669" i="1"/>
  <c r="A5670" i="1"/>
  <c r="B5670" i="1"/>
  <c r="A5671" i="1"/>
  <c r="B5671" i="1"/>
  <c r="A5672" i="1"/>
  <c r="B5672" i="1"/>
  <c r="A5673" i="1"/>
  <c r="B5673" i="1"/>
  <c r="A5674" i="1"/>
  <c r="B5674" i="1"/>
  <c r="A5675" i="1"/>
  <c r="B5675" i="1"/>
  <c r="A5676" i="1"/>
  <c r="B5676" i="1"/>
  <c r="A5677" i="1"/>
  <c r="B5677" i="1"/>
  <c r="A5678" i="1"/>
  <c r="B5678" i="1"/>
  <c r="A5679" i="1"/>
  <c r="B5679" i="1"/>
  <c r="A5680" i="1"/>
  <c r="B5680" i="1"/>
  <c r="A5681" i="1"/>
  <c r="B5681" i="1"/>
  <c r="A5682" i="1"/>
  <c r="B5682" i="1"/>
  <c r="A5683" i="1"/>
  <c r="B5683" i="1"/>
  <c r="A5684" i="1"/>
  <c r="B5684" i="1"/>
  <c r="A5685" i="1"/>
  <c r="B5685" i="1"/>
  <c r="A5686" i="1"/>
  <c r="B5686" i="1"/>
  <c r="A5687" i="1"/>
  <c r="B5687" i="1"/>
  <c r="A5688" i="1"/>
  <c r="B5688" i="1"/>
  <c r="A5689" i="1"/>
  <c r="B5689" i="1"/>
  <c r="A5690" i="1"/>
  <c r="B5690" i="1"/>
  <c r="A5691" i="1"/>
  <c r="B5691" i="1"/>
  <c r="A5692" i="1"/>
  <c r="B5692" i="1"/>
  <c r="A5693" i="1"/>
  <c r="B5693" i="1"/>
  <c r="A5694" i="1"/>
  <c r="B5694" i="1"/>
  <c r="A5695" i="1"/>
  <c r="B5695" i="1"/>
  <c r="A5696" i="1"/>
  <c r="B5696" i="1"/>
  <c r="A5697" i="1"/>
  <c r="B5697" i="1"/>
  <c r="A5698" i="1"/>
  <c r="B5698" i="1"/>
  <c r="A5699" i="1"/>
  <c r="B5699" i="1"/>
  <c r="A5700" i="1"/>
  <c r="B5700" i="1"/>
  <c r="A5701" i="1"/>
  <c r="B5701" i="1"/>
  <c r="A5702" i="1"/>
  <c r="B5702" i="1"/>
  <c r="A5703" i="1"/>
  <c r="B5703" i="1"/>
  <c r="A5704" i="1"/>
  <c r="B5704" i="1"/>
  <c r="A5705" i="1"/>
  <c r="B5705" i="1"/>
  <c r="A5706" i="1"/>
  <c r="B5706" i="1"/>
  <c r="A5707" i="1"/>
  <c r="B5707" i="1"/>
  <c r="A5708" i="1"/>
  <c r="B5708" i="1"/>
  <c r="A5709" i="1"/>
  <c r="B5709" i="1"/>
  <c r="A5710" i="1"/>
  <c r="B5710" i="1"/>
  <c r="A5711" i="1"/>
  <c r="B5711" i="1"/>
  <c r="A5712" i="1"/>
  <c r="B5712" i="1"/>
  <c r="A5713" i="1"/>
  <c r="B5713" i="1"/>
  <c r="A5714" i="1"/>
  <c r="B5714" i="1"/>
  <c r="A5715" i="1"/>
  <c r="B5715" i="1"/>
  <c r="A5716" i="1"/>
  <c r="B5716" i="1"/>
  <c r="A5717" i="1"/>
  <c r="B5717" i="1"/>
  <c r="A5718" i="1"/>
  <c r="B5718" i="1"/>
  <c r="A5719" i="1"/>
  <c r="B5719" i="1"/>
  <c r="A5720" i="1"/>
  <c r="B5720" i="1"/>
  <c r="A5721" i="1"/>
  <c r="B5721" i="1"/>
  <c r="A5722" i="1"/>
  <c r="B5722" i="1"/>
  <c r="A5723" i="1"/>
  <c r="B5723" i="1"/>
  <c r="A5724" i="1"/>
  <c r="B5724" i="1"/>
  <c r="A5725" i="1"/>
  <c r="B5725" i="1"/>
  <c r="A5726" i="1"/>
  <c r="B5726" i="1"/>
  <c r="A5727" i="1"/>
  <c r="B5727" i="1"/>
  <c r="A5728" i="1"/>
  <c r="B5728" i="1"/>
  <c r="A5729" i="1"/>
  <c r="B5729" i="1"/>
  <c r="A5730" i="1"/>
  <c r="B5730" i="1"/>
  <c r="A5731" i="1"/>
  <c r="B5731" i="1"/>
  <c r="A5732" i="1"/>
  <c r="B5732" i="1"/>
  <c r="A5733" i="1"/>
  <c r="B5733" i="1"/>
  <c r="A5734" i="1"/>
  <c r="B5734" i="1"/>
  <c r="A5735" i="1"/>
  <c r="B5735" i="1"/>
  <c r="A5736" i="1"/>
  <c r="B5736" i="1"/>
  <c r="A5737" i="1"/>
  <c r="B5737" i="1"/>
  <c r="A5738" i="1"/>
  <c r="B5738" i="1"/>
  <c r="A5739" i="1"/>
  <c r="B5739" i="1"/>
  <c r="A5740" i="1"/>
  <c r="B5740" i="1"/>
  <c r="A5741" i="1"/>
  <c r="B5741" i="1"/>
  <c r="A5742" i="1"/>
  <c r="B5742" i="1"/>
  <c r="A5743" i="1"/>
  <c r="B5743" i="1"/>
  <c r="A5744" i="1"/>
  <c r="B5744" i="1"/>
  <c r="A5745" i="1"/>
  <c r="B5745" i="1"/>
  <c r="A5746" i="1"/>
  <c r="B5746" i="1"/>
  <c r="A5747" i="1"/>
  <c r="B5747" i="1"/>
  <c r="A5748" i="1"/>
  <c r="B5748" i="1"/>
  <c r="A5749" i="1"/>
  <c r="B5749" i="1"/>
  <c r="A5750" i="1"/>
  <c r="B5750" i="1"/>
  <c r="A5751" i="1"/>
  <c r="B5751" i="1"/>
  <c r="A5752" i="1"/>
  <c r="B5752" i="1"/>
  <c r="A5753" i="1"/>
  <c r="B5753" i="1"/>
  <c r="A5754" i="1"/>
  <c r="B5754" i="1"/>
  <c r="A5755" i="1"/>
  <c r="B5755" i="1"/>
  <c r="A5756" i="1"/>
  <c r="B5756" i="1"/>
  <c r="A5757" i="1"/>
  <c r="B5757" i="1"/>
  <c r="A5758" i="1"/>
  <c r="B5758" i="1"/>
  <c r="A5759" i="1"/>
  <c r="B5759" i="1"/>
  <c r="A5760" i="1"/>
  <c r="B5760" i="1"/>
  <c r="A5761" i="1"/>
  <c r="B5761" i="1"/>
  <c r="A5762" i="1"/>
  <c r="B5762" i="1"/>
  <c r="A5763" i="1"/>
  <c r="B5763" i="1"/>
  <c r="A5764" i="1"/>
  <c r="B5764" i="1"/>
  <c r="A5765" i="1"/>
  <c r="B5765" i="1"/>
  <c r="A5766" i="1"/>
  <c r="B5766" i="1"/>
  <c r="A5767" i="1"/>
  <c r="B5767" i="1"/>
  <c r="A5768" i="1"/>
  <c r="B5768" i="1"/>
  <c r="A5769" i="1"/>
  <c r="B5769" i="1"/>
  <c r="A5770" i="1"/>
  <c r="B5770" i="1"/>
  <c r="A5771" i="1"/>
  <c r="B5771" i="1"/>
  <c r="A5772" i="1"/>
  <c r="B5772" i="1"/>
  <c r="A5773" i="1"/>
  <c r="B5773" i="1"/>
  <c r="A5774" i="1"/>
  <c r="B5774" i="1"/>
  <c r="A5775" i="1"/>
  <c r="B5775" i="1"/>
  <c r="A5776" i="1"/>
  <c r="B5776" i="1"/>
  <c r="A5777" i="1"/>
  <c r="B5777" i="1"/>
  <c r="A5778" i="1"/>
  <c r="B5778" i="1"/>
  <c r="A5779" i="1"/>
  <c r="B5779" i="1"/>
  <c r="A5780" i="1"/>
  <c r="B5780" i="1"/>
  <c r="A5781" i="1"/>
  <c r="B5781" i="1"/>
  <c r="A5782" i="1"/>
  <c r="B5782" i="1"/>
  <c r="A5783" i="1"/>
  <c r="B5783" i="1"/>
  <c r="A5784" i="1"/>
  <c r="B5784" i="1"/>
  <c r="A5785" i="1"/>
  <c r="B5785" i="1"/>
  <c r="A5786" i="1"/>
  <c r="B5786" i="1"/>
  <c r="A5787" i="1"/>
  <c r="B5787" i="1"/>
  <c r="A5788" i="1"/>
  <c r="B5788" i="1"/>
  <c r="A5789" i="1"/>
  <c r="B5789" i="1"/>
  <c r="A5790" i="1"/>
  <c r="B5790" i="1"/>
  <c r="A5791" i="1"/>
  <c r="B5791" i="1"/>
  <c r="A5792" i="1"/>
  <c r="B5792" i="1"/>
  <c r="A5793" i="1"/>
  <c r="B5793" i="1"/>
  <c r="A5794" i="1"/>
  <c r="B5794" i="1"/>
  <c r="A5795" i="1"/>
  <c r="B5795" i="1"/>
  <c r="A5796" i="1"/>
  <c r="B5796" i="1"/>
  <c r="A5797" i="1"/>
  <c r="B5797" i="1"/>
  <c r="A5798" i="1"/>
  <c r="B5798" i="1"/>
  <c r="A5799" i="1"/>
  <c r="B5799" i="1"/>
  <c r="A5800" i="1"/>
  <c r="B5800" i="1"/>
  <c r="A5801" i="1"/>
  <c r="B5801" i="1"/>
  <c r="A5802" i="1"/>
  <c r="B5802" i="1"/>
  <c r="A5803" i="1"/>
  <c r="B5803" i="1"/>
  <c r="A5804" i="1"/>
  <c r="B5804" i="1"/>
  <c r="A5805" i="1"/>
  <c r="B5805" i="1"/>
  <c r="A5806" i="1"/>
  <c r="B5806" i="1"/>
  <c r="A5807" i="1"/>
  <c r="B5807" i="1"/>
  <c r="A5808" i="1"/>
  <c r="B5808" i="1"/>
  <c r="A5809" i="1"/>
  <c r="B5809" i="1"/>
  <c r="A5810" i="1"/>
  <c r="B5810" i="1"/>
  <c r="A5811" i="1"/>
  <c r="B5811" i="1"/>
  <c r="A5812" i="1"/>
  <c r="B5812" i="1"/>
  <c r="A5813" i="1"/>
  <c r="B5813" i="1"/>
  <c r="A5814" i="1"/>
  <c r="B5814" i="1"/>
  <c r="A5815" i="1"/>
  <c r="B5815" i="1"/>
  <c r="A5816" i="1"/>
  <c r="B5816" i="1"/>
  <c r="A5817" i="1"/>
  <c r="B5817" i="1"/>
  <c r="A5818" i="1"/>
  <c r="B5818" i="1"/>
  <c r="A5819" i="1"/>
  <c r="B5819" i="1"/>
  <c r="A5820" i="1"/>
  <c r="B5820" i="1"/>
  <c r="A5821" i="1"/>
  <c r="B5821" i="1"/>
  <c r="A5822" i="1"/>
  <c r="B5822" i="1"/>
  <c r="A5823" i="1"/>
  <c r="B5823" i="1"/>
  <c r="A5824" i="1"/>
  <c r="B5824" i="1"/>
  <c r="A5825" i="1"/>
  <c r="B5825" i="1"/>
  <c r="A5826" i="1"/>
  <c r="B5826" i="1"/>
  <c r="A5827" i="1"/>
  <c r="B5827" i="1"/>
  <c r="A5828" i="1"/>
  <c r="B5828" i="1"/>
  <c r="A5829" i="1"/>
  <c r="B5829" i="1"/>
  <c r="A5830" i="1"/>
  <c r="B5830" i="1"/>
  <c r="A5831" i="1"/>
  <c r="B5831" i="1"/>
  <c r="A5832" i="1"/>
  <c r="B5832" i="1"/>
  <c r="A5833" i="1"/>
  <c r="B5833" i="1"/>
  <c r="A5834" i="1"/>
  <c r="B5834" i="1"/>
  <c r="A5835" i="1"/>
  <c r="B5835" i="1"/>
  <c r="A5836" i="1"/>
  <c r="B5836" i="1"/>
  <c r="A5837" i="1"/>
  <c r="B5837" i="1"/>
  <c r="A5838" i="1"/>
  <c r="B5838" i="1"/>
  <c r="A5839" i="1"/>
  <c r="B5839" i="1"/>
  <c r="A5840" i="1"/>
  <c r="B5840" i="1"/>
  <c r="A5841" i="1"/>
  <c r="B5841" i="1"/>
  <c r="A5842" i="1"/>
  <c r="B5842" i="1"/>
  <c r="A5843" i="1"/>
  <c r="B5843" i="1"/>
  <c r="A5844" i="1"/>
  <c r="B5844" i="1"/>
  <c r="A5845" i="1"/>
  <c r="B5845" i="1"/>
  <c r="A5846" i="1"/>
  <c r="B5846" i="1"/>
  <c r="A5847" i="1"/>
  <c r="B5847" i="1"/>
  <c r="A5848" i="1"/>
  <c r="B5848" i="1"/>
  <c r="A5849" i="1"/>
  <c r="B5849" i="1"/>
  <c r="A5850" i="1"/>
  <c r="B5850" i="1"/>
  <c r="A5851" i="1"/>
  <c r="B5851" i="1"/>
  <c r="A5852" i="1"/>
  <c r="B5852" i="1"/>
  <c r="A5853" i="1"/>
  <c r="B5853" i="1"/>
  <c r="A5854" i="1"/>
  <c r="B5854" i="1"/>
  <c r="A5855" i="1"/>
  <c r="B5855" i="1"/>
  <c r="A5856" i="1"/>
  <c r="B5856" i="1"/>
  <c r="A5857" i="1"/>
  <c r="B5857" i="1"/>
  <c r="A5858" i="1"/>
  <c r="B5858" i="1"/>
  <c r="A5859" i="1"/>
  <c r="B5859" i="1"/>
  <c r="A5860" i="1"/>
  <c r="B5860" i="1"/>
  <c r="A5861" i="1"/>
  <c r="B5861" i="1"/>
  <c r="A5862" i="1"/>
  <c r="B5862" i="1"/>
  <c r="A5863" i="1"/>
  <c r="B5863" i="1"/>
  <c r="A5864" i="1"/>
  <c r="B5864" i="1"/>
  <c r="A5865" i="1"/>
  <c r="B5865" i="1"/>
  <c r="A5866" i="1"/>
  <c r="B5866" i="1"/>
  <c r="A5867" i="1"/>
  <c r="B5867" i="1"/>
  <c r="A5868" i="1"/>
  <c r="B5868" i="1"/>
  <c r="A5869" i="1"/>
  <c r="B5869" i="1"/>
  <c r="A5870" i="1"/>
  <c r="B5870" i="1"/>
  <c r="A5871" i="1"/>
  <c r="B5871" i="1"/>
  <c r="A5872" i="1"/>
  <c r="B5872" i="1"/>
  <c r="A5873" i="1"/>
  <c r="B5873" i="1"/>
  <c r="A5874" i="1"/>
  <c r="B5874" i="1"/>
  <c r="A5875" i="1"/>
  <c r="B5875" i="1"/>
  <c r="A5876" i="1"/>
  <c r="B5876" i="1"/>
  <c r="A5877" i="1"/>
  <c r="B5877" i="1"/>
  <c r="A5878" i="1"/>
  <c r="B5878" i="1"/>
  <c r="A5879" i="1"/>
  <c r="B5879" i="1"/>
  <c r="A5880" i="1"/>
  <c r="B5880" i="1"/>
  <c r="A5881" i="1"/>
  <c r="B5881" i="1"/>
  <c r="A5882" i="1"/>
  <c r="B5882" i="1"/>
  <c r="A5883" i="1"/>
  <c r="B5883" i="1"/>
  <c r="A5884" i="1"/>
  <c r="B5884" i="1"/>
  <c r="A5885" i="1"/>
  <c r="B5885" i="1"/>
  <c r="A5886" i="1"/>
  <c r="B5886" i="1"/>
  <c r="A5887" i="1"/>
  <c r="B5887" i="1"/>
  <c r="A5888" i="1"/>
  <c r="B5888" i="1"/>
  <c r="A5889" i="1"/>
  <c r="B5889" i="1"/>
  <c r="A5890" i="1"/>
  <c r="B5890" i="1"/>
  <c r="A5891" i="1"/>
  <c r="B5891" i="1"/>
  <c r="A5892" i="1"/>
  <c r="B5892" i="1"/>
  <c r="A5893" i="1"/>
  <c r="B5893" i="1"/>
  <c r="A5894" i="1"/>
  <c r="B5894" i="1"/>
  <c r="A5895" i="1"/>
  <c r="B5895" i="1"/>
  <c r="A5896" i="1"/>
  <c r="B5896" i="1"/>
  <c r="A5897" i="1"/>
  <c r="B5897" i="1"/>
  <c r="A5898" i="1"/>
  <c r="B5898" i="1"/>
  <c r="A5899" i="1"/>
  <c r="B5899" i="1"/>
  <c r="A5900" i="1"/>
  <c r="B5900" i="1"/>
  <c r="A5901" i="1"/>
  <c r="B5901" i="1"/>
  <c r="A5902" i="1"/>
  <c r="B5902" i="1"/>
  <c r="A5903" i="1"/>
  <c r="B5903" i="1"/>
  <c r="A5904" i="1"/>
  <c r="B5904" i="1"/>
  <c r="A5905" i="1"/>
  <c r="B5905" i="1"/>
  <c r="A5906" i="1"/>
  <c r="B5906" i="1"/>
  <c r="A5907" i="1"/>
  <c r="B5907" i="1"/>
  <c r="A5908" i="1"/>
  <c r="B5908" i="1"/>
  <c r="A5909" i="1"/>
  <c r="B5909" i="1"/>
  <c r="A5910" i="1"/>
  <c r="B5910" i="1"/>
  <c r="A5911" i="1"/>
  <c r="B5911" i="1"/>
  <c r="A5912" i="1"/>
  <c r="B5912" i="1"/>
  <c r="A5913" i="1"/>
  <c r="B5913" i="1"/>
  <c r="A5914" i="1"/>
  <c r="B5914" i="1"/>
  <c r="A5915" i="1"/>
  <c r="B5915" i="1"/>
  <c r="A5916" i="1"/>
  <c r="B5916" i="1"/>
  <c r="A5917" i="1"/>
  <c r="B5917" i="1"/>
  <c r="A5918" i="1"/>
  <c r="B5918" i="1"/>
  <c r="A5919" i="1"/>
  <c r="B5919" i="1"/>
  <c r="A5920" i="1"/>
  <c r="B5920" i="1"/>
  <c r="A5921" i="1"/>
  <c r="B5921" i="1"/>
  <c r="A5922" i="1"/>
  <c r="B5922" i="1"/>
  <c r="A5923" i="1"/>
  <c r="B5923" i="1"/>
  <c r="A5924" i="1"/>
  <c r="B5924" i="1"/>
  <c r="A5925" i="1"/>
  <c r="B5925" i="1"/>
  <c r="A5926" i="1"/>
  <c r="B5926" i="1"/>
  <c r="A5927" i="1"/>
  <c r="B5927" i="1"/>
  <c r="A5928" i="1"/>
  <c r="B5928" i="1"/>
  <c r="A5929" i="1"/>
  <c r="B5929" i="1"/>
  <c r="A5930" i="1"/>
  <c r="B5930" i="1"/>
  <c r="A5931" i="1"/>
  <c r="B5931" i="1"/>
  <c r="A5932" i="1"/>
  <c r="B5932" i="1"/>
  <c r="A5933" i="1"/>
  <c r="B5933" i="1"/>
  <c r="A5934" i="1"/>
  <c r="B5934" i="1"/>
  <c r="A5935" i="1"/>
  <c r="B5935" i="1"/>
  <c r="A5936" i="1"/>
  <c r="B5936" i="1"/>
  <c r="A5937" i="1"/>
  <c r="B5937" i="1"/>
  <c r="A5938" i="1"/>
  <c r="B5938" i="1"/>
  <c r="A5939" i="1"/>
  <c r="B5939" i="1"/>
  <c r="A5940" i="1"/>
  <c r="B5940" i="1"/>
  <c r="A5941" i="1"/>
  <c r="B5941" i="1"/>
  <c r="A5942" i="1"/>
  <c r="B5942" i="1"/>
  <c r="A5943" i="1"/>
  <c r="B5943" i="1"/>
  <c r="A5944" i="1"/>
  <c r="B5944" i="1"/>
  <c r="A5945" i="1"/>
  <c r="B5945" i="1"/>
  <c r="A5946" i="1"/>
  <c r="B5946" i="1"/>
  <c r="A5947" i="1"/>
  <c r="B5947" i="1"/>
  <c r="A5948" i="1"/>
  <c r="B5948" i="1"/>
  <c r="A5949" i="1"/>
  <c r="B5949" i="1"/>
  <c r="A5950" i="1"/>
  <c r="B5950" i="1"/>
  <c r="A5951" i="1"/>
  <c r="B5951" i="1"/>
  <c r="A5952" i="1"/>
  <c r="B5952" i="1"/>
  <c r="A5953" i="1"/>
  <c r="B5953" i="1"/>
  <c r="A5954" i="1"/>
  <c r="B5954" i="1"/>
  <c r="A5955" i="1"/>
  <c r="B5955" i="1"/>
  <c r="A5956" i="1"/>
  <c r="B5956" i="1"/>
  <c r="A5957" i="1"/>
  <c r="B5957" i="1"/>
  <c r="A5958" i="1"/>
  <c r="B5958" i="1"/>
  <c r="A5959" i="1"/>
  <c r="B5959" i="1"/>
  <c r="A5960" i="1"/>
  <c r="B5960" i="1"/>
  <c r="A5961" i="1"/>
  <c r="B5961" i="1"/>
  <c r="A5962" i="1"/>
  <c r="B5962" i="1"/>
  <c r="A5963" i="1"/>
  <c r="B5963" i="1"/>
  <c r="A5964" i="1"/>
  <c r="B5964" i="1"/>
  <c r="A5965" i="1"/>
  <c r="B5965" i="1"/>
  <c r="A5966" i="1"/>
  <c r="B5966" i="1"/>
  <c r="A5967" i="1"/>
  <c r="B5967" i="1"/>
  <c r="A5968" i="1"/>
  <c r="B5968" i="1"/>
  <c r="A5969" i="1"/>
  <c r="B5969" i="1"/>
  <c r="A5970" i="1"/>
  <c r="B5970" i="1"/>
  <c r="A5971" i="1"/>
  <c r="B5971" i="1"/>
  <c r="A5972" i="1"/>
  <c r="B5972" i="1"/>
  <c r="A5973" i="1"/>
  <c r="B5973" i="1"/>
  <c r="A5974" i="1"/>
  <c r="B5974" i="1"/>
  <c r="A5975" i="1"/>
  <c r="B5975" i="1"/>
  <c r="A5976" i="1"/>
  <c r="B5976" i="1"/>
  <c r="A5977" i="1"/>
  <c r="B5977" i="1"/>
  <c r="A5978" i="1"/>
  <c r="B5978" i="1"/>
  <c r="A5979" i="1"/>
  <c r="B5979" i="1"/>
  <c r="A5980" i="1"/>
  <c r="B5980" i="1"/>
  <c r="A5981" i="1"/>
  <c r="B5981" i="1"/>
  <c r="A5982" i="1"/>
  <c r="B5982" i="1"/>
  <c r="A5983" i="1"/>
  <c r="B5983" i="1"/>
  <c r="A5984" i="1"/>
  <c r="B5984" i="1"/>
  <c r="A5985" i="1"/>
  <c r="B5985" i="1"/>
  <c r="A5986" i="1"/>
  <c r="B5986" i="1"/>
  <c r="A5987" i="1"/>
  <c r="B5987" i="1"/>
  <c r="A5988" i="1"/>
  <c r="B5988" i="1"/>
  <c r="A5989" i="1"/>
  <c r="B5989" i="1"/>
  <c r="A5990" i="1"/>
  <c r="B5990" i="1"/>
  <c r="A5991" i="1"/>
  <c r="B5991" i="1"/>
  <c r="A5992" i="1"/>
  <c r="B5992" i="1"/>
  <c r="A5993" i="1"/>
  <c r="B5993" i="1"/>
  <c r="A5994" i="1"/>
  <c r="B5994" i="1"/>
  <c r="A5995" i="1"/>
  <c r="B5995" i="1"/>
  <c r="A5996" i="1"/>
  <c r="B5996" i="1"/>
  <c r="A5997" i="1"/>
  <c r="B5997" i="1"/>
  <c r="A5998" i="1"/>
  <c r="B5998" i="1"/>
  <c r="A5999" i="1"/>
  <c r="B5999" i="1"/>
  <c r="A6000" i="1"/>
  <c r="B6000" i="1"/>
  <c r="A6001" i="1"/>
  <c r="B6001" i="1"/>
  <c r="A6002" i="1"/>
  <c r="B6002" i="1"/>
  <c r="A6003" i="1"/>
  <c r="B6003" i="1"/>
  <c r="A6004" i="1"/>
  <c r="B6004" i="1"/>
  <c r="A6005" i="1"/>
  <c r="B6005" i="1"/>
  <c r="A6006" i="1"/>
  <c r="B6006" i="1"/>
  <c r="A6007" i="1"/>
  <c r="B6007" i="1"/>
  <c r="A6008" i="1"/>
  <c r="B6008" i="1"/>
  <c r="A6009" i="1"/>
  <c r="B6009" i="1"/>
  <c r="A6010" i="1"/>
  <c r="B6010" i="1"/>
  <c r="A6011" i="1"/>
  <c r="B6011" i="1"/>
  <c r="A6012" i="1"/>
  <c r="B6012" i="1"/>
  <c r="A6013" i="1"/>
  <c r="B6013" i="1"/>
  <c r="A6014" i="1"/>
  <c r="B6014" i="1"/>
  <c r="A6015" i="1"/>
  <c r="B6015" i="1"/>
  <c r="A6016" i="1"/>
  <c r="B6016" i="1"/>
  <c r="A6017" i="1"/>
  <c r="B6017" i="1"/>
  <c r="A6018" i="1"/>
  <c r="B6018" i="1"/>
  <c r="A6019" i="1"/>
  <c r="B6019" i="1"/>
  <c r="A6020" i="1"/>
  <c r="B6020" i="1"/>
  <c r="A6021" i="1"/>
  <c r="B6021" i="1"/>
  <c r="A6022" i="1"/>
  <c r="B6022" i="1"/>
  <c r="A6023" i="1"/>
  <c r="B6023" i="1"/>
  <c r="A6024" i="1"/>
  <c r="B6024" i="1"/>
  <c r="A6025" i="1"/>
  <c r="B6025" i="1"/>
  <c r="A6026" i="1"/>
  <c r="B6026" i="1"/>
  <c r="A6027" i="1"/>
  <c r="B6027" i="1"/>
  <c r="A6028" i="1"/>
  <c r="B6028" i="1"/>
  <c r="A6029" i="1"/>
  <c r="B6029" i="1"/>
  <c r="A6030" i="1"/>
  <c r="B6030" i="1"/>
  <c r="A6031" i="1"/>
  <c r="B6031" i="1"/>
  <c r="A6032" i="1"/>
  <c r="B6032" i="1"/>
  <c r="A6033" i="1"/>
  <c r="B6033" i="1"/>
  <c r="A6034" i="1"/>
  <c r="B6034" i="1"/>
  <c r="A6035" i="1"/>
  <c r="B6035" i="1"/>
  <c r="A6036" i="1"/>
  <c r="B6036" i="1"/>
  <c r="A6037" i="1"/>
  <c r="B6037" i="1"/>
  <c r="A6038" i="1"/>
  <c r="B6038" i="1"/>
  <c r="A6039" i="1"/>
  <c r="B6039" i="1"/>
  <c r="A6040" i="1"/>
  <c r="B6040" i="1"/>
  <c r="A6041" i="1"/>
  <c r="B6041" i="1"/>
  <c r="A6042" i="1"/>
  <c r="B6042" i="1"/>
  <c r="A6043" i="1"/>
  <c r="B6043" i="1"/>
  <c r="A6044" i="1"/>
  <c r="B6044" i="1"/>
  <c r="A6045" i="1"/>
  <c r="B6045" i="1"/>
  <c r="A6046" i="1"/>
  <c r="B6046" i="1"/>
  <c r="A6047" i="1"/>
  <c r="B6047" i="1"/>
  <c r="A6048" i="1"/>
  <c r="B6048" i="1"/>
  <c r="A6049" i="1"/>
  <c r="B6049" i="1"/>
  <c r="A6050" i="1"/>
  <c r="B6050" i="1"/>
  <c r="A6051" i="1"/>
  <c r="B6051" i="1"/>
  <c r="A6052" i="1"/>
  <c r="B6052" i="1"/>
  <c r="A6053" i="1"/>
  <c r="B6053" i="1"/>
  <c r="A6054" i="1"/>
  <c r="B6054" i="1"/>
  <c r="A6055" i="1"/>
  <c r="B6055" i="1"/>
  <c r="A6056" i="1"/>
  <c r="B6056" i="1"/>
  <c r="A6057" i="1"/>
  <c r="B6057" i="1"/>
  <c r="A6058" i="1"/>
  <c r="B6058" i="1"/>
  <c r="A6059" i="1"/>
  <c r="B6059" i="1"/>
  <c r="A6060" i="1"/>
  <c r="B6060" i="1"/>
  <c r="A6061" i="1"/>
  <c r="B6061" i="1"/>
  <c r="A6062" i="1"/>
  <c r="B6062" i="1"/>
  <c r="A6063" i="1"/>
  <c r="B6063" i="1"/>
  <c r="A6064" i="1"/>
  <c r="B6064" i="1"/>
  <c r="A6065" i="1"/>
  <c r="B6065" i="1"/>
  <c r="A6066" i="1"/>
  <c r="B6066" i="1"/>
  <c r="A6067" i="1"/>
  <c r="B6067" i="1"/>
  <c r="A6068" i="1"/>
  <c r="B6068" i="1"/>
  <c r="A6069" i="1"/>
  <c r="B6069" i="1"/>
  <c r="A6070" i="1"/>
  <c r="B6070" i="1"/>
  <c r="A6071" i="1"/>
  <c r="B6071" i="1"/>
  <c r="A6072" i="1"/>
  <c r="B6072" i="1"/>
  <c r="A6073" i="1"/>
  <c r="B6073" i="1"/>
  <c r="A6074" i="1"/>
  <c r="B6074" i="1"/>
  <c r="A6075" i="1"/>
  <c r="B6075" i="1"/>
  <c r="A6076" i="1"/>
  <c r="B6076" i="1"/>
  <c r="A6077" i="1"/>
  <c r="B6077" i="1"/>
  <c r="A6078" i="1"/>
  <c r="B6078" i="1"/>
  <c r="A6079" i="1"/>
  <c r="B6079" i="1"/>
  <c r="A6080" i="1"/>
  <c r="B6080" i="1"/>
  <c r="A6081" i="1"/>
  <c r="B6081" i="1"/>
  <c r="A6082" i="1"/>
  <c r="B6082" i="1"/>
  <c r="A6083" i="1"/>
  <c r="B6083" i="1"/>
  <c r="A6084" i="1"/>
  <c r="B6084" i="1"/>
  <c r="A6085" i="1"/>
  <c r="B6085" i="1"/>
  <c r="A6086" i="1"/>
  <c r="B6086" i="1"/>
  <c r="A6087" i="1"/>
  <c r="B6087" i="1"/>
  <c r="A6088" i="1"/>
  <c r="B6088" i="1"/>
  <c r="A6089" i="1"/>
  <c r="B6089" i="1"/>
  <c r="A6090" i="1"/>
  <c r="B6090" i="1"/>
  <c r="A6091" i="1"/>
  <c r="B6091" i="1"/>
  <c r="A6092" i="1"/>
  <c r="B6092" i="1"/>
  <c r="A6093" i="1"/>
  <c r="B6093" i="1"/>
  <c r="A6094" i="1"/>
  <c r="B6094" i="1"/>
  <c r="A6095" i="1"/>
  <c r="B6095" i="1"/>
  <c r="A6096" i="1"/>
  <c r="B6096" i="1"/>
  <c r="A6097" i="1"/>
  <c r="B6097" i="1"/>
  <c r="A6098" i="1"/>
  <c r="B6098" i="1"/>
  <c r="A6099" i="1"/>
  <c r="B6099" i="1"/>
  <c r="A6100" i="1"/>
  <c r="B6100" i="1"/>
  <c r="A6101" i="1"/>
  <c r="B6101" i="1"/>
  <c r="A6102" i="1"/>
  <c r="B6102" i="1"/>
  <c r="A6103" i="1"/>
  <c r="B6103" i="1"/>
  <c r="A6104" i="1"/>
  <c r="B6104" i="1"/>
  <c r="A6105" i="1"/>
  <c r="B6105" i="1"/>
  <c r="A6106" i="1"/>
  <c r="B6106" i="1"/>
  <c r="A6107" i="1"/>
  <c r="B6107" i="1"/>
  <c r="A6108" i="1"/>
  <c r="B6108" i="1"/>
  <c r="A6109" i="1"/>
  <c r="B6109" i="1"/>
  <c r="A6110" i="1"/>
  <c r="B6110" i="1"/>
  <c r="A6111" i="1"/>
  <c r="B6111" i="1"/>
  <c r="A6112" i="1"/>
  <c r="B6112" i="1"/>
  <c r="A6113" i="1"/>
  <c r="B6113" i="1"/>
  <c r="A6114" i="1"/>
  <c r="B6114" i="1"/>
  <c r="A6115" i="1"/>
  <c r="B6115" i="1"/>
  <c r="A6116" i="1"/>
  <c r="B6116" i="1"/>
  <c r="A6117" i="1"/>
  <c r="B6117" i="1"/>
  <c r="A6118" i="1"/>
  <c r="B6118" i="1"/>
  <c r="A6119" i="1"/>
  <c r="B6119" i="1"/>
  <c r="A6120" i="1"/>
  <c r="B6120" i="1"/>
  <c r="A6121" i="1"/>
  <c r="B6121" i="1"/>
  <c r="A6122" i="1"/>
  <c r="B6122" i="1"/>
  <c r="A6123" i="1"/>
  <c r="B6123" i="1"/>
  <c r="A6124" i="1"/>
  <c r="B6124" i="1"/>
  <c r="A6125" i="1"/>
  <c r="B6125" i="1"/>
  <c r="A6126" i="1"/>
  <c r="B6126" i="1"/>
  <c r="A6127" i="1"/>
  <c r="B6127" i="1"/>
  <c r="A6128" i="1"/>
  <c r="B6128" i="1"/>
  <c r="A6129" i="1"/>
  <c r="B6129" i="1"/>
  <c r="A6130" i="1"/>
  <c r="B6130" i="1"/>
  <c r="A6131" i="1"/>
  <c r="B6131" i="1"/>
  <c r="A6132" i="1"/>
  <c r="B6132" i="1"/>
  <c r="A6133" i="1"/>
  <c r="B6133" i="1"/>
  <c r="A6134" i="1"/>
  <c r="B6134" i="1"/>
  <c r="A6135" i="1"/>
  <c r="B6135" i="1"/>
  <c r="A6136" i="1"/>
  <c r="B6136" i="1"/>
  <c r="A6137" i="1"/>
  <c r="B6137" i="1"/>
  <c r="A6138" i="1"/>
  <c r="B6138" i="1"/>
  <c r="A6139" i="1"/>
  <c r="B6139" i="1"/>
  <c r="A6140" i="1"/>
  <c r="B6140" i="1"/>
  <c r="A6141" i="1"/>
  <c r="B6141" i="1"/>
  <c r="A6142" i="1"/>
  <c r="B6142" i="1"/>
  <c r="A6143" i="1"/>
  <c r="B6143" i="1"/>
  <c r="A6144" i="1"/>
  <c r="B6144" i="1"/>
  <c r="A6145" i="1"/>
  <c r="B6145" i="1"/>
  <c r="A6146" i="1"/>
  <c r="B6146" i="1"/>
  <c r="A6147" i="1"/>
  <c r="B6147" i="1"/>
  <c r="A6148" i="1"/>
  <c r="B6148" i="1"/>
  <c r="A6149" i="1"/>
  <c r="B6149" i="1"/>
  <c r="A6150" i="1"/>
  <c r="B6150" i="1"/>
  <c r="A6151" i="1"/>
  <c r="B6151" i="1"/>
  <c r="A6152" i="1"/>
  <c r="B6152" i="1"/>
  <c r="A6153" i="1"/>
  <c r="B6153" i="1"/>
  <c r="A6154" i="1"/>
  <c r="B6154" i="1"/>
  <c r="A6155" i="1"/>
  <c r="B6155" i="1"/>
  <c r="A6156" i="1"/>
  <c r="B6156" i="1"/>
  <c r="A6157" i="1"/>
  <c r="B6157" i="1"/>
  <c r="A6158" i="1"/>
  <c r="B6158" i="1"/>
  <c r="A6159" i="1"/>
  <c r="B6159" i="1"/>
  <c r="A6160" i="1"/>
  <c r="B6160" i="1"/>
  <c r="A6161" i="1"/>
  <c r="B6161" i="1"/>
  <c r="A6162" i="1"/>
  <c r="B6162" i="1"/>
  <c r="A6163" i="1"/>
  <c r="B6163" i="1"/>
  <c r="A6164" i="1"/>
  <c r="B6164" i="1"/>
  <c r="A6165" i="1"/>
  <c r="B6165" i="1"/>
  <c r="A6166" i="1"/>
  <c r="B6166" i="1"/>
  <c r="A6167" i="1"/>
  <c r="B6167" i="1"/>
  <c r="A6168" i="1"/>
  <c r="B6168" i="1"/>
  <c r="A6169" i="1"/>
  <c r="B6169" i="1"/>
  <c r="A6170" i="1"/>
  <c r="B6170" i="1"/>
  <c r="A6171" i="1"/>
  <c r="B6171" i="1"/>
  <c r="A6172" i="1"/>
  <c r="B6172" i="1"/>
  <c r="A6173" i="1"/>
  <c r="B6173" i="1"/>
  <c r="A6174" i="1"/>
  <c r="B6174" i="1"/>
  <c r="A6175" i="1"/>
  <c r="B6175" i="1"/>
  <c r="A6176" i="1"/>
  <c r="B6176" i="1"/>
  <c r="A6177" i="1"/>
  <c r="B6177" i="1"/>
  <c r="A6178" i="1"/>
  <c r="B6178" i="1"/>
  <c r="A6179" i="1"/>
  <c r="B6179" i="1"/>
  <c r="A6180" i="1"/>
  <c r="B6180" i="1"/>
  <c r="A6181" i="1"/>
  <c r="B6181" i="1"/>
  <c r="A6182" i="1"/>
  <c r="B6182" i="1"/>
  <c r="A6183" i="1"/>
  <c r="B6183" i="1"/>
  <c r="A6184" i="1"/>
  <c r="B6184" i="1"/>
  <c r="A6185" i="1"/>
  <c r="B6185" i="1"/>
  <c r="A6186" i="1"/>
  <c r="B6186" i="1"/>
  <c r="A6187" i="1"/>
  <c r="B6187" i="1"/>
  <c r="A6188" i="1"/>
  <c r="B6188" i="1"/>
  <c r="A6189" i="1"/>
  <c r="B6189" i="1"/>
  <c r="A6190" i="1"/>
  <c r="B6190" i="1"/>
  <c r="A6191" i="1"/>
  <c r="B6191" i="1"/>
  <c r="A6192" i="1"/>
  <c r="B6192" i="1"/>
  <c r="A6193" i="1"/>
  <c r="B6193" i="1"/>
  <c r="A6194" i="1"/>
  <c r="B6194" i="1"/>
  <c r="A6195" i="1"/>
  <c r="B6195" i="1"/>
  <c r="A6196" i="1"/>
  <c r="B6196" i="1"/>
  <c r="A6197" i="1"/>
  <c r="B6197" i="1"/>
  <c r="A6198" i="1"/>
  <c r="B6198" i="1"/>
  <c r="A6199" i="1"/>
  <c r="B6199" i="1"/>
  <c r="A6200" i="1"/>
  <c r="B6200" i="1"/>
  <c r="A6201" i="1"/>
  <c r="B6201" i="1"/>
  <c r="A6202" i="1"/>
  <c r="B6202" i="1"/>
  <c r="A6203" i="1"/>
  <c r="B6203" i="1"/>
  <c r="A6204" i="1"/>
  <c r="B6204" i="1"/>
  <c r="A6205" i="1"/>
  <c r="B6205" i="1"/>
  <c r="A6206" i="1"/>
  <c r="B6206" i="1"/>
  <c r="A6207" i="1"/>
  <c r="B6207" i="1"/>
  <c r="A6208" i="1"/>
  <c r="B6208" i="1"/>
  <c r="A6209" i="1"/>
  <c r="B6209" i="1"/>
  <c r="A6210" i="1"/>
  <c r="B6210" i="1"/>
  <c r="A6211" i="1"/>
  <c r="B6211" i="1"/>
  <c r="A6212" i="1"/>
  <c r="B6212" i="1"/>
  <c r="A6213" i="1"/>
  <c r="B6213" i="1"/>
  <c r="A6214" i="1"/>
  <c r="B6214" i="1"/>
  <c r="A6215" i="1"/>
  <c r="B6215" i="1"/>
  <c r="A6216" i="1"/>
  <c r="B6216" i="1"/>
  <c r="A6217" i="1"/>
  <c r="B6217" i="1"/>
  <c r="A6218" i="1"/>
  <c r="B6218" i="1"/>
  <c r="A6219" i="1"/>
  <c r="B6219" i="1"/>
  <c r="A6220" i="1"/>
  <c r="B6220" i="1"/>
  <c r="A6221" i="1"/>
  <c r="B6221" i="1"/>
  <c r="A6222" i="1"/>
  <c r="B6222" i="1"/>
  <c r="A6223" i="1"/>
  <c r="B6223" i="1"/>
  <c r="A6224" i="1"/>
  <c r="B6224" i="1"/>
  <c r="A6225" i="1"/>
  <c r="B6225" i="1"/>
  <c r="A6226" i="1"/>
  <c r="B6226" i="1"/>
  <c r="A6227" i="1"/>
  <c r="B6227" i="1"/>
  <c r="A6228" i="1"/>
  <c r="B6228" i="1"/>
  <c r="A6229" i="1"/>
  <c r="B6229" i="1"/>
  <c r="A6230" i="1"/>
  <c r="B6230" i="1"/>
  <c r="A6231" i="1"/>
  <c r="B6231" i="1"/>
  <c r="A6232" i="1"/>
  <c r="B6232" i="1"/>
  <c r="A6233" i="1"/>
  <c r="B6233" i="1"/>
  <c r="A6234" i="1"/>
  <c r="B6234" i="1"/>
  <c r="A6235" i="1"/>
  <c r="B6235" i="1"/>
  <c r="A6236" i="1"/>
  <c r="B6236" i="1"/>
  <c r="A6237" i="1"/>
  <c r="B6237" i="1"/>
  <c r="A6238" i="1"/>
  <c r="B6238" i="1"/>
  <c r="A6239" i="1"/>
  <c r="B6239" i="1"/>
  <c r="A6240" i="1"/>
  <c r="B6240" i="1"/>
  <c r="A6241" i="1"/>
  <c r="B6241" i="1"/>
  <c r="A6242" i="1"/>
  <c r="B6242" i="1"/>
  <c r="A6243" i="1"/>
  <c r="B6243" i="1"/>
  <c r="A6244" i="1"/>
  <c r="B6244" i="1"/>
  <c r="A6245" i="1"/>
  <c r="B6245" i="1"/>
  <c r="A6246" i="1"/>
  <c r="B6246" i="1"/>
  <c r="A6247" i="1"/>
  <c r="B6247" i="1"/>
  <c r="A6248" i="1"/>
  <c r="B6248" i="1"/>
  <c r="A6249" i="1"/>
  <c r="B6249" i="1"/>
  <c r="A6250" i="1"/>
  <c r="B6250" i="1"/>
  <c r="A6251" i="1"/>
  <c r="B6251" i="1"/>
  <c r="A6252" i="1"/>
  <c r="B6252" i="1"/>
  <c r="A6253" i="1"/>
  <c r="B6253" i="1"/>
  <c r="A6254" i="1"/>
  <c r="B6254" i="1"/>
  <c r="A6255" i="1"/>
  <c r="B6255" i="1"/>
  <c r="A6256" i="1"/>
  <c r="B6256" i="1"/>
  <c r="A6257" i="1"/>
  <c r="B6257" i="1"/>
  <c r="A6258" i="1"/>
  <c r="B6258" i="1"/>
  <c r="A6259" i="1"/>
  <c r="B6259" i="1"/>
  <c r="A6260" i="1"/>
  <c r="B6260" i="1"/>
  <c r="A6261" i="1"/>
  <c r="B6261" i="1"/>
  <c r="A6262" i="1"/>
  <c r="B6262" i="1"/>
  <c r="A6263" i="1"/>
  <c r="B6263" i="1"/>
  <c r="A6264" i="1"/>
  <c r="B6264" i="1"/>
  <c r="A6265" i="1"/>
  <c r="B6265" i="1"/>
  <c r="A6266" i="1"/>
  <c r="B6266" i="1"/>
  <c r="A6267" i="1"/>
  <c r="B6267" i="1"/>
  <c r="A6268" i="1"/>
  <c r="B6268" i="1"/>
  <c r="A6269" i="1"/>
  <c r="B6269" i="1"/>
  <c r="A6270" i="1"/>
  <c r="B6270" i="1"/>
  <c r="A6271" i="1"/>
  <c r="B6271" i="1"/>
  <c r="A6272" i="1"/>
  <c r="B6272" i="1"/>
  <c r="A6273" i="1"/>
  <c r="B6273" i="1"/>
  <c r="A6274" i="1"/>
  <c r="B6274" i="1"/>
  <c r="A6275" i="1"/>
  <c r="B6275" i="1"/>
  <c r="A6276" i="1"/>
  <c r="B6276" i="1"/>
  <c r="A6277" i="1"/>
  <c r="B6277" i="1"/>
  <c r="A6278" i="1"/>
  <c r="B6278" i="1"/>
  <c r="A6279" i="1"/>
  <c r="B6279" i="1"/>
  <c r="A6280" i="1"/>
  <c r="B6280" i="1"/>
  <c r="A6281" i="1"/>
  <c r="B6281" i="1"/>
  <c r="A6282" i="1"/>
  <c r="B6282" i="1"/>
  <c r="A6283" i="1"/>
  <c r="B6283" i="1"/>
  <c r="A6284" i="1"/>
  <c r="B6284" i="1"/>
  <c r="A6285" i="1"/>
  <c r="B6285" i="1"/>
  <c r="A6286" i="1"/>
  <c r="B6286" i="1"/>
  <c r="A6287" i="1"/>
  <c r="B6287" i="1"/>
  <c r="A6288" i="1"/>
  <c r="B6288" i="1"/>
  <c r="A6289" i="1"/>
  <c r="B6289" i="1"/>
  <c r="A6290" i="1"/>
  <c r="B6290" i="1"/>
  <c r="A6291" i="1"/>
  <c r="B6291" i="1"/>
  <c r="A6292" i="1"/>
  <c r="B6292" i="1"/>
  <c r="A6293" i="1"/>
  <c r="B6293" i="1"/>
  <c r="A6294" i="1"/>
  <c r="B6294" i="1"/>
  <c r="A6295" i="1"/>
  <c r="B6295" i="1"/>
  <c r="A6296" i="1"/>
  <c r="B6296" i="1"/>
  <c r="A6297" i="1"/>
  <c r="B6297" i="1"/>
  <c r="A6298" i="1"/>
  <c r="B6298" i="1"/>
  <c r="A6299" i="1"/>
  <c r="B6299" i="1"/>
  <c r="A6300" i="1"/>
  <c r="B6300" i="1"/>
  <c r="A6301" i="1"/>
  <c r="B6301" i="1"/>
  <c r="A6302" i="1"/>
  <c r="B6302" i="1"/>
  <c r="A6303" i="1"/>
  <c r="B6303" i="1"/>
  <c r="A6304" i="1"/>
  <c r="B6304" i="1"/>
  <c r="A6305" i="1"/>
  <c r="B6305" i="1"/>
  <c r="A6306" i="1"/>
  <c r="B6306" i="1"/>
  <c r="A6307" i="1"/>
  <c r="B6307" i="1"/>
  <c r="A6308" i="1"/>
  <c r="B6308" i="1"/>
  <c r="A6309" i="1"/>
  <c r="B6309" i="1"/>
  <c r="A6310" i="1"/>
  <c r="B6310" i="1"/>
  <c r="A6311" i="1"/>
  <c r="B6311" i="1"/>
  <c r="A6312" i="1"/>
  <c r="B6312" i="1"/>
  <c r="A6313" i="1"/>
  <c r="B6313" i="1"/>
  <c r="A6314" i="1"/>
  <c r="B6314" i="1"/>
  <c r="A6315" i="1"/>
  <c r="B6315" i="1"/>
  <c r="A6316" i="1"/>
  <c r="B6316" i="1"/>
  <c r="A6317" i="1"/>
  <c r="B6317" i="1"/>
  <c r="A6318" i="1"/>
  <c r="B6318" i="1"/>
  <c r="A6319" i="1"/>
  <c r="B6319" i="1"/>
  <c r="A6320" i="1"/>
  <c r="B6320" i="1"/>
  <c r="A6321" i="1"/>
  <c r="B6321" i="1"/>
  <c r="A6322" i="1"/>
  <c r="B6322" i="1"/>
  <c r="A6323" i="1"/>
  <c r="B6323" i="1"/>
  <c r="A6324" i="1"/>
  <c r="B6324" i="1"/>
  <c r="A6325" i="1"/>
  <c r="B6325" i="1"/>
  <c r="A6326" i="1"/>
  <c r="B6326" i="1"/>
  <c r="A6327" i="1"/>
  <c r="B6327" i="1"/>
  <c r="A6328" i="1"/>
  <c r="B6328" i="1"/>
  <c r="A6329" i="1"/>
  <c r="B6329" i="1"/>
  <c r="A6330" i="1"/>
  <c r="B6330" i="1"/>
  <c r="A6331" i="1"/>
  <c r="B6331" i="1"/>
  <c r="A6332" i="1"/>
  <c r="B6332" i="1"/>
  <c r="A6333" i="1"/>
  <c r="B6333" i="1"/>
  <c r="A6334" i="1"/>
  <c r="B6334" i="1"/>
  <c r="A6335" i="1"/>
  <c r="B6335" i="1"/>
  <c r="A6336" i="1"/>
  <c r="B6336" i="1"/>
  <c r="A6337" i="1"/>
  <c r="B6337" i="1"/>
  <c r="A6338" i="1"/>
  <c r="B6338" i="1"/>
  <c r="A6339" i="1"/>
  <c r="B6339" i="1"/>
  <c r="A6340" i="1"/>
  <c r="B6340" i="1"/>
  <c r="A6341" i="1"/>
  <c r="B6341" i="1"/>
  <c r="A6342" i="1"/>
  <c r="B6342" i="1"/>
  <c r="A6343" i="1"/>
  <c r="B6343" i="1"/>
  <c r="A6344" i="1"/>
  <c r="B6344" i="1"/>
  <c r="A6345" i="1"/>
  <c r="B6345" i="1"/>
  <c r="A6346" i="1"/>
  <c r="B6346" i="1"/>
  <c r="A6347" i="1"/>
  <c r="B6347" i="1"/>
  <c r="A6348" i="1"/>
  <c r="B6348" i="1"/>
  <c r="A6349" i="1"/>
  <c r="B6349" i="1"/>
  <c r="A6350" i="1"/>
  <c r="B6350" i="1"/>
  <c r="A6351" i="1"/>
  <c r="B6351" i="1"/>
  <c r="A6352" i="1"/>
  <c r="B6352" i="1"/>
  <c r="A6353" i="1"/>
  <c r="B6353" i="1"/>
  <c r="A6354" i="1"/>
  <c r="B6354" i="1"/>
  <c r="A6355" i="1"/>
  <c r="B6355" i="1"/>
  <c r="A6356" i="1"/>
  <c r="B6356" i="1"/>
  <c r="A6357" i="1"/>
  <c r="B6357" i="1"/>
  <c r="A6358" i="1"/>
  <c r="B6358" i="1"/>
  <c r="A6359" i="1"/>
  <c r="B6359" i="1"/>
  <c r="A6360" i="1"/>
  <c r="B6360" i="1"/>
  <c r="A6361" i="1"/>
  <c r="B6361" i="1"/>
  <c r="A6362" i="1"/>
  <c r="B6362" i="1"/>
  <c r="A6363" i="1"/>
  <c r="B6363" i="1"/>
  <c r="A6364" i="1"/>
  <c r="B6364" i="1"/>
  <c r="A6365" i="1"/>
  <c r="B6365" i="1"/>
  <c r="A6366" i="1"/>
  <c r="B6366" i="1"/>
  <c r="A6367" i="1"/>
  <c r="B6367" i="1"/>
  <c r="A6368" i="1"/>
  <c r="B6368" i="1"/>
  <c r="A6369" i="1"/>
  <c r="B6369" i="1"/>
  <c r="A6370" i="1"/>
  <c r="B6370" i="1"/>
  <c r="A6371" i="1"/>
  <c r="B6371" i="1"/>
  <c r="A6372" i="1"/>
  <c r="B6372" i="1"/>
  <c r="A6373" i="1"/>
  <c r="B6373" i="1"/>
  <c r="A6374" i="1"/>
  <c r="B6374" i="1"/>
  <c r="A6375" i="1"/>
  <c r="B6375" i="1"/>
  <c r="A6376" i="1"/>
  <c r="B6376" i="1"/>
  <c r="A6377" i="1"/>
  <c r="B6377" i="1"/>
  <c r="A6378" i="1"/>
  <c r="B6378" i="1"/>
  <c r="A6379" i="1"/>
  <c r="B6379" i="1"/>
  <c r="A6380" i="1"/>
  <c r="B6380" i="1"/>
  <c r="A6381" i="1"/>
  <c r="B6381" i="1"/>
  <c r="A6382" i="1"/>
  <c r="B6382" i="1"/>
  <c r="A6383" i="1"/>
  <c r="B6383" i="1"/>
  <c r="A6384" i="1"/>
  <c r="B6384" i="1"/>
  <c r="A6385" i="1"/>
  <c r="B6385" i="1"/>
  <c r="A6386" i="1"/>
  <c r="B6386" i="1"/>
  <c r="A6387" i="1"/>
  <c r="B6387" i="1"/>
  <c r="A6388" i="1"/>
  <c r="B6388" i="1"/>
  <c r="A6389" i="1"/>
  <c r="B6389" i="1"/>
  <c r="A6390" i="1"/>
  <c r="B6390" i="1"/>
  <c r="A6391" i="1"/>
  <c r="B6391" i="1"/>
  <c r="A6392" i="1"/>
  <c r="B6392" i="1"/>
  <c r="A6393" i="1"/>
  <c r="B6393" i="1"/>
  <c r="A6394" i="1"/>
  <c r="B6394" i="1"/>
  <c r="A6395" i="1"/>
  <c r="B6395" i="1"/>
  <c r="A6396" i="1"/>
  <c r="B6396" i="1"/>
  <c r="A6397" i="1"/>
  <c r="B6397" i="1"/>
  <c r="A6398" i="1"/>
  <c r="B6398" i="1"/>
  <c r="A6399" i="1"/>
  <c r="B6399" i="1"/>
  <c r="A6400" i="1"/>
  <c r="B6400" i="1"/>
  <c r="A6401" i="1"/>
  <c r="B6401" i="1"/>
  <c r="A6402" i="1"/>
  <c r="B6402" i="1"/>
  <c r="A6403" i="1"/>
  <c r="B6403" i="1"/>
  <c r="A6404" i="1"/>
  <c r="B6404" i="1"/>
  <c r="A6405" i="1"/>
  <c r="B6405" i="1"/>
  <c r="A6406" i="1"/>
  <c r="B6406" i="1"/>
  <c r="A6407" i="1"/>
  <c r="B6407" i="1"/>
  <c r="A6408" i="1"/>
  <c r="B6408" i="1"/>
  <c r="A6409" i="1"/>
  <c r="B6409" i="1"/>
  <c r="A6410" i="1"/>
  <c r="B6410" i="1"/>
  <c r="A6411" i="1"/>
  <c r="B6411" i="1"/>
  <c r="A6412" i="1"/>
  <c r="B6412" i="1"/>
  <c r="A6413" i="1"/>
  <c r="B6413" i="1"/>
  <c r="A6414" i="1"/>
  <c r="B6414" i="1"/>
  <c r="A6415" i="1"/>
  <c r="B6415" i="1"/>
  <c r="A6416" i="1"/>
  <c r="B6416" i="1"/>
  <c r="A6417" i="1"/>
  <c r="B6417" i="1"/>
  <c r="A6418" i="1"/>
  <c r="B6418" i="1"/>
  <c r="A6419" i="1"/>
  <c r="B6419" i="1"/>
  <c r="A6420" i="1"/>
  <c r="B6420" i="1"/>
  <c r="A6421" i="1"/>
  <c r="B6421" i="1"/>
  <c r="A6422" i="1"/>
  <c r="B6422" i="1"/>
  <c r="A6423" i="1"/>
  <c r="B6423" i="1"/>
  <c r="A6424" i="1"/>
  <c r="B6424" i="1"/>
  <c r="A6425" i="1"/>
  <c r="B6425" i="1"/>
  <c r="A6426" i="1"/>
  <c r="B6426" i="1"/>
  <c r="A6427" i="1"/>
  <c r="B6427" i="1"/>
  <c r="A6428" i="1"/>
  <c r="B6428" i="1"/>
  <c r="A6429" i="1"/>
  <c r="B6429" i="1"/>
  <c r="A6430" i="1"/>
  <c r="B6430" i="1"/>
  <c r="A6431" i="1"/>
  <c r="B6431" i="1"/>
  <c r="A6432" i="1"/>
  <c r="B6432" i="1"/>
  <c r="A6433" i="1"/>
  <c r="B6433" i="1"/>
  <c r="A6434" i="1"/>
  <c r="B6434" i="1"/>
  <c r="A6435" i="1"/>
  <c r="B6435" i="1"/>
  <c r="A6436" i="1"/>
  <c r="B6436" i="1"/>
  <c r="A6437" i="1"/>
  <c r="B6437" i="1"/>
  <c r="A6438" i="1"/>
  <c r="B6438" i="1"/>
  <c r="A6439" i="1"/>
  <c r="B6439" i="1"/>
  <c r="A6440" i="1"/>
  <c r="B6440" i="1"/>
  <c r="A6441" i="1"/>
  <c r="B6441" i="1"/>
  <c r="A6442" i="1"/>
  <c r="B6442" i="1"/>
  <c r="A6443" i="1"/>
  <c r="B6443" i="1"/>
  <c r="A6444" i="1"/>
  <c r="B6444" i="1"/>
  <c r="A6445" i="1"/>
  <c r="B6445" i="1"/>
  <c r="A6446" i="1"/>
  <c r="B6446" i="1"/>
  <c r="A6447" i="1"/>
  <c r="B6447" i="1"/>
  <c r="A6448" i="1"/>
  <c r="B6448" i="1"/>
  <c r="A6449" i="1"/>
  <c r="B6449" i="1"/>
  <c r="A6450" i="1"/>
  <c r="B6450" i="1"/>
  <c r="A6451" i="1"/>
  <c r="B6451" i="1"/>
  <c r="A6452" i="1"/>
  <c r="B6452" i="1"/>
  <c r="A6453" i="1"/>
  <c r="B6453" i="1"/>
  <c r="A6454" i="1"/>
  <c r="B6454" i="1"/>
  <c r="A6455" i="1"/>
  <c r="B6455" i="1"/>
  <c r="A6456" i="1"/>
  <c r="B6456" i="1"/>
  <c r="A6457" i="1"/>
  <c r="B6457" i="1"/>
  <c r="A6458" i="1"/>
  <c r="B6458" i="1"/>
  <c r="A6459" i="1"/>
  <c r="B6459" i="1"/>
  <c r="A6460" i="1"/>
  <c r="B6460" i="1"/>
  <c r="A6461" i="1"/>
  <c r="B6461" i="1"/>
  <c r="A6462" i="1"/>
  <c r="B6462" i="1"/>
  <c r="A6463" i="1"/>
  <c r="B6463" i="1"/>
  <c r="A6464" i="1"/>
  <c r="B6464" i="1"/>
  <c r="A6465" i="1"/>
  <c r="B6465" i="1"/>
  <c r="A6466" i="1"/>
  <c r="B6466" i="1"/>
  <c r="A6467" i="1"/>
  <c r="B6467" i="1"/>
  <c r="A6468" i="1"/>
  <c r="B6468" i="1"/>
  <c r="A6469" i="1"/>
  <c r="B6469" i="1"/>
  <c r="A6470" i="1"/>
  <c r="B6470" i="1"/>
  <c r="A6471" i="1"/>
  <c r="B6471" i="1"/>
  <c r="A6472" i="1"/>
  <c r="B6472" i="1"/>
  <c r="A6473" i="1"/>
  <c r="B6473" i="1"/>
  <c r="A6474" i="1"/>
  <c r="B6474" i="1"/>
  <c r="A6475" i="1"/>
  <c r="B6475" i="1"/>
  <c r="A6476" i="1"/>
  <c r="B6476" i="1"/>
  <c r="A6477" i="1"/>
  <c r="B6477" i="1"/>
  <c r="A6478" i="1"/>
  <c r="B6478" i="1"/>
  <c r="A6479" i="1"/>
  <c r="B6479" i="1"/>
  <c r="A6480" i="1"/>
  <c r="B6480" i="1"/>
  <c r="A6481" i="1"/>
  <c r="B6481" i="1"/>
  <c r="A6482" i="1"/>
  <c r="B6482" i="1"/>
  <c r="A6483" i="1"/>
  <c r="B6483" i="1"/>
  <c r="A6484" i="1"/>
  <c r="B6484" i="1"/>
  <c r="A6485" i="1"/>
  <c r="B6485" i="1"/>
  <c r="A6486" i="1"/>
  <c r="B6486" i="1"/>
  <c r="A6487" i="1"/>
  <c r="B6487" i="1"/>
  <c r="A6488" i="1"/>
  <c r="B6488" i="1"/>
  <c r="A6489" i="1"/>
  <c r="B6489" i="1"/>
  <c r="A6490" i="1"/>
  <c r="B6490" i="1"/>
  <c r="A6491" i="1"/>
  <c r="B6491" i="1"/>
  <c r="A6492" i="1"/>
  <c r="B6492" i="1"/>
  <c r="A6493" i="1"/>
  <c r="B6493" i="1"/>
  <c r="A6494" i="1"/>
  <c r="B6494" i="1"/>
  <c r="A6495" i="1"/>
  <c r="B6495" i="1"/>
  <c r="A6496" i="1"/>
  <c r="B6496" i="1"/>
  <c r="A6497" i="1"/>
  <c r="B6497" i="1"/>
  <c r="A6498" i="1"/>
  <c r="B6498" i="1"/>
  <c r="A6499" i="1"/>
  <c r="B6499" i="1"/>
  <c r="A6500" i="1"/>
  <c r="B6500" i="1"/>
  <c r="A6501" i="1"/>
  <c r="B6501" i="1"/>
  <c r="A6502" i="1"/>
  <c r="B6502" i="1"/>
  <c r="A6503" i="1"/>
  <c r="B6503" i="1"/>
  <c r="A6504" i="1"/>
  <c r="B6504" i="1"/>
  <c r="A6505" i="1"/>
  <c r="B6505" i="1"/>
  <c r="A6506" i="1"/>
  <c r="B6506" i="1"/>
  <c r="A6507" i="1"/>
  <c r="B6507" i="1"/>
  <c r="A6508" i="1"/>
  <c r="B6508" i="1"/>
  <c r="A6509" i="1"/>
  <c r="B6509" i="1"/>
  <c r="A6510" i="1"/>
  <c r="B6510" i="1"/>
  <c r="A6511" i="1"/>
  <c r="B6511" i="1"/>
  <c r="A6512" i="1"/>
  <c r="B6512" i="1"/>
  <c r="A6513" i="1"/>
  <c r="B6513" i="1"/>
  <c r="A6514" i="1"/>
  <c r="B6514" i="1"/>
  <c r="A6515" i="1"/>
  <c r="B6515" i="1"/>
  <c r="A6516" i="1"/>
  <c r="B6516" i="1"/>
  <c r="A6517" i="1"/>
  <c r="B6517" i="1"/>
  <c r="A6518" i="1"/>
  <c r="B6518" i="1"/>
  <c r="A6519" i="1"/>
  <c r="B6519" i="1"/>
  <c r="A6520" i="1"/>
  <c r="B6520" i="1"/>
  <c r="A6521" i="1"/>
  <c r="B6521" i="1"/>
  <c r="A6522" i="1"/>
  <c r="B6522" i="1"/>
  <c r="A6523" i="1"/>
  <c r="B6523" i="1"/>
  <c r="A6524" i="1"/>
  <c r="B6524" i="1"/>
  <c r="A6525" i="1"/>
  <c r="B6525" i="1"/>
  <c r="A6526" i="1"/>
  <c r="B6526" i="1"/>
  <c r="A6527" i="1"/>
  <c r="B6527" i="1"/>
  <c r="A6528" i="1"/>
  <c r="B6528" i="1"/>
  <c r="A6529" i="1"/>
  <c r="B6529" i="1"/>
  <c r="A6530" i="1"/>
  <c r="B6530" i="1"/>
  <c r="A6531" i="1"/>
  <c r="B6531" i="1"/>
  <c r="A6532" i="1"/>
  <c r="B6532" i="1"/>
  <c r="A6533" i="1"/>
  <c r="B6533" i="1"/>
  <c r="A6534" i="1"/>
  <c r="B6534" i="1"/>
  <c r="A6535" i="1"/>
  <c r="B6535" i="1"/>
  <c r="A6536" i="1"/>
  <c r="B6536" i="1"/>
  <c r="A6537" i="1"/>
  <c r="B6537" i="1"/>
  <c r="A6538" i="1"/>
  <c r="B6538" i="1"/>
  <c r="A6539" i="1"/>
  <c r="B6539" i="1"/>
  <c r="A6540" i="1"/>
  <c r="B6540" i="1"/>
  <c r="A6541" i="1"/>
  <c r="B6541" i="1"/>
  <c r="A6542" i="1"/>
  <c r="B6542" i="1"/>
  <c r="A6543" i="1"/>
  <c r="B6543" i="1"/>
  <c r="A6544" i="1"/>
  <c r="B6544" i="1"/>
  <c r="A6545" i="1"/>
  <c r="B6545" i="1"/>
  <c r="A6546" i="1"/>
  <c r="B6546" i="1"/>
  <c r="A6547" i="1"/>
  <c r="B6547" i="1"/>
  <c r="A6548" i="1"/>
  <c r="B6548" i="1"/>
  <c r="A6549" i="1"/>
  <c r="B6549" i="1"/>
  <c r="A6550" i="1"/>
  <c r="B6550" i="1"/>
  <c r="A6551" i="1"/>
  <c r="B6551" i="1"/>
  <c r="A6552" i="1"/>
  <c r="B6552" i="1"/>
  <c r="A6553" i="1"/>
  <c r="B6553" i="1"/>
  <c r="A6554" i="1"/>
  <c r="B6554" i="1"/>
  <c r="A6555" i="1"/>
  <c r="B6555" i="1"/>
  <c r="A6556" i="1"/>
  <c r="B6556" i="1"/>
  <c r="A6557" i="1"/>
  <c r="B6557" i="1"/>
  <c r="A6558" i="1"/>
  <c r="B6558" i="1"/>
  <c r="A6559" i="1"/>
  <c r="B6559" i="1"/>
  <c r="A6560" i="1"/>
  <c r="B6560" i="1"/>
  <c r="A6561" i="1"/>
  <c r="B6561" i="1"/>
  <c r="A6562" i="1"/>
  <c r="B6562" i="1"/>
  <c r="A6563" i="1"/>
  <c r="B6563" i="1"/>
  <c r="A6564" i="1"/>
  <c r="B6564" i="1"/>
  <c r="A6565" i="1"/>
  <c r="B6565" i="1"/>
  <c r="A6566" i="1"/>
  <c r="B6566" i="1"/>
  <c r="A6567" i="1"/>
  <c r="B6567" i="1"/>
  <c r="A6568" i="1"/>
  <c r="B6568" i="1"/>
  <c r="A6569" i="1"/>
  <c r="B6569" i="1"/>
  <c r="A6570" i="1"/>
  <c r="B6570" i="1"/>
  <c r="A6571" i="1"/>
  <c r="B6571" i="1"/>
  <c r="A6572" i="1"/>
  <c r="B6572" i="1"/>
  <c r="A6573" i="1"/>
  <c r="B6573" i="1"/>
  <c r="A6574" i="1"/>
  <c r="B6574" i="1"/>
  <c r="A6575" i="1"/>
  <c r="B6575" i="1"/>
  <c r="A6576" i="1"/>
  <c r="B6576" i="1"/>
  <c r="A6577" i="1"/>
  <c r="B6577" i="1"/>
  <c r="A6578" i="1"/>
  <c r="B6578" i="1"/>
  <c r="A6579" i="1"/>
  <c r="B6579" i="1"/>
  <c r="A6580" i="1"/>
  <c r="B6580" i="1"/>
  <c r="A6581" i="1"/>
  <c r="B6581" i="1"/>
  <c r="A6582" i="1"/>
  <c r="B6582" i="1"/>
  <c r="A6583" i="1"/>
  <c r="B6583" i="1"/>
  <c r="A6584" i="1"/>
  <c r="B6584" i="1"/>
  <c r="A6585" i="1"/>
  <c r="B6585" i="1"/>
  <c r="A6586" i="1"/>
  <c r="B6586" i="1"/>
  <c r="A6587" i="1"/>
  <c r="B6587" i="1"/>
  <c r="A6588" i="1"/>
  <c r="B6588" i="1"/>
  <c r="A6589" i="1"/>
  <c r="B6589" i="1"/>
  <c r="A6590" i="1"/>
  <c r="B6590" i="1"/>
  <c r="A6591" i="1"/>
  <c r="B6591" i="1"/>
  <c r="A6592" i="1"/>
  <c r="B6592" i="1"/>
  <c r="A6593" i="1"/>
  <c r="B6593" i="1"/>
  <c r="A6594" i="1"/>
  <c r="B6594" i="1"/>
  <c r="A6595" i="1"/>
  <c r="B6595" i="1"/>
  <c r="A6596" i="1"/>
  <c r="B6596" i="1"/>
  <c r="A6597" i="1"/>
  <c r="B6597" i="1"/>
  <c r="A6598" i="1"/>
  <c r="B6598" i="1"/>
  <c r="A6599" i="1"/>
  <c r="B6599" i="1"/>
  <c r="A6600" i="1"/>
  <c r="B6600" i="1"/>
  <c r="A6601" i="1"/>
  <c r="B6601" i="1"/>
  <c r="A6602" i="1"/>
  <c r="B6602" i="1"/>
  <c r="A6603" i="1"/>
  <c r="B6603" i="1"/>
  <c r="A6604" i="1"/>
  <c r="B6604" i="1"/>
  <c r="A6605" i="1"/>
  <c r="B6605" i="1"/>
  <c r="A6606" i="1"/>
  <c r="B6606" i="1"/>
  <c r="A6607" i="1"/>
  <c r="B6607" i="1"/>
  <c r="A6608" i="1"/>
  <c r="B6608" i="1"/>
  <c r="A6609" i="1"/>
  <c r="B6609" i="1"/>
  <c r="A6610" i="1"/>
  <c r="B6610" i="1"/>
  <c r="A6611" i="1"/>
  <c r="B6611" i="1"/>
  <c r="A6612" i="1"/>
  <c r="B6612" i="1"/>
  <c r="A6613" i="1"/>
  <c r="B6613" i="1"/>
  <c r="A6614" i="1"/>
  <c r="B6614" i="1"/>
  <c r="A6615" i="1"/>
  <c r="B6615" i="1"/>
  <c r="A6616" i="1"/>
  <c r="B6616" i="1"/>
  <c r="A6617" i="1"/>
  <c r="B6617" i="1"/>
  <c r="A6618" i="1"/>
  <c r="B6618" i="1"/>
  <c r="A6619" i="1"/>
  <c r="B6619" i="1"/>
  <c r="A6620" i="1"/>
  <c r="B6620" i="1"/>
  <c r="A6621" i="1"/>
  <c r="B6621" i="1"/>
  <c r="A6622" i="1"/>
  <c r="B6622" i="1"/>
  <c r="A6623" i="1"/>
  <c r="B6623" i="1"/>
  <c r="A6624" i="1"/>
  <c r="B6624" i="1"/>
  <c r="A6625" i="1"/>
  <c r="B6625" i="1"/>
  <c r="A6626" i="1"/>
  <c r="B6626" i="1"/>
  <c r="A6627" i="1"/>
  <c r="B6627" i="1"/>
  <c r="A6628" i="1"/>
  <c r="B6628" i="1"/>
  <c r="A6629" i="1"/>
  <c r="B6629" i="1"/>
  <c r="A6630" i="1"/>
  <c r="B6630" i="1"/>
  <c r="A6631" i="1"/>
  <c r="B6631" i="1"/>
  <c r="A6632" i="1"/>
  <c r="B6632" i="1"/>
  <c r="A6633" i="1"/>
  <c r="B6633" i="1"/>
  <c r="A6634" i="1"/>
  <c r="B6634" i="1"/>
  <c r="A6635" i="1"/>
  <c r="B6635" i="1"/>
  <c r="A6636" i="1"/>
  <c r="B6636" i="1"/>
  <c r="A6637" i="1"/>
  <c r="B6637" i="1"/>
  <c r="A6638" i="1"/>
  <c r="B6638" i="1"/>
  <c r="A6639" i="1"/>
  <c r="B6639" i="1"/>
  <c r="A6640" i="1"/>
  <c r="B6640" i="1"/>
  <c r="A6641" i="1"/>
  <c r="B6641" i="1"/>
  <c r="A6642" i="1"/>
  <c r="B6642" i="1"/>
  <c r="A6643" i="1"/>
  <c r="B6643" i="1"/>
  <c r="A6644" i="1"/>
  <c r="B6644" i="1"/>
  <c r="A6645" i="1"/>
  <c r="B6645" i="1"/>
  <c r="A6646" i="1"/>
  <c r="B6646" i="1"/>
  <c r="A6647" i="1"/>
  <c r="B6647" i="1"/>
  <c r="A6648" i="1"/>
  <c r="B6648" i="1"/>
  <c r="A6649" i="1"/>
  <c r="B6649" i="1"/>
  <c r="A6650" i="1"/>
  <c r="B6650" i="1"/>
  <c r="A6651" i="1"/>
  <c r="B6651" i="1"/>
  <c r="A6652" i="1"/>
  <c r="B6652" i="1"/>
  <c r="A6653" i="1"/>
  <c r="B6653" i="1"/>
  <c r="A6654" i="1"/>
  <c r="B6654" i="1"/>
  <c r="A6655" i="1"/>
  <c r="B6655" i="1"/>
  <c r="A6656" i="1"/>
  <c r="B6656" i="1"/>
  <c r="A6657" i="1"/>
  <c r="B6657" i="1"/>
  <c r="A6658" i="1"/>
  <c r="B6658" i="1"/>
  <c r="A6659" i="1"/>
  <c r="B6659" i="1"/>
  <c r="A6660" i="1"/>
  <c r="B6660" i="1"/>
  <c r="A6661" i="1"/>
  <c r="B6661" i="1"/>
  <c r="A6662" i="1"/>
  <c r="B6662" i="1"/>
  <c r="A6663" i="1"/>
  <c r="B6663" i="1"/>
  <c r="A6664" i="1"/>
  <c r="B6664" i="1"/>
  <c r="A6665" i="1"/>
  <c r="B6665" i="1"/>
  <c r="A6666" i="1"/>
  <c r="B6666" i="1"/>
  <c r="A6667" i="1"/>
  <c r="B6667" i="1"/>
  <c r="A6668" i="1"/>
  <c r="B6668" i="1"/>
  <c r="A6669" i="1"/>
  <c r="B6669" i="1"/>
  <c r="A6670" i="1"/>
  <c r="B6670" i="1"/>
  <c r="A6671" i="1"/>
  <c r="B6671" i="1"/>
  <c r="A6672" i="1"/>
  <c r="B6672" i="1"/>
  <c r="A6673" i="1"/>
  <c r="B6673" i="1"/>
  <c r="A6674" i="1"/>
  <c r="B6674" i="1"/>
  <c r="A6675" i="1"/>
  <c r="B6675" i="1"/>
  <c r="A6676" i="1"/>
  <c r="B6676" i="1"/>
  <c r="A6677" i="1"/>
  <c r="B6677" i="1"/>
  <c r="A6678" i="1"/>
  <c r="B6678" i="1"/>
  <c r="A6679" i="1"/>
  <c r="B6679" i="1"/>
  <c r="A6680" i="1"/>
  <c r="B6680" i="1"/>
  <c r="A6681" i="1"/>
  <c r="B6681" i="1"/>
  <c r="A6682" i="1"/>
  <c r="B6682" i="1"/>
  <c r="A6683" i="1"/>
  <c r="B6683" i="1"/>
  <c r="A6684" i="1"/>
  <c r="B6684" i="1"/>
  <c r="A6685" i="1"/>
  <c r="B6685" i="1"/>
  <c r="A6686" i="1"/>
  <c r="B6686" i="1"/>
  <c r="A6687" i="1"/>
  <c r="B6687" i="1"/>
  <c r="A6688" i="1"/>
  <c r="B6688" i="1"/>
  <c r="A6689" i="1"/>
  <c r="B6689" i="1"/>
  <c r="A6690" i="1"/>
  <c r="B6690" i="1"/>
  <c r="A6691" i="1"/>
  <c r="B6691" i="1"/>
  <c r="A6692" i="1"/>
  <c r="B6692" i="1"/>
  <c r="A6693" i="1"/>
  <c r="B6693" i="1"/>
  <c r="A6694" i="1"/>
  <c r="B6694" i="1"/>
  <c r="A6695" i="1"/>
  <c r="B6695" i="1"/>
  <c r="A6696" i="1"/>
  <c r="B6696" i="1"/>
  <c r="A6697" i="1"/>
  <c r="B6697" i="1"/>
  <c r="A6698" i="1"/>
  <c r="B6698" i="1"/>
  <c r="A6699" i="1"/>
  <c r="B6699" i="1"/>
  <c r="A6700" i="1"/>
  <c r="B6700" i="1"/>
  <c r="A6701" i="1"/>
  <c r="B6701" i="1"/>
  <c r="A6702" i="1"/>
  <c r="B6702" i="1"/>
  <c r="A6703" i="1"/>
  <c r="B6703" i="1"/>
  <c r="A6704" i="1"/>
  <c r="B6704" i="1"/>
  <c r="A6705" i="1"/>
  <c r="B6705" i="1"/>
  <c r="A6706" i="1"/>
  <c r="B6706" i="1"/>
  <c r="A6707" i="1"/>
  <c r="B6707" i="1"/>
  <c r="A6708" i="1"/>
  <c r="B6708" i="1"/>
  <c r="A6709" i="1"/>
  <c r="B6709" i="1"/>
  <c r="A6710" i="1"/>
  <c r="B6710" i="1"/>
  <c r="A6711" i="1"/>
  <c r="B6711" i="1"/>
  <c r="A6712" i="1"/>
  <c r="B6712" i="1"/>
  <c r="A6713" i="1"/>
  <c r="B6713" i="1"/>
  <c r="A6714" i="1"/>
  <c r="B6714" i="1"/>
  <c r="A6715" i="1"/>
  <c r="B6715" i="1"/>
  <c r="A6716" i="1"/>
  <c r="B6716" i="1"/>
  <c r="A6717" i="1"/>
  <c r="B6717" i="1"/>
  <c r="A6718" i="1"/>
  <c r="B6718" i="1"/>
  <c r="A6719" i="1"/>
  <c r="B6719" i="1"/>
  <c r="A6720" i="1"/>
  <c r="B6720" i="1"/>
  <c r="A6721" i="1"/>
  <c r="B6721" i="1"/>
  <c r="A6722" i="1"/>
  <c r="B6722" i="1"/>
  <c r="A6723" i="1"/>
  <c r="B6723" i="1"/>
  <c r="A6724" i="1"/>
  <c r="B6724" i="1"/>
  <c r="A6725" i="1"/>
  <c r="B6725" i="1"/>
  <c r="A6726" i="1"/>
  <c r="B6726" i="1"/>
  <c r="A6727" i="1"/>
  <c r="B6727" i="1"/>
  <c r="A6728" i="1"/>
  <c r="B6728" i="1"/>
  <c r="A6729" i="1"/>
  <c r="B6729" i="1"/>
  <c r="A6730" i="1"/>
  <c r="B6730" i="1"/>
  <c r="A6731" i="1"/>
  <c r="B6731" i="1"/>
  <c r="A6732" i="1"/>
  <c r="B6732" i="1"/>
  <c r="A6733" i="1"/>
  <c r="B6733" i="1"/>
  <c r="A6734" i="1"/>
  <c r="B6734" i="1"/>
  <c r="A6735" i="1"/>
  <c r="B6735" i="1"/>
  <c r="A6736" i="1"/>
  <c r="B6736" i="1"/>
  <c r="A6737" i="1"/>
  <c r="B6737" i="1"/>
  <c r="A6738" i="1"/>
  <c r="B6738" i="1"/>
  <c r="A6739" i="1"/>
  <c r="B6739" i="1"/>
  <c r="A6740" i="1"/>
  <c r="B6740" i="1"/>
  <c r="A6741" i="1"/>
  <c r="B6741" i="1"/>
  <c r="A6742" i="1"/>
  <c r="B6742" i="1"/>
  <c r="A6743" i="1"/>
  <c r="B6743" i="1"/>
  <c r="A6744" i="1"/>
  <c r="B6744" i="1"/>
  <c r="A6745" i="1"/>
  <c r="B6745" i="1"/>
  <c r="A6746" i="1"/>
  <c r="B6746" i="1"/>
  <c r="A6747" i="1"/>
  <c r="B6747" i="1"/>
  <c r="A6748" i="1"/>
  <c r="B6748" i="1"/>
  <c r="A6749" i="1"/>
  <c r="B6749" i="1"/>
  <c r="A6750" i="1"/>
  <c r="B6750" i="1"/>
  <c r="A6751" i="1"/>
  <c r="B6751" i="1"/>
  <c r="A6752" i="1"/>
  <c r="B6752" i="1"/>
  <c r="A6753" i="1"/>
  <c r="B6753" i="1"/>
  <c r="A6754" i="1"/>
  <c r="B6754" i="1"/>
  <c r="A6755" i="1"/>
  <c r="B6755" i="1"/>
  <c r="A6756" i="1"/>
  <c r="B6756" i="1"/>
  <c r="A6757" i="1"/>
  <c r="B6757" i="1"/>
  <c r="A6758" i="1"/>
  <c r="B6758" i="1"/>
  <c r="A6759" i="1"/>
  <c r="B6759" i="1"/>
  <c r="A6760" i="1"/>
  <c r="B6760" i="1"/>
  <c r="A6761" i="1"/>
  <c r="B6761" i="1"/>
  <c r="A6762" i="1"/>
  <c r="B6762" i="1"/>
  <c r="A6763" i="1"/>
  <c r="B6763" i="1"/>
  <c r="A6764" i="1"/>
  <c r="B6764" i="1"/>
  <c r="A6765" i="1"/>
  <c r="B6765" i="1"/>
  <c r="A6766" i="1"/>
  <c r="B6766" i="1"/>
  <c r="A6767" i="1"/>
  <c r="B6767" i="1"/>
  <c r="A6768" i="1"/>
  <c r="B6768" i="1"/>
  <c r="A6769" i="1"/>
  <c r="B6769" i="1"/>
  <c r="A6770" i="1"/>
  <c r="B6770" i="1"/>
  <c r="A6771" i="1"/>
  <c r="B6771" i="1"/>
  <c r="A6772" i="1"/>
  <c r="B6772" i="1"/>
  <c r="A6773" i="1"/>
  <c r="B6773" i="1"/>
  <c r="A6774" i="1"/>
  <c r="B6774" i="1"/>
  <c r="A6775" i="1"/>
  <c r="B6775" i="1"/>
  <c r="A6776" i="1"/>
  <c r="B6776" i="1"/>
  <c r="A6777" i="1"/>
  <c r="B6777" i="1"/>
  <c r="A6778" i="1"/>
  <c r="B6778" i="1"/>
  <c r="A6779" i="1"/>
  <c r="B6779" i="1"/>
  <c r="A6780" i="1"/>
  <c r="B6780" i="1"/>
  <c r="A6781" i="1"/>
  <c r="B6781" i="1"/>
  <c r="A6782" i="1"/>
  <c r="B6782" i="1"/>
  <c r="A6783" i="1"/>
  <c r="B6783" i="1"/>
  <c r="A6784" i="1"/>
  <c r="B6784" i="1"/>
  <c r="A6785" i="1"/>
  <c r="B6785" i="1"/>
  <c r="A6786" i="1"/>
  <c r="B6786" i="1"/>
  <c r="A6787" i="1"/>
  <c r="B6787" i="1"/>
  <c r="A6788" i="1"/>
  <c r="B6788" i="1"/>
  <c r="A6789" i="1"/>
  <c r="B6789" i="1"/>
  <c r="A6790" i="1"/>
  <c r="B6790" i="1"/>
  <c r="A6791" i="1"/>
  <c r="B6791" i="1"/>
  <c r="A6792" i="1"/>
  <c r="B6792" i="1"/>
  <c r="A6793" i="1"/>
  <c r="B6793" i="1"/>
  <c r="A6794" i="1"/>
  <c r="B6794" i="1"/>
  <c r="A6795" i="1"/>
  <c r="B6795" i="1"/>
  <c r="A6796" i="1"/>
  <c r="B6796" i="1"/>
  <c r="A6797" i="1"/>
  <c r="B6797" i="1"/>
  <c r="A6798" i="1"/>
  <c r="B6798" i="1"/>
  <c r="A6799" i="1"/>
  <c r="B6799" i="1"/>
  <c r="A6800" i="1"/>
  <c r="B6800" i="1"/>
  <c r="A6801" i="1"/>
  <c r="B6801" i="1"/>
  <c r="A6802" i="1"/>
  <c r="B6802" i="1"/>
  <c r="A6803" i="1"/>
  <c r="B6803" i="1"/>
  <c r="A6804" i="1"/>
  <c r="B6804" i="1"/>
  <c r="A6805" i="1"/>
  <c r="B6805" i="1"/>
  <c r="A6806" i="1"/>
  <c r="B6806" i="1"/>
  <c r="A6807" i="1"/>
  <c r="B6807" i="1"/>
  <c r="A6808" i="1"/>
  <c r="B6808" i="1"/>
  <c r="A6809" i="1"/>
  <c r="B6809" i="1"/>
  <c r="A6810" i="1"/>
  <c r="B6810" i="1"/>
  <c r="A6811" i="1"/>
  <c r="B6811" i="1"/>
  <c r="A6812" i="1"/>
  <c r="B6812" i="1"/>
  <c r="A6813" i="1"/>
  <c r="B6813" i="1"/>
  <c r="A6814" i="1"/>
  <c r="B6814" i="1"/>
  <c r="A6815" i="1"/>
  <c r="B6815" i="1"/>
  <c r="A6816" i="1"/>
  <c r="B6816" i="1"/>
  <c r="A6817" i="1"/>
  <c r="B6817" i="1"/>
  <c r="A6818" i="1"/>
  <c r="B6818" i="1"/>
  <c r="A6819" i="1"/>
  <c r="B6819" i="1"/>
  <c r="A6820" i="1"/>
  <c r="B6820" i="1"/>
  <c r="A6821" i="1"/>
  <c r="B6821" i="1"/>
  <c r="A6822" i="1"/>
  <c r="B6822" i="1"/>
  <c r="A6823" i="1"/>
  <c r="B6823" i="1"/>
  <c r="A6824" i="1"/>
  <c r="B6824" i="1"/>
  <c r="A6825" i="1"/>
  <c r="B6825" i="1"/>
  <c r="A6826" i="1"/>
  <c r="B6826" i="1"/>
  <c r="A6827" i="1"/>
  <c r="B6827" i="1"/>
  <c r="A6828" i="1"/>
  <c r="B6828" i="1"/>
  <c r="A6829" i="1"/>
  <c r="B6829" i="1"/>
  <c r="A6830" i="1"/>
  <c r="B6830" i="1"/>
  <c r="A6831" i="1"/>
  <c r="B6831" i="1"/>
  <c r="A6832" i="1"/>
  <c r="B6832" i="1"/>
  <c r="A6833" i="1"/>
  <c r="B6833" i="1"/>
  <c r="A6834" i="1"/>
  <c r="B6834" i="1"/>
  <c r="A6835" i="1"/>
  <c r="B6835" i="1"/>
  <c r="A6836" i="1"/>
  <c r="B6836" i="1"/>
  <c r="A6837" i="1"/>
  <c r="B6837" i="1"/>
  <c r="A6838" i="1"/>
  <c r="B6838" i="1"/>
  <c r="A6839" i="1"/>
  <c r="B6839" i="1"/>
  <c r="A6840" i="1"/>
  <c r="B6840" i="1"/>
  <c r="A6841" i="1"/>
  <c r="B6841" i="1"/>
  <c r="A6842" i="1"/>
  <c r="B6842" i="1"/>
  <c r="A6843" i="1"/>
  <c r="B6843" i="1"/>
  <c r="A6844" i="1"/>
  <c r="B6844" i="1"/>
  <c r="A6845" i="1"/>
  <c r="B6845" i="1"/>
  <c r="A6846" i="1"/>
  <c r="B6846" i="1"/>
  <c r="A6847" i="1"/>
  <c r="B6847" i="1"/>
  <c r="A6848" i="1"/>
  <c r="B6848" i="1"/>
  <c r="A6849" i="1"/>
  <c r="B6849" i="1"/>
  <c r="A6850" i="1"/>
  <c r="B6850" i="1"/>
  <c r="A6851" i="1"/>
  <c r="B6851" i="1"/>
  <c r="A6852" i="1"/>
  <c r="B6852" i="1"/>
  <c r="A6853" i="1"/>
  <c r="B6853" i="1"/>
  <c r="A6854" i="1"/>
  <c r="B6854" i="1"/>
  <c r="A6855" i="1"/>
  <c r="B6855" i="1"/>
  <c r="A6856" i="1"/>
  <c r="B6856" i="1"/>
  <c r="A6857" i="1"/>
  <c r="B6857" i="1"/>
  <c r="A6858" i="1"/>
  <c r="B6858" i="1"/>
  <c r="A6859" i="1"/>
  <c r="B6859" i="1"/>
  <c r="A6860" i="1"/>
  <c r="B6860" i="1"/>
  <c r="A6861" i="1"/>
  <c r="B6861" i="1"/>
  <c r="A6862" i="1"/>
  <c r="B6862" i="1"/>
  <c r="A6863" i="1"/>
  <c r="B6863" i="1"/>
  <c r="A6864" i="1"/>
  <c r="B6864" i="1"/>
  <c r="A6865" i="1"/>
  <c r="B6865" i="1"/>
  <c r="A6866" i="1"/>
  <c r="B6866" i="1"/>
  <c r="A6867" i="1"/>
  <c r="B6867" i="1"/>
  <c r="A6868" i="1"/>
  <c r="B6868" i="1"/>
  <c r="A6869" i="1"/>
  <c r="B6869" i="1"/>
  <c r="A6870" i="1"/>
  <c r="B6870" i="1"/>
  <c r="A6871" i="1"/>
  <c r="B6871" i="1"/>
  <c r="A6872" i="1"/>
  <c r="B6872" i="1"/>
  <c r="A6873" i="1"/>
  <c r="B6873" i="1"/>
  <c r="A6874" i="1"/>
  <c r="B6874" i="1"/>
  <c r="A6875" i="1"/>
  <c r="B6875" i="1"/>
  <c r="A6876" i="1"/>
  <c r="B6876" i="1"/>
  <c r="A6877" i="1"/>
  <c r="B6877" i="1"/>
  <c r="A6878" i="1"/>
  <c r="B6878" i="1"/>
  <c r="A6879" i="1"/>
  <c r="B6879" i="1"/>
  <c r="A6880" i="1"/>
  <c r="B6880" i="1"/>
  <c r="A6881" i="1"/>
  <c r="B6881" i="1"/>
  <c r="A6882" i="1"/>
  <c r="B6882" i="1"/>
  <c r="A6883" i="1"/>
  <c r="B6883" i="1"/>
  <c r="A6884" i="1"/>
  <c r="B6884" i="1"/>
  <c r="A6885" i="1"/>
  <c r="B6885" i="1"/>
  <c r="A6886" i="1"/>
  <c r="B6886" i="1"/>
  <c r="A6887" i="1"/>
  <c r="B6887" i="1"/>
  <c r="A6888" i="1"/>
  <c r="B6888" i="1"/>
  <c r="A6889" i="1"/>
  <c r="B6889" i="1"/>
  <c r="A6890" i="1"/>
  <c r="B6890" i="1"/>
  <c r="A6891" i="1"/>
  <c r="B6891" i="1"/>
  <c r="A6892" i="1"/>
  <c r="B6892" i="1"/>
  <c r="A6893" i="1"/>
  <c r="B6893" i="1"/>
  <c r="A6894" i="1"/>
  <c r="B6894" i="1"/>
  <c r="A6895" i="1"/>
  <c r="B6895" i="1"/>
  <c r="A6896" i="1"/>
  <c r="B6896" i="1"/>
  <c r="A6897" i="1"/>
  <c r="B6897" i="1"/>
  <c r="A6898" i="1"/>
  <c r="B6898" i="1"/>
  <c r="A6899" i="1"/>
  <c r="B6899" i="1"/>
  <c r="A6900" i="1"/>
  <c r="B6900" i="1"/>
  <c r="A6901" i="1"/>
  <c r="B6901" i="1"/>
  <c r="A6902" i="1"/>
  <c r="B6902" i="1"/>
  <c r="A6903" i="1"/>
  <c r="B6903" i="1"/>
  <c r="A6904" i="1"/>
  <c r="B6904" i="1"/>
  <c r="A6905" i="1"/>
  <c r="B6905" i="1"/>
  <c r="A6906" i="1"/>
  <c r="B6906" i="1"/>
  <c r="A6907" i="1"/>
  <c r="B6907" i="1"/>
  <c r="A6908" i="1"/>
  <c r="B6908" i="1"/>
  <c r="A6909" i="1"/>
  <c r="B6909" i="1"/>
  <c r="A6910" i="1"/>
  <c r="B6910" i="1"/>
  <c r="A6911" i="1"/>
  <c r="B6911" i="1"/>
  <c r="A6912" i="1"/>
  <c r="B6912" i="1"/>
  <c r="A6913" i="1"/>
  <c r="B6913" i="1"/>
  <c r="A6914" i="1"/>
  <c r="B6914" i="1"/>
  <c r="A6915" i="1"/>
  <c r="B6915" i="1"/>
  <c r="A6916" i="1"/>
  <c r="B6916" i="1"/>
  <c r="A6917" i="1"/>
  <c r="B6917" i="1"/>
  <c r="A6918" i="1"/>
  <c r="B6918" i="1"/>
  <c r="A6919" i="1"/>
  <c r="B6919" i="1"/>
  <c r="A6920" i="1"/>
  <c r="B6920" i="1"/>
  <c r="A6921" i="1"/>
  <c r="B6921" i="1"/>
  <c r="A6922" i="1"/>
  <c r="B6922" i="1"/>
  <c r="A6923" i="1"/>
  <c r="B6923" i="1"/>
  <c r="A6924" i="1"/>
  <c r="B6924" i="1"/>
  <c r="A6925" i="1"/>
  <c r="B6925" i="1"/>
  <c r="A6926" i="1"/>
  <c r="B6926" i="1"/>
  <c r="A6927" i="1"/>
  <c r="B6927" i="1"/>
  <c r="A6928" i="1"/>
  <c r="B6928" i="1"/>
  <c r="A6929" i="1"/>
  <c r="B6929" i="1"/>
  <c r="A6930" i="1"/>
  <c r="B6930" i="1"/>
  <c r="A6931" i="1"/>
  <c r="B6931" i="1"/>
  <c r="A6932" i="1"/>
  <c r="B6932" i="1"/>
  <c r="A6933" i="1"/>
  <c r="B6933" i="1"/>
  <c r="A6934" i="1"/>
  <c r="B6934" i="1"/>
  <c r="A6935" i="1"/>
  <c r="B6935" i="1"/>
  <c r="A6936" i="1"/>
  <c r="B6936" i="1"/>
  <c r="A6937" i="1"/>
  <c r="B6937" i="1"/>
  <c r="A6938" i="1"/>
  <c r="B6938" i="1"/>
  <c r="A6939" i="1"/>
  <c r="B6939" i="1"/>
  <c r="A6940" i="1"/>
  <c r="B6940" i="1"/>
  <c r="A6941" i="1"/>
  <c r="B6941" i="1"/>
  <c r="A6942" i="1"/>
  <c r="B6942" i="1"/>
  <c r="A6943" i="1"/>
  <c r="B6943" i="1"/>
  <c r="A6944" i="1"/>
  <c r="B6944" i="1"/>
  <c r="A6945" i="1"/>
  <c r="B6945" i="1"/>
  <c r="A6946" i="1"/>
  <c r="B6946" i="1"/>
  <c r="A6947" i="1"/>
  <c r="B6947" i="1"/>
  <c r="A6948" i="1"/>
  <c r="B6948" i="1"/>
  <c r="A6949" i="1"/>
  <c r="B6949" i="1"/>
  <c r="A6950" i="1"/>
  <c r="B6950" i="1"/>
  <c r="A6951" i="1"/>
  <c r="B6951" i="1"/>
  <c r="A6952" i="1"/>
  <c r="B6952" i="1"/>
  <c r="A6953" i="1"/>
  <c r="B6953" i="1"/>
  <c r="A6954" i="1"/>
  <c r="B6954" i="1"/>
  <c r="A6955" i="1"/>
  <c r="B6955" i="1"/>
  <c r="A6956" i="1"/>
  <c r="B6956" i="1"/>
  <c r="A6957" i="1"/>
  <c r="B6957" i="1"/>
  <c r="A6958" i="1"/>
  <c r="B6958" i="1"/>
  <c r="A6959" i="1"/>
  <c r="B6959" i="1"/>
  <c r="A6960" i="1"/>
  <c r="B6960" i="1"/>
  <c r="A6961" i="1"/>
  <c r="B6961" i="1"/>
  <c r="A6962" i="1"/>
  <c r="B6962" i="1"/>
  <c r="A6963" i="1"/>
  <c r="B6963" i="1"/>
  <c r="A6964" i="1"/>
  <c r="B6964" i="1"/>
  <c r="A6965" i="1"/>
  <c r="B6965" i="1"/>
  <c r="A6966" i="1"/>
  <c r="B6966" i="1"/>
  <c r="A6967" i="1"/>
  <c r="B6967" i="1"/>
  <c r="A6968" i="1"/>
  <c r="B6968" i="1"/>
  <c r="A6969" i="1"/>
  <c r="B6969" i="1"/>
  <c r="A6970" i="1"/>
  <c r="B6970" i="1"/>
  <c r="A6971" i="1"/>
  <c r="B6971" i="1"/>
  <c r="A6972" i="1"/>
  <c r="B6972" i="1"/>
  <c r="A6973" i="1"/>
  <c r="B6973" i="1"/>
  <c r="A6974" i="1"/>
  <c r="B6974" i="1"/>
  <c r="A6975" i="1"/>
  <c r="B6975" i="1"/>
  <c r="A6976" i="1"/>
  <c r="B6976" i="1"/>
  <c r="A6977" i="1"/>
  <c r="B6977" i="1"/>
  <c r="A6978" i="1"/>
  <c r="B6978" i="1"/>
  <c r="A6979" i="1"/>
  <c r="B6979" i="1"/>
  <c r="A6980" i="1"/>
  <c r="B6980" i="1"/>
  <c r="A6981" i="1"/>
  <c r="B6981" i="1"/>
  <c r="A6982" i="1"/>
  <c r="B6982" i="1"/>
  <c r="A6983" i="1"/>
  <c r="B6983" i="1"/>
  <c r="A6984" i="1"/>
  <c r="B6984" i="1"/>
  <c r="A6985" i="1"/>
  <c r="B6985" i="1"/>
  <c r="A6986" i="1"/>
  <c r="B6986" i="1"/>
  <c r="A6987" i="1"/>
  <c r="B6987" i="1"/>
  <c r="A6988" i="1"/>
  <c r="B6988" i="1"/>
  <c r="A6989" i="1"/>
  <c r="B6989" i="1"/>
  <c r="A6990" i="1"/>
  <c r="B6990" i="1"/>
  <c r="A6991" i="1"/>
  <c r="B6991" i="1"/>
  <c r="A6992" i="1"/>
  <c r="B6992" i="1"/>
  <c r="A6993" i="1"/>
  <c r="B6993" i="1"/>
  <c r="A6994" i="1"/>
  <c r="B6994" i="1"/>
  <c r="A6995" i="1"/>
  <c r="B6995" i="1"/>
  <c r="A6996" i="1"/>
  <c r="B6996" i="1"/>
  <c r="A6997" i="1"/>
  <c r="B6997" i="1"/>
  <c r="A6998" i="1"/>
  <c r="B6998" i="1"/>
  <c r="A6999" i="1"/>
  <c r="B6999" i="1"/>
  <c r="A7000" i="1"/>
  <c r="B7000" i="1"/>
  <c r="A7001" i="1"/>
  <c r="B7001" i="1"/>
  <c r="A7002" i="1"/>
  <c r="B7002" i="1"/>
  <c r="A7003" i="1"/>
  <c r="B7003" i="1"/>
  <c r="A7004" i="1"/>
  <c r="B7004" i="1"/>
  <c r="A7005" i="1"/>
  <c r="B7005" i="1"/>
  <c r="A7006" i="1"/>
  <c r="B7006" i="1"/>
  <c r="A7007" i="1"/>
  <c r="B7007" i="1"/>
  <c r="A7008" i="1"/>
  <c r="B7008" i="1"/>
  <c r="A7009" i="1"/>
  <c r="B7009" i="1"/>
  <c r="A7010" i="1"/>
  <c r="B7010" i="1"/>
  <c r="A7011" i="1"/>
  <c r="B7011" i="1"/>
  <c r="A7012" i="1"/>
  <c r="B7012" i="1"/>
  <c r="A7013" i="1"/>
  <c r="B7013" i="1"/>
  <c r="A7014" i="1"/>
  <c r="B7014" i="1"/>
  <c r="A7015" i="1"/>
  <c r="B7015" i="1"/>
  <c r="A7016" i="1"/>
  <c r="B7016" i="1"/>
  <c r="A7017" i="1"/>
  <c r="B7017" i="1"/>
  <c r="A7018" i="1"/>
  <c r="B7018" i="1"/>
  <c r="A7019" i="1"/>
  <c r="B7019" i="1"/>
  <c r="A7020" i="1"/>
  <c r="B7020" i="1"/>
  <c r="A7021" i="1"/>
  <c r="B7021" i="1"/>
  <c r="A7022" i="1"/>
  <c r="B7022" i="1"/>
  <c r="A7023" i="1"/>
  <c r="B7023" i="1"/>
  <c r="A7024" i="1"/>
  <c r="B7024" i="1"/>
  <c r="A7025" i="1"/>
  <c r="B7025" i="1"/>
  <c r="A7026" i="1"/>
  <c r="B7026" i="1"/>
  <c r="A7027" i="1"/>
  <c r="B7027" i="1"/>
  <c r="A7028" i="1"/>
  <c r="B7028" i="1"/>
  <c r="A7029" i="1"/>
  <c r="B7029" i="1"/>
  <c r="A7030" i="1"/>
  <c r="B7030" i="1"/>
  <c r="A7031" i="1"/>
  <c r="B7031" i="1"/>
  <c r="A7032" i="1"/>
  <c r="B7032" i="1"/>
  <c r="A7033" i="1"/>
  <c r="B7033" i="1"/>
  <c r="A7034" i="1"/>
  <c r="B7034" i="1"/>
  <c r="A7035" i="1"/>
  <c r="B7035" i="1"/>
  <c r="A7036" i="1"/>
  <c r="B7036" i="1"/>
  <c r="A7037" i="1"/>
  <c r="B7037" i="1"/>
  <c r="A7038" i="1"/>
  <c r="B7038" i="1"/>
  <c r="A7039" i="1"/>
  <c r="B7039" i="1"/>
  <c r="A7040" i="1"/>
  <c r="B7040" i="1"/>
  <c r="A7041" i="1"/>
  <c r="B7041" i="1"/>
  <c r="A7042" i="1"/>
  <c r="B7042" i="1"/>
  <c r="A7043" i="1"/>
  <c r="B7043" i="1"/>
  <c r="A7044" i="1"/>
  <c r="B7044" i="1"/>
  <c r="A7045" i="1"/>
  <c r="B7045" i="1"/>
  <c r="A7046" i="1"/>
  <c r="B7046" i="1"/>
  <c r="A7047" i="1"/>
  <c r="B7047" i="1"/>
  <c r="A7048" i="1"/>
  <c r="B7048" i="1"/>
  <c r="A7049" i="1"/>
  <c r="B7049" i="1"/>
  <c r="A7050" i="1"/>
  <c r="B7050" i="1"/>
  <c r="A7051" i="1"/>
  <c r="B7051" i="1"/>
  <c r="A7052" i="1"/>
  <c r="B7052" i="1"/>
  <c r="A7053" i="1"/>
  <c r="B7053" i="1"/>
  <c r="A7054" i="1"/>
  <c r="B7054" i="1"/>
  <c r="A7055" i="1"/>
  <c r="B7055" i="1"/>
  <c r="A7056" i="1"/>
  <c r="B7056" i="1"/>
  <c r="A7057" i="1"/>
  <c r="B7057" i="1"/>
  <c r="A7058" i="1"/>
  <c r="B7058" i="1"/>
  <c r="A7059" i="1"/>
  <c r="B7059" i="1"/>
  <c r="A7060" i="1"/>
  <c r="B7060" i="1"/>
  <c r="A7061" i="1"/>
  <c r="B7061" i="1"/>
  <c r="A7062" i="1"/>
  <c r="B7062" i="1"/>
  <c r="A7063" i="1"/>
  <c r="B7063" i="1"/>
  <c r="A7064" i="1"/>
  <c r="B7064" i="1"/>
  <c r="A7065" i="1"/>
  <c r="B7065" i="1"/>
  <c r="A7066" i="1"/>
  <c r="B7066" i="1"/>
  <c r="A7067" i="1"/>
  <c r="B7067" i="1"/>
  <c r="A7068" i="1"/>
  <c r="B7068" i="1"/>
  <c r="A7069" i="1"/>
  <c r="B7069" i="1"/>
  <c r="A7070" i="1"/>
  <c r="B7070" i="1"/>
  <c r="A7071" i="1"/>
  <c r="B7071" i="1"/>
  <c r="A7072" i="1"/>
  <c r="B7072" i="1"/>
  <c r="A7073" i="1"/>
  <c r="B7073" i="1"/>
  <c r="A7074" i="1"/>
  <c r="B7074" i="1"/>
  <c r="A7075" i="1"/>
  <c r="B7075" i="1"/>
  <c r="A7076" i="1"/>
  <c r="B7076" i="1"/>
  <c r="A7077" i="1"/>
  <c r="B7077" i="1"/>
  <c r="A7078" i="1"/>
  <c r="B7078" i="1"/>
  <c r="A7079" i="1"/>
  <c r="B7079" i="1"/>
  <c r="A7080" i="1"/>
  <c r="B7080" i="1"/>
  <c r="A7081" i="1"/>
  <c r="B7081" i="1"/>
  <c r="A7082" i="1"/>
  <c r="B7082" i="1"/>
  <c r="A7083" i="1"/>
  <c r="B7083" i="1"/>
  <c r="A7084" i="1"/>
  <c r="B7084" i="1"/>
  <c r="A7085" i="1"/>
  <c r="B7085" i="1"/>
  <c r="A7086" i="1"/>
  <c r="B7086" i="1"/>
  <c r="A7087" i="1"/>
  <c r="B7087" i="1"/>
  <c r="A7088" i="1"/>
  <c r="B7088" i="1"/>
  <c r="A7089" i="1"/>
  <c r="B7089" i="1"/>
  <c r="A7090" i="1"/>
  <c r="B7090" i="1"/>
  <c r="A7091" i="1"/>
  <c r="B7091" i="1"/>
  <c r="A7092" i="1"/>
  <c r="B7092" i="1"/>
  <c r="A7093" i="1"/>
  <c r="B7093" i="1"/>
  <c r="A7094" i="1"/>
  <c r="B7094" i="1"/>
  <c r="A7095" i="1"/>
  <c r="B7095" i="1"/>
  <c r="A7096" i="1"/>
  <c r="B7096" i="1"/>
  <c r="A7097" i="1"/>
  <c r="B7097" i="1"/>
  <c r="A7098" i="1"/>
  <c r="B7098" i="1"/>
  <c r="A7099" i="1"/>
  <c r="B7099" i="1"/>
  <c r="A7100" i="1"/>
  <c r="B7100" i="1"/>
  <c r="A7101" i="1"/>
  <c r="B7101" i="1"/>
  <c r="A7102" i="1"/>
  <c r="B7102" i="1"/>
  <c r="A7103" i="1"/>
  <c r="B7103" i="1"/>
  <c r="A7104" i="1"/>
  <c r="B7104" i="1"/>
  <c r="A7105" i="1"/>
  <c r="B7105" i="1"/>
  <c r="A7106" i="1"/>
  <c r="B7106" i="1"/>
  <c r="A7107" i="1"/>
  <c r="B7107" i="1"/>
  <c r="A7108" i="1"/>
  <c r="B7108" i="1"/>
  <c r="A7109" i="1"/>
  <c r="B7109" i="1"/>
  <c r="A7110" i="1"/>
  <c r="B7110" i="1"/>
  <c r="A7111" i="1"/>
  <c r="B7111" i="1"/>
  <c r="A7112" i="1"/>
  <c r="B7112" i="1"/>
  <c r="A7113" i="1"/>
  <c r="B7113" i="1"/>
  <c r="A7114" i="1"/>
  <c r="B7114" i="1"/>
  <c r="A7115" i="1"/>
  <c r="B7115" i="1"/>
  <c r="A7116" i="1"/>
  <c r="B7116" i="1"/>
  <c r="A7117" i="1"/>
  <c r="B7117" i="1"/>
  <c r="A7118" i="1"/>
  <c r="B7118" i="1"/>
  <c r="A7119" i="1"/>
  <c r="B7119" i="1"/>
  <c r="A7120" i="1"/>
  <c r="B7120" i="1"/>
  <c r="A7121" i="1"/>
  <c r="B7121" i="1"/>
  <c r="A7122" i="1"/>
  <c r="B7122" i="1"/>
  <c r="A7123" i="1"/>
  <c r="B7123" i="1"/>
  <c r="A7124" i="1"/>
  <c r="B7124" i="1"/>
  <c r="A7125" i="1"/>
  <c r="B7125" i="1"/>
  <c r="A7126" i="1"/>
  <c r="B7126" i="1"/>
  <c r="A7127" i="1"/>
  <c r="B7127" i="1"/>
  <c r="A7128" i="1"/>
  <c r="B7128" i="1"/>
  <c r="A7129" i="1"/>
  <c r="B7129" i="1"/>
  <c r="A7130" i="1"/>
  <c r="B7130" i="1"/>
  <c r="A7131" i="1"/>
  <c r="B7131" i="1"/>
  <c r="A7132" i="1"/>
  <c r="B7132" i="1"/>
  <c r="A7133" i="1"/>
  <c r="B7133" i="1"/>
  <c r="A7134" i="1"/>
  <c r="B7134" i="1"/>
  <c r="A7135" i="1"/>
  <c r="B7135" i="1"/>
  <c r="A7136" i="1"/>
  <c r="B7136" i="1"/>
  <c r="A7137" i="1"/>
  <c r="B7137" i="1"/>
  <c r="A7138" i="1"/>
  <c r="B7138" i="1"/>
  <c r="A7139" i="1"/>
  <c r="B7139" i="1"/>
  <c r="A7140" i="1"/>
  <c r="B7140" i="1"/>
  <c r="A7141" i="1"/>
  <c r="B7141" i="1"/>
  <c r="A7142" i="1"/>
  <c r="B7142" i="1"/>
  <c r="A7143" i="1"/>
  <c r="B7143" i="1"/>
  <c r="A7144" i="1"/>
  <c r="B7144" i="1"/>
  <c r="A7145" i="1"/>
  <c r="B7145" i="1"/>
  <c r="A7146" i="1"/>
  <c r="B7146" i="1"/>
  <c r="A7147" i="1"/>
  <c r="B7147" i="1"/>
  <c r="A7148" i="1"/>
  <c r="B7148" i="1"/>
  <c r="A7149" i="1"/>
  <c r="B7149" i="1"/>
  <c r="A7150" i="1"/>
  <c r="B7150" i="1"/>
  <c r="A7151" i="1"/>
  <c r="B7151" i="1"/>
  <c r="A7152" i="1"/>
  <c r="B7152" i="1"/>
  <c r="A7153" i="1"/>
  <c r="B7153" i="1"/>
  <c r="A7154" i="1"/>
  <c r="B7154" i="1"/>
  <c r="A7155" i="1"/>
  <c r="B7155" i="1"/>
  <c r="A7156" i="1"/>
  <c r="B7156" i="1"/>
  <c r="A7157" i="1"/>
  <c r="B7157" i="1"/>
  <c r="A7158" i="1"/>
  <c r="B7158" i="1"/>
  <c r="A7159" i="1"/>
  <c r="B7159" i="1"/>
  <c r="A7160" i="1"/>
  <c r="B7160" i="1"/>
  <c r="A7161" i="1"/>
  <c r="B7161" i="1"/>
  <c r="A7162" i="1"/>
  <c r="B7162" i="1"/>
  <c r="A7163" i="1"/>
  <c r="B7163" i="1"/>
  <c r="A7164" i="1"/>
  <c r="B7164" i="1"/>
  <c r="A7165" i="1"/>
  <c r="B7165" i="1"/>
  <c r="A7166" i="1"/>
  <c r="B7166" i="1"/>
  <c r="A7167" i="1"/>
  <c r="B7167" i="1"/>
  <c r="A7168" i="1"/>
  <c r="B7168" i="1"/>
  <c r="A7169" i="1"/>
  <c r="B7169" i="1"/>
  <c r="A7170" i="1"/>
  <c r="B7170" i="1"/>
  <c r="A7171" i="1"/>
  <c r="B7171" i="1"/>
  <c r="A7172" i="1"/>
  <c r="B7172" i="1"/>
  <c r="A7173" i="1"/>
  <c r="B7173" i="1"/>
  <c r="A7174" i="1"/>
  <c r="B7174" i="1"/>
  <c r="A7175" i="1"/>
  <c r="B7175" i="1"/>
  <c r="A7176" i="1"/>
  <c r="B7176" i="1"/>
  <c r="A7177" i="1"/>
  <c r="B7177" i="1"/>
  <c r="A7178" i="1"/>
  <c r="B7178" i="1"/>
  <c r="A7179" i="1"/>
  <c r="B7179" i="1"/>
  <c r="A7180" i="1"/>
  <c r="B7180" i="1"/>
  <c r="A7181" i="1"/>
  <c r="B7181" i="1"/>
  <c r="A7182" i="1"/>
  <c r="B7182" i="1"/>
  <c r="A7183" i="1"/>
  <c r="B7183" i="1"/>
  <c r="A7184" i="1"/>
  <c r="B7184" i="1"/>
  <c r="A7185" i="1"/>
  <c r="B7185" i="1"/>
  <c r="A7186" i="1"/>
  <c r="B7186" i="1"/>
  <c r="A7187" i="1"/>
  <c r="B7187" i="1"/>
  <c r="A7188" i="1"/>
  <c r="B7188" i="1"/>
  <c r="A7189" i="1"/>
  <c r="B7189" i="1"/>
  <c r="A7190" i="1"/>
  <c r="B7190" i="1"/>
  <c r="A7191" i="1"/>
  <c r="B7191" i="1"/>
  <c r="A7192" i="1"/>
  <c r="B7192" i="1"/>
  <c r="A7193" i="1"/>
  <c r="B7193" i="1"/>
  <c r="A7194" i="1"/>
  <c r="B7194" i="1"/>
  <c r="A7195" i="1"/>
  <c r="B7195" i="1"/>
  <c r="A7196" i="1"/>
  <c r="B7196" i="1"/>
  <c r="A7197" i="1"/>
  <c r="B7197" i="1"/>
  <c r="A7198" i="1"/>
  <c r="B7198" i="1"/>
  <c r="A7199" i="1"/>
  <c r="B7199" i="1"/>
  <c r="A7200" i="1"/>
  <c r="B7200" i="1"/>
  <c r="A7201" i="1"/>
  <c r="B7201" i="1"/>
  <c r="A7202" i="1"/>
  <c r="B7202" i="1"/>
  <c r="A7203" i="1"/>
  <c r="B7203" i="1"/>
  <c r="A7204" i="1"/>
  <c r="B7204" i="1"/>
  <c r="A7205" i="1"/>
  <c r="B7205" i="1"/>
  <c r="A7206" i="1"/>
  <c r="B7206" i="1"/>
  <c r="A7207" i="1"/>
  <c r="B7207" i="1"/>
  <c r="A7208" i="1"/>
  <c r="B7208" i="1"/>
  <c r="A7209" i="1"/>
  <c r="B7209" i="1"/>
  <c r="A7210" i="1"/>
  <c r="B7210" i="1"/>
  <c r="A7211" i="1"/>
  <c r="B7211" i="1"/>
  <c r="A7212" i="1"/>
  <c r="B7212" i="1"/>
  <c r="A7213" i="1"/>
  <c r="B7213" i="1"/>
  <c r="A7214" i="1"/>
  <c r="B7214" i="1"/>
  <c r="A7215" i="1"/>
  <c r="B7215" i="1"/>
  <c r="A7216" i="1"/>
  <c r="B7216" i="1"/>
  <c r="A7217" i="1"/>
  <c r="B7217" i="1"/>
  <c r="A7218" i="1"/>
  <c r="B7218" i="1"/>
  <c r="A7219" i="1"/>
  <c r="B7219" i="1"/>
  <c r="A7220" i="1"/>
  <c r="B7220" i="1"/>
  <c r="A7221" i="1"/>
  <c r="B7221" i="1"/>
  <c r="A7222" i="1"/>
  <c r="B7222" i="1"/>
  <c r="A7223" i="1"/>
  <c r="B7223" i="1"/>
  <c r="A7224" i="1"/>
  <c r="B7224" i="1"/>
  <c r="A7225" i="1"/>
  <c r="B7225" i="1"/>
  <c r="A7226" i="1"/>
  <c r="B7226" i="1"/>
  <c r="A7227" i="1"/>
  <c r="B7227" i="1"/>
  <c r="A7228" i="1"/>
  <c r="B7228" i="1"/>
  <c r="A7229" i="1"/>
  <c r="B7229" i="1"/>
  <c r="A7230" i="1"/>
  <c r="B7230" i="1"/>
  <c r="A7231" i="1"/>
  <c r="B7231" i="1"/>
  <c r="A7232" i="1"/>
  <c r="B7232" i="1"/>
  <c r="A7233" i="1"/>
  <c r="B7233" i="1"/>
  <c r="A7234" i="1"/>
  <c r="B7234" i="1"/>
  <c r="A7235" i="1"/>
  <c r="B7235" i="1"/>
  <c r="A7236" i="1"/>
  <c r="B7236" i="1"/>
  <c r="A7237" i="1"/>
  <c r="B7237" i="1"/>
  <c r="A7238" i="1"/>
  <c r="B7238" i="1"/>
  <c r="A7239" i="1"/>
  <c r="B7239" i="1"/>
  <c r="A7240" i="1"/>
  <c r="B7240" i="1"/>
  <c r="A7241" i="1"/>
  <c r="B7241" i="1"/>
  <c r="A7242" i="1"/>
  <c r="B7242" i="1"/>
  <c r="A7243" i="1"/>
  <c r="B7243" i="1"/>
  <c r="A7244" i="1"/>
  <c r="B7244" i="1"/>
  <c r="A7245" i="1"/>
  <c r="B7245" i="1"/>
  <c r="A7246" i="1"/>
  <c r="B7246" i="1"/>
  <c r="A7247" i="1"/>
  <c r="B7247" i="1"/>
  <c r="A7248" i="1"/>
  <c r="B7248" i="1"/>
  <c r="A7249" i="1"/>
  <c r="B7249" i="1"/>
  <c r="A7250" i="1"/>
  <c r="B7250" i="1"/>
  <c r="A7251" i="1"/>
  <c r="B7251" i="1"/>
  <c r="A7252" i="1"/>
  <c r="B7252" i="1"/>
  <c r="A7253" i="1"/>
  <c r="B7253" i="1"/>
  <c r="A7254" i="1"/>
  <c r="B7254" i="1"/>
  <c r="A7255" i="1"/>
  <c r="B7255" i="1"/>
  <c r="A7256" i="1"/>
  <c r="B7256" i="1"/>
  <c r="A7257" i="1"/>
  <c r="B7257" i="1"/>
  <c r="A7258" i="1"/>
  <c r="B7258" i="1"/>
  <c r="A7259" i="1"/>
  <c r="B7259" i="1"/>
  <c r="A7260" i="1"/>
  <c r="B7260" i="1"/>
  <c r="A7261" i="1"/>
  <c r="B7261" i="1"/>
  <c r="A7262" i="1"/>
  <c r="B7262" i="1"/>
  <c r="A7263" i="1"/>
  <c r="B7263" i="1"/>
  <c r="A7264" i="1"/>
  <c r="B7264" i="1"/>
  <c r="A7265" i="1"/>
  <c r="B7265" i="1"/>
  <c r="A7266" i="1"/>
  <c r="B7266" i="1"/>
  <c r="A7267" i="1"/>
  <c r="B7267" i="1"/>
  <c r="A7268" i="1"/>
  <c r="B7268" i="1"/>
  <c r="A7269" i="1"/>
  <c r="B7269" i="1"/>
  <c r="A7270" i="1"/>
  <c r="B7270" i="1"/>
  <c r="A7271" i="1"/>
  <c r="B7271" i="1"/>
  <c r="A7272" i="1"/>
  <c r="B7272" i="1"/>
  <c r="A7273" i="1"/>
  <c r="B7273" i="1"/>
  <c r="A7274" i="1"/>
  <c r="B7274" i="1"/>
  <c r="A7275" i="1"/>
  <c r="B7275" i="1"/>
  <c r="A7276" i="1"/>
  <c r="B7276" i="1"/>
  <c r="A7277" i="1"/>
  <c r="B7277" i="1"/>
  <c r="A7278" i="1"/>
  <c r="B7278" i="1"/>
  <c r="A7279" i="1"/>
  <c r="B7279" i="1"/>
  <c r="A7280" i="1"/>
  <c r="B7280" i="1"/>
  <c r="A7281" i="1"/>
  <c r="B7281" i="1"/>
  <c r="A7282" i="1"/>
  <c r="B7282" i="1"/>
  <c r="A7283" i="1"/>
  <c r="B7283" i="1"/>
  <c r="A7284" i="1"/>
  <c r="B7284" i="1"/>
  <c r="A7285" i="1"/>
  <c r="B7285" i="1"/>
  <c r="A7286" i="1"/>
  <c r="B7286" i="1"/>
  <c r="A7287" i="1"/>
  <c r="B7287" i="1"/>
  <c r="A7288" i="1"/>
  <c r="B7288" i="1"/>
  <c r="A7289" i="1"/>
  <c r="B7289" i="1"/>
  <c r="A7290" i="1"/>
  <c r="B7290" i="1"/>
  <c r="A7291" i="1"/>
  <c r="B7291" i="1"/>
  <c r="A7292" i="1"/>
  <c r="B7292" i="1"/>
  <c r="A7293" i="1"/>
  <c r="B7293" i="1"/>
  <c r="A7294" i="1"/>
  <c r="B7294" i="1"/>
  <c r="A7295" i="1"/>
  <c r="B7295" i="1"/>
  <c r="A7296" i="1"/>
  <c r="B7296" i="1"/>
  <c r="A7297" i="1"/>
  <c r="B7297" i="1"/>
  <c r="A7298" i="1"/>
  <c r="B7298" i="1"/>
  <c r="A7299" i="1"/>
  <c r="B7299" i="1"/>
  <c r="A7300" i="1"/>
  <c r="B7300" i="1"/>
  <c r="A7301" i="1"/>
  <c r="B7301" i="1"/>
  <c r="A7302" i="1"/>
  <c r="B7302" i="1"/>
  <c r="A7303" i="1"/>
  <c r="B7303" i="1"/>
  <c r="A7304" i="1"/>
  <c r="B7304" i="1"/>
  <c r="A7305" i="1"/>
  <c r="B7305" i="1"/>
  <c r="A7306" i="1"/>
  <c r="B7306" i="1"/>
  <c r="A7307" i="1"/>
  <c r="B7307" i="1"/>
  <c r="A7308" i="1"/>
  <c r="B7308" i="1"/>
  <c r="A7309" i="1"/>
  <c r="B7309" i="1"/>
  <c r="A7310" i="1"/>
  <c r="B7310" i="1"/>
  <c r="A7311" i="1"/>
  <c r="B7311" i="1"/>
  <c r="A7312" i="1"/>
  <c r="B7312" i="1"/>
  <c r="A7313" i="1"/>
  <c r="B7313" i="1"/>
  <c r="A7314" i="1"/>
  <c r="B7314" i="1"/>
  <c r="A7315" i="1"/>
  <c r="B7315" i="1"/>
  <c r="A7316" i="1"/>
  <c r="B7316" i="1"/>
  <c r="A7317" i="1"/>
  <c r="B7317" i="1"/>
  <c r="A7318" i="1"/>
  <c r="B7318" i="1"/>
  <c r="A7319" i="1"/>
  <c r="B7319" i="1"/>
  <c r="A7320" i="1"/>
  <c r="B7320" i="1"/>
  <c r="A7321" i="1"/>
  <c r="B7321" i="1"/>
  <c r="A7322" i="1"/>
  <c r="B7322" i="1"/>
  <c r="A7323" i="1"/>
  <c r="B7323" i="1"/>
  <c r="A7324" i="1"/>
  <c r="B7324" i="1"/>
  <c r="A7325" i="1"/>
  <c r="B7325" i="1"/>
  <c r="A7326" i="1"/>
  <c r="B7326" i="1"/>
  <c r="A7327" i="1"/>
  <c r="B7327" i="1"/>
  <c r="A7328" i="1"/>
  <c r="B7328" i="1"/>
  <c r="A7329" i="1"/>
  <c r="B7329" i="1"/>
  <c r="A7330" i="1"/>
  <c r="B7330" i="1"/>
  <c r="A7331" i="1"/>
  <c r="B7331" i="1"/>
  <c r="A7332" i="1"/>
  <c r="B7332" i="1"/>
  <c r="A7333" i="1"/>
  <c r="B7333" i="1"/>
  <c r="A7334" i="1"/>
  <c r="B7334" i="1"/>
  <c r="A7335" i="1"/>
  <c r="B7335" i="1"/>
  <c r="A7336" i="1"/>
  <c r="B7336" i="1"/>
  <c r="A7337" i="1"/>
  <c r="B7337" i="1"/>
  <c r="A7338" i="1"/>
  <c r="B7338" i="1"/>
  <c r="A7339" i="1"/>
  <c r="B7339" i="1"/>
  <c r="A7340" i="1"/>
  <c r="B7340" i="1"/>
  <c r="A7341" i="1"/>
  <c r="B7341" i="1"/>
  <c r="A7342" i="1"/>
  <c r="B7342" i="1"/>
  <c r="A7343" i="1"/>
  <c r="B7343" i="1"/>
  <c r="A7344" i="1"/>
  <c r="B7344" i="1"/>
  <c r="A7345" i="1"/>
  <c r="B7345" i="1"/>
  <c r="A7346" i="1"/>
  <c r="B7346" i="1"/>
  <c r="A7347" i="1"/>
  <c r="B7347" i="1"/>
  <c r="A7348" i="1"/>
  <c r="B7348" i="1"/>
  <c r="A7349" i="1"/>
  <c r="B7349" i="1"/>
  <c r="A7350" i="1"/>
  <c r="B7350" i="1"/>
  <c r="A7351" i="1"/>
  <c r="B7351" i="1"/>
  <c r="A7352" i="1"/>
  <c r="B7352" i="1"/>
  <c r="A7353" i="1"/>
  <c r="B7353" i="1"/>
  <c r="A7354" i="1"/>
  <c r="B7354" i="1"/>
  <c r="A7355" i="1"/>
  <c r="B7355" i="1"/>
  <c r="A7356" i="1"/>
  <c r="B7356" i="1"/>
  <c r="A7357" i="1"/>
  <c r="B7357" i="1"/>
  <c r="A7358" i="1"/>
  <c r="B7358" i="1"/>
  <c r="A7359" i="1"/>
  <c r="B7359" i="1"/>
  <c r="A7360" i="1"/>
  <c r="B7360" i="1"/>
  <c r="A7361" i="1"/>
  <c r="B7361" i="1"/>
  <c r="A7362" i="1"/>
  <c r="B7362" i="1"/>
  <c r="A7363" i="1"/>
  <c r="B7363" i="1"/>
  <c r="A7364" i="1"/>
  <c r="B7364" i="1"/>
  <c r="A7365" i="1"/>
  <c r="B7365" i="1"/>
  <c r="A7366" i="1"/>
  <c r="B7366" i="1"/>
  <c r="A7367" i="1"/>
  <c r="B7367" i="1"/>
  <c r="A7368" i="1"/>
  <c r="B7368" i="1"/>
  <c r="A7369" i="1"/>
  <c r="B7369" i="1"/>
  <c r="A7370" i="1"/>
  <c r="B7370" i="1"/>
  <c r="A7371" i="1"/>
  <c r="B7371" i="1"/>
  <c r="A7372" i="1"/>
  <c r="B7372" i="1"/>
  <c r="A7373" i="1"/>
  <c r="B7373" i="1"/>
  <c r="A7374" i="1"/>
  <c r="B7374" i="1"/>
  <c r="A7375" i="1"/>
  <c r="B7375" i="1"/>
  <c r="A7376" i="1"/>
  <c r="B7376" i="1"/>
  <c r="A7377" i="1"/>
  <c r="B7377" i="1"/>
  <c r="A7378" i="1"/>
  <c r="B7378" i="1"/>
  <c r="A7379" i="1"/>
  <c r="B7379" i="1"/>
  <c r="A7380" i="1"/>
  <c r="B7380" i="1"/>
  <c r="A7381" i="1"/>
  <c r="B7381" i="1"/>
  <c r="A7382" i="1"/>
  <c r="B7382" i="1"/>
  <c r="A7383" i="1"/>
  <c r="B7383" i="1"/>
  <c r="A7384" i="1"/>
  <c r="B7384" i="1"/>
  <c r="A7385" i="1"/>
  <c r="B7385" i="1"/>
  <c r="A7386" i="1"/>
  <c r="B7386" i="1"/>
  <c r="A7387" i="1"/>
  <c r="B7387" i="1"/>
  <c r="A7388" i="1"/>
  <c r="B7388" i="1"/>
  <c r="A7389" i="1"/>
  <c r="B7389" i="1"/>
  <c r="A7390" i="1"/>
  <c r="B7390" i="1"/>
  <c r="A7391" i="1"/>
  <c r="B7391" i="1"/>
  <c r="A7392" i="1"/>
  <c r="B7392" i="1"/>
  <c r="A7393" i="1"/>
  <c r="B7393" i="1"/>
  <c r="A7394" i="1"/>
  <c r="B7394" i="1"/>
  <c r="A7395" i="1"/>
  <c r="B7395" i="1"/>
  <c r="A7396" i="1"/>
  <c r="B7396" i="1"/>
  <c r="A7397" i="1"/>
  <c r="B7397" i="1"/>
  <c r="A7398" i="1"/>
  <c r="B7398" i="1"/>
  <c r="A7399" i="1"/>
  <c r="B7399" i="1"/>
  <c r="A7400" i="1"/>
  <c r="B7400" i="1"/>
  <c r="A7401" i="1"/>
  <c r="B7401" i="1"/>
  <c r="A7402" i="1"/>
  <c r="B7402" i="1"/>
  <c r="A7403" i="1"/>
  <c r="B7403" i="1"/>
  <c r="A7404" i="1"/>
  <c r="B7404" i="1"/>
  <c r="A7405" i="1"/>
  <c r="B7405" i="1"/>
  <c r="A7406" i="1"/>
  <c r="B7406" i="1"/>
  <c r="A7407" i="1"/>
  <c r="B7407" i="1"/>
  <c r="A7408" i="1"/>
  <c r="B7408" i="1"/>
  <c r="A7409" i="1"/>
  <c r="B7409" i="1"/>
  <c r="A7410" i="1"/>
  <c r="B7410" i="1"/>
  <c r="A7411" i="1"/>
  <c r="B7411" i="1"/>
  <c r="A7412" i="1"/>
  <c r="B7412" i="1"/>
  <c r="A7413" i="1"/>
  <c r="B7413" i="1"/>
  <c r="A7414" i="1"/>
  <c r="B7414" i="1"/>
  <c r="A7415" i="1"/>
  <c r="B7415" i="1"/>
  <c r="A7416" i="1"/>
  <c r="B7416" i="1"/>
  <c r="A7417" i="1"/>
  <c r="B7417" i="1"/>
  <c r="A7418" i="1"/>
  <c r="B7418" i="1"/>
  <c r="A7419" i="1"/>
  <c r="B7419" i="1"/>
  <c r="A7420" i="1"/>
  <c r="B7420" i="1"/>
  <c r="A7421" i="1"/>
  <c r="B7421" i="1"/>
  <c r="A7422" i="1"/>
  <c r="B7422" i="1"/>
  <c r="A7423" i="1"/>
  <c r="B7423" i="1"/>
  <c r="A7424" i="1"/>
  <c r="B7424" i="1"/>
  <c r="A7425" i="1"/>
  <c r="B7425" i="1"/>
  <c r="A7426" i="1"/>
  <c r="B7426" i="1"/>
  <c r="A7427" i="1"/>
  <c r="B7427" i="1"/>
  <c r="A7428" i="1"/>
  <c r="B7428" i="1"/>
  <c r="A7429" i="1"/>
  <c r="B7429" i="1"/>
  <c r="A7430" i="1"/>
  <c r="B7430" i="1"/>
  <c r="A7431" i="1"/>
  <c r="B7431" i="1"/>
  <c r="A7432" i="1"/>
  <c r="B7432" i="1"/>
  <c r="A7433" i="1"/>
  <c r="B7433" i="1"/>
  <c r="A7434" i="1"/>
  <c r="B7434" i="1"/>
  <c r="A7435" i="1"/>
  <c r="B7435" i="1"/>
  <c r="A7436" i="1"/>
  <c r="B7436" i="1"/>
  <c r="A7437" i="1"/>
  <c r="B7437" i="1"/>
  <c r="A7438" i="1"/>
  <c r="B7438" i="1"/>
  <c r="A7439" i="1"/>
  <c r="B7439" i="1"/>
  <c r="A7440" i="1"/>
  <c r="B7440" i="1"/>
  <c r="A7441" i="1"/>
  <c r="B7441" i="1"/>
  <c r="A7442" i="1"/>
  <c r="B7442" i="1"/>
  <c r="A7443" i="1"/>
  <c r="B7443" i="1"/>
  <c r="A7444" i="1"/>
  <c r="B7444" i="1"/>
  <c r="A7445" i="1"/>
  <c r="B7445" i="1"/>
  <c r="A7446" i="1"/>
  <c r="B7446" i="1"/>
  <c r="A7447" i="1"/>
  <c r="B7447" i="1"/>
  <c r="A7448" i="1"/>
  <c r="B7448" i="1"/>
  <c r="A7449" i="1"/>
  <c r="B7449" i="1"/>
  <c r="A7450" i="1"/>
  <c r="B7450" i="1"/>
  <c r="A7451" i="1"/>
  <c r="B7451" i="1"/>
  <c r="A7452" i="1"/>
  <c r="B7452" i="1"/>
  <c r="A7453" i="1"/>
  <c r="B7453" i="1"/>
  <c r="A7454" i="1"/>
  <c r="B7454" i="1"/>
  <c r="A7455" i="1"/>
  <c r="B7455" i="1"/>
  <c r="A7456" i="1"/>
  <c r="B7456" i="1"/>
  <c r="A7457" i="1"/>
  <c r="B7457" i="1"/>
  <c r="A7458" i="1"/>
  <c r="B7458" i="1"/>
  <c r="A7459" i="1"/>
  <c r="B7459" i="1"/>
  <c r="A7460" i="1"/>
  <c r="B7460" i="1"/>
  <c r="A7461" i="1"/>
  <c r="B7461" i="1"/>
  <c r="A7462" i="1"/>
  <c r="B7462" i="1"/>
  <c r="A7463" i="1"/>
  <c r="B7463" i="1"/>
  <c r="A7464" i="1"/>
  <c r="B7464" i="1"/>
  <c r="A7465" i="1"/>
  <c r="B7465" i="1"/>
  <c r="A7466" i="1"/>
  <c r="B7466" i="1"/>
  <c r="A7467" i="1"/>
  <c r="B7467" i="1"/>
  <c r="A7468" i="1"/>
  <c r="B7468" i="1"/>
  <c r="A7469" i="1"/>
  <c r="B7469" i="1"/>
  <c r="A7470" i="1"/>
  <c r="B7470" i="1"/>
  <c r="A7471" i="1"/>
  <c r="B7471" i="1"/>
  <c r="A7472" i="1"/>
  <c r="B7472" i="1"/>
  <c r="A7473" i="1"/>
  <c r="B7473" i="1"/>
  <c r="A7474" i="1"/>
  <c r="B7474" i="1"/>
  <c r="A7475" i="1"/>
  <c r="B7475" i="1"/>
  <c r="A7476" i="1"/>
  <c r="B7476" i="1"/>
  <c r="A7477" i="1"/>
  <c r="B7477" i="1"/>
  <c r="A7478" i="1"/>
  <c r="B7478" i="1"/>
  <c r="A7479" i="1"/>
  <c r="B7479" i="1"/>
  <c r="A7480" i="1"/>
  <c r="B7480" i="1"/>
  <c r="A7481" i="1"/>
  <c r="B7481" i="1"/>
  <c r="A7482" i="1"/>
  <c r="B7482" i="1"/>
  <c r="A7483" i="1"/>
  <c r="B7483" i="1"/>
  <c r="A7484" i="1"/>
  <c r="B7484" i="1"/>
  <c r="A7485" i="1"/>
  <c r="B7485" i="1"/>
  <c r="A7486" i="1"/>
  <c r="B7486" i="1"/>
  <c r="A7487" i="1"/>
  <c r="B7487" i="1"/>
  <c r="A7488" i="1"/>
  <c r="B7488" i="1"/>
  <c r="A7489" i="1"/>
  <c r="B7489" i="1"/>
  <c r="A7490" i="1"/>
  <c r="B7490" i="1"/>
  <c r="A7491" i="1"/>
  <c r="B7491" i="1"/>
  <c r="A7492" i="1"/>
  <c r="B7492" i="1"/>
  <c r="A7493" i="1"/>
  <c r="B7493" i="1"/>
  <c r="A7494" i="1"/>
  <c r="B7494" i="1"/>
  <c r="A7495" i="1"/>
  <c r="B7495" i="1"/>
  <c r="A7496" i="1"/>
  <c r="B7496" i="1"/>
  <c r="A7497" i="1"/>
  <c r="B7497" i="1"/>
  <c r="A7498" i="1"/>
  <c r="B7498" i="1"/>
  <c r="A7499" i="1"/>
  <c r="B7499" i="1"/>
  <c r="A7500" i="1"/>
  <c r="B7500" i="1"/>
  <c r="A7501" i="1"/>
  <c r="B7501" i="1"/>
  <c r="A7502" i="1"/>
  <c r="B7502" i="1"/>
  <c r="A7503" i="1"/>
  <c r="B7503" i="1"/>
  <c r="A7504" i="1"/>
  <c r="B7504" i="1"/>
  <c r="A7505" i="1"/>
  <c r="B7505" i="1"/>
  <c r="A7506" i="1"/>
  <c r="B7506" i="1"/>
  <c r="A7507" i="1"/>
  <c r="B7507" i="1"/>
  <c r="A7508" i="1"/>
  <c r="B7508" i="1"/>
  <c r="A7509" i="1"/>
  <c r="B7509" i="1"/>
  <c r="A7510" i="1"/>
  <c r="B7510" i="1"/>
  <c r="A7511" i="1"/>
  <c r="B7511" i="1"/>
  <c r="A7512" i="1"/>
  <c r="B7512" i="1"/>
  <c r="A7513" i="1"/>
  <c r="B7513" i="1"/>
  <c r="A7514" i="1"/>
  <c r="B7514" i="1"/>
  <c r="A7515" i="1"/>
  <c r="B7515" i="1"/>
  <c r="A7516" i="1"/>
  <c r="B7516" i="1"/>
  <c r="A7517" i="1"/>
  <c r="B7517" i="1"/>
  <c r="A7518" i="1"/>
  <c r="B7518" i="1"/>
  <c r="A7519" i="1"/>
  <c r="B7519" i="1"/>
  <c r="A7520" i="1"/>
  <c r="B7520" i="1"/>
  <c r="A7521" i="1"/>
  <c r="B7521" i="1"/>
  <c r="A7522" i="1"/>
  <c r="B7522" i="1"/>
  <c r="A7523" i="1"/>
  <c r="B7523" i="1"/>
  <c r="A7524" i="1"/>
  <c r="B7524" i="1"/>
  <c r="A7525" i="1"/>
  <c r="B7525" i="1"/>
  <c r="A7526" i="1"/>
  <c r="B7526" i="1"/>
  <c r="A7527" i="1"/>
  <c r="B7527" i="1"/>
  <c r="A7528" i="1"/>
  <c r="B7528" i="1"/>
  <c r="A7529" i="1"/>
  <c r="B7529" i="1"/>
  <c r="A7530" i="1"/>
  <c r="B7530" i="1"/>
  <c r="A7531" i="1"/>
  <c r="B7531" i="1"/>
  <c r="A7532" i="1"/>
  <c r="B7532" i="1"/>
  <c r="A7533" i="1"/>
  <c r="B7533" i="1"/>
  <c r="A7534" i="1"/>
  <c r="B7534" i="1"/>
  <c r="A7535" i="1"/>
  <c r="B7535" i="1"/>
  <c r="A7536" i="1"/>
  <c r="B7536" i="1"/>
  <c r="A7537" i="1"/>
  <c r="B7537" i="1"/>
  <c r="A7538" i="1"/>
  <c r="B7538" i="1"/>
  <c r="A7539" i="1"/>
  <c r="B7539" i="1"/>
  <c r="A7540" i="1"/>
  <c r="B7540" i="1"/>
  <c r="A7541" i="1"/>
  <c r="B7541" i="1"/>
  <c r="A7542" i="1"/>
  <c r="B7542" i="1"/>
  <c r="A7543" i="1"/>
  <c r="B7543" i="1"/>
  <c r="A7544" i="1"/>
  <c r="B7544" i="1"/>
  <c r="A7545" i="1"/>
  <c r="B7545" i="1"/>
  <c r="A7546" i="1"/>
  <c r="B7546" i="1"/>
  <c r="A7547" i="1"/>
  <c r="B7547" i="1"/>
  <c r="A7548" i="1"/>
  <c r="B7548" i="1"/>
  <c r="A7549" i="1"/>
  <c r="B7549" i="1"/>
  <c r="A7550" i="1"/>
  <c r="B7550" i="1"/>
  <c r="A7551" i="1"/>
  <c r="B7551" i="1"/>
  <c r="A7552" i="1"/>
  <c r="B7552" i="1"/>
  <c r="A7553" i="1"/>
  <c r="B7553" i="1"/>
  <c r="A7554" i="1"/>
  <c r="B7554" i="1"/>
  <c r="A7555" i="1"/>
  <c r="B7555" i="1"/>
  <c r="A7556" i="1"/>
  <c r="B7556" i="1"/>
  <c r="A7557" i="1"/>
  <c r="B7557" i="1"/>
  <c r="A7558" i="1"/>
  <c r="B7558" i="1"/>
  <c r="A7559" i="1"/>
  <c r="B7559" i="1"/>
  <c r="A7560" i="1"/>
  <c r="B7560" i="1"/>
  <c r="A7561" i="1"/>
  <c r="B7561" i="1"/>
  <c r="A7562" i="1"/>
  <c r="B7562" i="1"/>
  <c r="A7563" i="1"/>
  <c r="B7563" i="1"/>
  <c r="A7564" i="1"/>
  <c r="B7564" i="1"/>
  <c r="A7565" i="1"/>
  <c r="B7565" i="1"/>
  <c r="A7566" i="1"/>
  <c r="B7566" i="1"/>
  <c r="A7567" i="1"/>
  <c r="B7567" i="1"/>
  <c r="A7568" i="1"/>
  <c r="B7568" i="1"/>
  <c r="A7569" i="1"/>
  <c r="B7569" i="1"/>
  <c r="A7570" i="1"/>
  <c r="B7570" i="1"/>
  <c r="A7571" i="1"/>
  <c r="B7571" i="1"/>
  <c r="A7572" i="1"/>
  <c r="B7572" i="1"/>
  <c r="A7573" i="1"/>
  <c r="B7573" i="1"/>
  <c r="A7574" i="1"/>
  <c r="B7574" i="1"/>
  <c r="A7575" i="1"/>
  <c r="B7575" i="1"/>
  <c r="A7576" i="1"/>
  <c r="B7576" i="1"/>
  <c r="A7577" i="1"/>
  <c r="B7577" i="1"/>
  <c r="A7578" i="1"/>
  <c r="B7578" i="1"/>
  <c r="A7579" i="1"/>
  <c r="B7579" i="1"/>
  <c r="A7580" i="1"/>
  <c r="B7580" i="1"/>
  <c r="A7581" i="1"/>
  <c r="B7581" i="1"/>
  <c r="A7582" i="1"/>
  <c r="B7582" i="1"/>
  <c r="A7583" i="1"/>
  <c r="B7583" i="1"/>
  <c r="A7584" i="1"/>
  <c r="B7584" i="1"/>
  <c r="A7585" i="1"/>
  <c r="B7585" i="1"/>
  <c r="A7586" i="1"/>
  <c r="B7586" i="1"/>
  <c r="A7587" i="1"/>
  <c r="B7587" i="1"/>
  <c r="A7588" i="1"/>
  <c r="B7588" i="1"/>
  <c r="A7589" i="1"/>
  <c r="B7589" i="1"/>
  <c r="A7590" i="1"/>
  <c r="B7590" i="1"/>
  <c r="A7591" i="1"/>
  <c r="B7591" i="1"/>
  <c r="A7592" i="1"/>
  <c r="B7592" i="1"/>
  <c r="A7593" i="1"/>
  <c r="B7593" i="1"/>
  <c r="A7594" i="1"/>
  <c r="B7594" i="1"/>
  <c r="A7595" i="1"/>
  <c r="B7595" i="1"/>
  <c r="A7596" i="1"/>
  <c r="B7596" i="1"/>
  <c r="A7597" i="1"/>
  <c r="B7597" i="1"/>
  <c r="A7598" i="1"/>
  <c r="B7598" i="1"/>
  <c r="A7599" i="1"/>
  <c r="B7599" i="1"/>
  <c r="A7600" i="1"/>
  <c r="B7600" i="1"/>
  <c r="A7601" i="1"/>
  <c r="B7601" i="1"/>
  <c r="A7602" i="1"/>
  <c r="B7602" i="1"/>
  <c r="A7603" i="1"/>
  <c r="B7603" i="1"/>
  <c r="A7604" i="1"/>
  <c r="B7604" i="1"/>
  <c r="A7605" i="1"/>
  <c r="B7605" i="1"/>
  <c r="A7606" i="1"/>
  <c r="B7606" i="1"/>
  <c r="A7607" i="1"/>
  <c r="B7607" i="1"/>
  <c r="A7608" i="1"/>
  <c r="B7608" i="1"/>
  <c r="A7609" i="1"/>
  <c r="B7609" i="1"/>
  <c r="A7610" i="1"/>
  <c r="B7610" i="1"/>
  <c r="A7611" i="1"/>
  <c r="B7611" i="1"/>
  <c r="A7612" i="1"/>
  <c r="B7612" i="1"/>
  <c r="A7613" i="1"/>
  <c r="B7613" i="1"/>
  <c r="A7614" i="1"/>
  <c r="B7614" i="1"/>
  <c r="A7615" i="1"/>
  <c r="B7615" i="1"/>
  <c r="A7616" i="1"/>
  <c r="B7616" i="1"/>
  <c r="A7617" i="1"/>
  <c r="B7617" i="1"/>
  <c r="A7618" i="1"/>
  <c r="B7618" i="1"/>
  <c r="A7619" i="1"/>
  <c r="B7619" i="1"/>
  <c r="A7620" i="1"/>
  <c r="B7620" i="1"/>
  <c r="A7621" i="1"/>
  <c r="B7621" i="1"/>
  <c r="A7622" i="1"/>
  <c r="B7622" i="1"/>
  <c r="A7623" i="1"/>
  <c r="B7623" i="1"/>
  <c r="A7624" i="1"/>
  <c r="B7624" i="1"/>
  <c r="A7625" i="1"/>
  <c r="B7625" i="1"/>
  <c r="A7626" i="1"/>
  <c r="B7626" i="1"/>
  <c r="A7627" i="1"/>
  <c r="B7627" i="1"/>
  <c r="A7628" i="1"/>
  <c r="B7628" i="1"/>
  <c r="A7629" i="1"/>
  <c r="B7629" i="1"/>
  <c r="A7630" i="1"/>
  <c r="B7630" i="1"/>
  <c r="A7631" i="1"/>
  <c r="B7631" i="1"/>
  <c r="A7632" i="1"/>
  <c r="B7632" i="1"/>
  <c r="A7633" i="1"/>
  <c r="B7633" i="1"/>
  <c r="A7634" i="1"/>
  <c r="B7634" i="1"/>
  <c r="A7635" i="1"/>
  <c r="B7635" i="1"/>
  <c r="A7636" i="1"/>
  <c r="B7636" i="1"/>
  <c r="A7637" i="1"/>
  <c r="B7637" i="1"/>
  <c r="A7638" i="1"/>
  <c r="B7638" i="1"/>
  <c r="A7639" i="1"/>
  <c r="B7639" i="1"/>
  <c r="A7640" i="1"/>
  <c r="B7640" i="1"/>
  <c r="A7641" i="1"/>
  <c r="B7641" i="1"/>
  <c r="A7642" i="1"/>
  <c r="B7642" i="1"/>
  <c r="A7643" i="1"/>
  <c r="B7643" i="1"/>
  <c r="A7644" i="1"/>
  <c r="B7644" i="1"/>
  <c r="A7645" i="1"/>
  <c r="B7645" i="1"/>
  <c r="A7646" i="1"/>
  <c r="B7646" i="1"/>
  <c r="A7647" i="1"/>
  <c r="B7647" i="1"/>
  <c r="A7648" i="1"/>
  <c r="B7648" i="1"/>
  <c r="A7649" i="1"/>
  <c r="B7649" i="1"/>
  <c r="A7650" i="1"/>
  <c r="B7650" i="1"/>
  <c r="A7651" i="1"/>
  <c r="B7651" i="1"/>
  <c r="A7652" i="1"/>
  <c r="B7652" i="1"/>
  <c r="A7653" i="1"/>
  <c r="B7653" i="1"/>
  <c r="A7654" i="1"/>
  <c r="B7654" i="1"/>
  <c r="A7655" i="1"/>
  <c r="B7655" i="1"/>
  <c r="A7656" i="1"/>
  <c r="B7656" i="1"/>
  <c r="A7657" i="1"/>
  <c r="B7657" i="1"/>
  <c r="A7658" i="1"/>
  <c r="B7658" i="1"/>
  <c r="A7659" i="1"/>
  <c r="B7659" i="1"/>
  <c r="A7660" i="1"/>
  <c r="B7660" i="1"/>
  <c r="A7661" i="1"/>
  <c r="B7661" i="1"/>
  <c r="A7662" i="1"/>
  <c r="B7662" i="1"/>
  <c r="A7663" i="1"/>
  <c r="B7663" i="1"/>
  <c r="A7664" i="1"/>
  <c r="B7664" i="1"/>
  <c r="A7665" i="1"/>
  <c r="B7665" i="1"/>
  <c r="A7666" i="1"/>
  <c r="B7666" i="1"/>
  <c r="A7667" i="1"/>
  <c r="B7667" i="1"/>
  <c r="A7668" i="1"/>
  <c r="B7668" i="1"/>
  <c r="A7669" i="1"/>
  <c r="B7669" i="1"/>
  <c r="A7670" i="1"/>
  <c r="B7670" i="1"/>
  <c r="A7671" i="1"/>
  <c r="B7671" i="1"/>
  <c r="A7672" i="1"/>
  <c r="B7672" i="1"/>
  <c r="A7673" i="1"/>
  <c r="B7673" i="1"/>
  <c r="A7674" i="1"/>
  <c r="B7674" i="1"/>
  <c r="A7675" i="1"/>
  <c r="B7675" i="1"/>
  <c r="A7676" i="1"/>
  <c r="B7676" i="1"/>
  <c r="A7677" i="1"/>
  <c r="B7677" i="1"/>
  <c r="A7678" i="1"/>
  <c r="B7678" i="1"/>
  <c r="A7679" i="1"/>
  <c r="B7679" i="1"/>
  <c r="A7680" i="1"/>
  <c r="B7680" i="1"/>
  <c r="A7681" i="1"/>
  <c r="B7681" i="1"/>
  <c r="A7682" i="1"/>
  <c r="B7682" i="1"/>
  <c r="A7683" i="1"/>
  <c r="B7683" i="1"/>
  <c r="A7684" i="1"/>
  <c r="B7684" i="1"/>
  <c r="A7685" i="1"/>
  <c r="B7685" i="1"/>
  <c r="A7686" i="1"/>
  <c r="B7686" i="1"/>
  <c r="A7687" i="1"/>
  <c r="B7687" i="1"/>
  <c r="A7688" i="1"/>
  <c r="B7688" i="1"/>
  <c r="A7689" i="1"/>
  <c r="B7689" i="1"/>
  <c r="A7690" i="1"/>
  <c r="B7690" i="1"/>
  <c r="A7691" i="1"/>
  <c r="B7691" i="1"/>
  <c r="A7692" i="1"/>
  <c r="B7692" i="1"/>
  <c r="A7693" i="1"/>
  <c r="B7693" i="1"/>
  <c r="A7694" i="1"/>
  <c r="B7694" i="1"/>
  <c r="A7695" i="1"/>
  <c r="B7695" i="1"/>
  <c r="A7696" i="1"/>
  <c r="B7696" i="1"/>
  <c r="A7697" i="1"/>
  <c r="B7697" i="1"/>
  <c r="A7698" i="1"/>
  <c r="B7698" i="1"/>
  <c r="A7699" i="1"/>
  <c r="B7699" i="1"/>
  <c r="A7700" i="1"/>
  <c r="B7700" i="1"/>
  <c r="A7701" i="1"/>
  <c r="B7701" i="1"/>
  <c r="A7702" i="1"/>
  <c r="B7702" i="1"/>
  <c r="A7703" i="1"/>
  <c r="B7703" i="1"/>
  <c r="A7704" i="1"/>
  <c r="B7704" i="1"/>
  <c r="A7705" i="1"/>
  <c r="B7705" i="1"/>
  <c r="A7706" i="1"/>
  <c r="B7706" i="1"/>
  <c r="A7707" i="1"/>
  <c r="B7707" i="1"/>
  <c r="A7708" i="1"/>
  <c r="B7708" i="1"/>
  <c r="A7709" i="1"/>
  <c r="B7709" i="1"/>
  <c r="A7710" i="1"/>
  <c r="B7710" i="1"/>
  <c r="A7711" i="1"/>
  <c r="B7711" i="1"/>
  <c r="A7712" i="1"/>
  <c r="B7712" i="1"/>
  <c r="A7713" i="1"/>
  <c r="B7713" i="1"/>
  <c r="A7714" i="1"/>
  <c r="B7714" i="1"/>
  <c r="A7715" i="1"/>
  <c r="B7715" i="1"/>
  <c r="A7716" i="1"/>
  <c r="B7716" i="1"/>
  <c r="A7717" i="1"/>
  <c r="B7717" i="1"/>
  <c r="A7718" i="1"/>
  <c r="B7718" i="1"/>
  <c r="A7719" i="1"/>
  <c r="B7719" i="1"/>
  <c r="A7720" i="1"/>
  <c r="B7720" i="1"/>
  <c r="A7721" i="1"/>
  <c r="B7721" i="1"/>
  <c r="A7722" i="1"/>
  <c r="B7722" i="1"/>
  <c r="A7723" i="1"/>
  <c r="B7723" i="1"/>
  <c r="A7724" i="1"/>
  <c r="B7724" i="1"/>
  <c r="A7725" i="1"/>
  <c r="B7725" i="1"/>
  <c r="A7726" i="1"/>
  <c r="B7726" i="1"/>
  <c r="A7727" i="1"/>
  <c r="B7727" i="1"/>
  <c r="A7728" i="1"/>
  <c r="B7728" i="1"/>
  <c r="A7729" i="1"/>
  <c r="B7729" i="1"/>
  <c r="A7730" i="1"/>
  <c r="B7730" i="1"/>
  <c r="A7731" i="1"/>
  <c r="B7731" i="1"/>
  <c r="A7732" i="1"/>
  <c r="B7732" i="1"/>
  <c r="A7733" i="1"/>
  <c r="B7733" i="1"/>
  <c r="A7734" i="1"/>
  <c r="B7734" i="1"/>
  <c r="A7735" i="1"/>
  <c r="B7735" i="1"/>
  <c r="A7736" i="1"/>
  <c r="B7736" i="1"/>
  <c r="A7737" i="1"/>
  <c r="B7737" i="1"/>
  <c r="A7738" i="1"/>
  <c r="B7738" i="1"/>
  <c r="A7739" i="1"/>
  <c r="B7739" i="1"/>
  <c r="A7740" i="1"/>
  <c r="B7740" i="1"/>
  <c r="A7741" i="1"/>
  <c r="B7741" i="1"/>
  <c r="A7742" i="1"/>
  <c r="B7742" i="1"/>
  <c r="A7743" i="1"/>
  <c r="B7743" i="1"/>
  <c r="A7744" i="1"/>
  <c r="B7744" i="1"/>
  <c r="A7745" i="1"/>
  <c r="B7745" i="1"/>
  <c r="A7746" i="1"/>
  <c r="B7746" i="1"/>
  <c r="A7747" i="1"/>
  <c r="B7747" i="1"/>
  <c r="A7748" i="1"/>
  <c r="B7748" i="1"/>
  <c r="A7749" i="1"/>
  <c r="B7749" i="1"/>
  <c r="A7750" i="1"/>
  <c r="B7750" i="1"/>
  <c r="A7751" i="1"/>
  <c r="B7751" i="1"/>
  <c r="A7752" i="1"/>
  <c r="B7752" i="1"/>
  <c r="A7753" i="1"/>
  <c r="B7753" i="1"/>
  <c r="A7754" i="1"/>
  <c r="B7754" i="1"/>
  <c r="A7755" i="1"/>
  <c r="B7755" i="1"/>
  <c r="A7756" i="1"/>
  <c r="B7756" i="1"/>
  <c r="A7757" i="1"/>
  <c r="B7757" i="1"/>
  <c r="A7758" i="1"/>
  <c r="B7758" i="1"/>
  <c r="A7759" i="1"/>
  <c r="B7759" i="1"/>
  <c r="A7760" i="1"/>
  <c r="B7760" i="1"/>
  <c r="A7761" i="1"/>
  <c r="B7761" i="1"/>
  <c r="A7762" i="1"/>
  <c r="B7762" i="1"/>
  <c r="A7763" i="1"/>
  <c r="B7763" i="1"/>
  <c r="A7764" i="1"/>
  <c r="B7764" i="1"/>
  <c r="A7765" i="1"/>
  <c r="B7765" i="1"/>
  <c r="A7766" i="1"/>
  <c r="B7766" i="1"/>
  <c r="A7767" i="1"/>
  <c r="B7767" i="1"/>
  <c r="A7768" i="1"/>
  <c r="B7768" i="1"/>
  <c r="A7769" i="1"/>
  <c r="B7769" i="1"/>
  <c r="A7770" i="1"/>
  <c r="B7770" i="1"/>
  <c r="A7771" i="1"/>
  <c r="B7771" i="1"/>
  <c r="A7772" i="1"/>
  <c r="B7772" i="1"/>
  <c r="A7773" i="1"/>
  <c r="B7773" i="1"/>
  <c r="A7774" i="1"/>
  <c r="B7774" i="1"/>
  <c r="A7775" i="1"/>
  <c r="B7775" i="1"/>
  <c r="A7776" i="1"/>
  <c r="B7776" i="1"/>
  <c r="A7777" i="1"/>
  <c r="B7777" i="1"/>
  <c r="A7778" i="1"/>
  <c r="B7778" i="1"/>
  <c r="A7779" i="1"/>
  <c r="B7779" i="1"/>
  <c r="A7780" i="1"/>
  <c r="B7780" i="1"/>
  <c r="A7781" i="1"/>
  <c r="B7781" i="1"/>
  <c r="A7782" i="1"/>
  <c r="B7782" i="1"/>
  <c r="A7783" i="1"/>
  <c r="B7783" i="1"/>
  <c r="A7784" i="1"/>
  <c r="B7784" i="1"/>
  <c r="A7785" i="1"/>
  <c r="B7785" i="1"/>
  <c r="A7786" i="1"/>
  <c r="B7786" i="1"/>
  <c r="A7787" i="1"/>
  <c r="B7787" i="1"/>
  <c r="A7788" i="1"/>
  <c r="B7788" i="1"/>
  <c r="A7789" i="1"/>
  <c r="B7789" i="1"/>
  <c r="A7790" i="1"/>
  <c r="B7790" i="1"/>
  <c r="A7791" i="1"/>
  <c r="B7791" i="1"/>
  <c r="A7792" i="1"/>
  <c r="B7792" i="1"/>
  <c r="A7793" i="1"/>
  <c r="B7793" i="1"/>
  <c r="A7794" i="1"/>
  <c r="B7794" i="1"/>
  <c r="A7795" i="1"/>
  <c r="B7795" i="1"/>
  <c r="A7796" i="1"/>
  <c r="B7796" i="1"/>
  <c r="A7797" i="1"/>
  <c r="B7797" i="1"/>
  <c r="A7798" i="1"/>
  <c r="B7798" i="1"/>
  <c r="A7799" i="1"/>
  <c r="B7799" i="1"/>
  <c r="A7800" i="1"/>
  <c r="B7800" i="1"/>
  <c r="A7801" i="1"/>
  <c r="B7801" i="1"/>
  <c r="A7802" i="1"/>
  <c r="B7802" i="1"/>
  <c r="A7803" i="1"/>
  <c r="B7803" i="1"/>
  <c r="A7804" i="1"/>
  <c r="B7804" i="1"/>
  <c r="A7805" i="1"/>
  <c r="B7805" i="1"/>
  <c r="A7806" i="1"/>
  <c r="B7806" i="1"/>
  <c r="A7807" i="1"/>
  <c r="B7807" i="1"/>
  <c r="A7808" i="1"/>
  <c r="B7808" i="1"/>
  <c r="A7809" i="1"/>
  <c r="B7809" i="1"/>
  <c r="A7810" i="1"/>
  <c r="B7810" i="1"/>
  <c r="A7811" i="1"/>
  <c r="B7811" i="1"/>
  <c r="A7812" i="1"/>
  <c r="B7812" i="1"/>
  <c r="A7813" i="1"/>
  <c r="B7813" i="1"/>
  <c r="A7814" i="1"/>
  <c r="B7814" i="1"/>
  <c r="A7815" i="1"/>
  <c r="B7815" i="1"/>
  <c r="A7816" i="1"/>
  <c r="B7816" i="1"/>
  <c r="A7817" i="1"/>
  <c r="B7817" i="1"/>
  <c r="A7818" i="1"/>
  <c r="B7818" i="1"/>
  <c r="A7819" i="1"/>
  <c r="B7819" i="1"/>
  <c r="A7820" i="1"/>
  <c r="B7820" i="1"/>
  <c r="A7821" i="1"/>
  <c r="B7821" i="1"/>
  <c r="A7822" i="1"/>
  <c r="B7822" i="1"/>
  <c r="A7823" i="1"/>
  <c r="B7823" i="1"/>
  <c r="A7824" i="1"/>
  <c r="B7824" i="1"/>
  <c r="A7825" i="1"/>
  <c r="B7825" i="1"/>
  <c r="A7826" i="1"/>
  <c r="B7826" i="1"/>
  <c r="A7827" i="1"/>
  <c r="B7827" i="1"/>
  <c r="A7828" i="1"/>
  <c r="B7828" i="1"/>
  <c r="A7829" i="1"/>
  <c r="B7829" i="1"/>
  <c r="A7830" i="1"/>
  <c r="B7830" i="1"/>
  <c r="A7831" i="1"/>
  <c r="B7831" i="1"/>
  <c r="A7832" i="1"/>
  <c r="B7832" i="1"/>
  <c r="A7833" i="1"/>
  <c r="B7833" i="1"/>
  <c r="A7834" i="1"/>
  <c r="B7834" i="1"/>
  <c r="A7835" i="1"/>
  <c r="B7835" i="1"/>
  <c r="A7836" i="1"/>
  <c r="B7836" i="1"/>
  <c r="A7837" i="1"/>
  <c r="B7837" i="1"/>
  <c r="A7838" i="1"/>
  <c r="B7838" i="1"/>
  <c r="A7839" i="1"/>
  <c r="B7839" i="1"/>
  <c r="A7840" i="1"/>
  <c r="B7840" i="1"/>
  <c r="A7841" i="1"/>
  <c r="B7841" i="1"/>
  <c r="A7842" i="1"/>
  <c r="B7842" i="1"/>
  <c r="A7843" i="1"/>
  <c r="B7843" i="1"/>
  <c r="A7844" i="1"/>
  <c r="B7844" i="1"/>
  <c r="A7845" i="1"/>
  <c r="B7845" i="1"/>
  <c r="A7846" i="1"/>
  <c r="B7846" i="1"/>
  <c r="A7847" i="1"/>
  <c r="B7847" i="1"/>
  <c r="A7848" i="1"/>
  <c r="B7848" i="1"/>
  <c r="A7849" i="1"/>
  <c r="B7849" i="1"/>
  <c r="A7850" i="1"/>
  <c r="B7850" i="1"/>
  <c r="A7851" i="1"/>
  <c r="B7851" i="1"/>
  <c r="A7852" i="1"/>
  <c r="B7852" i="1"/>
  <c r="A7853" i="1"/>
  <c r="B7853" i="1"/>
  <c r="A7854" i="1"/>
  <c r="B7854" i="1"/>
  <c r="A7855" i="1"/>
  <c r="B7855" i="1"/>
  <c r="A7856" i="1"/>
  <c r="B7856" i="1"/>
  <c r="A7857" i="1"/>
  <c r="B7857" i="1"/>
  <c r="A7858" i="1"/>
  <c r="B7858" i="1"/>
  <c r="A7859" i="1"/>
  <c r="B7859" i="1"/>
  <c r="A7860" i="1"/>
  <c r="B7860" i="1"/>
  <c r="A7861" i="1"/>
  <c r="B7861" i="1"/>
  <c r="A7862" i="1"/>
  <c r="B7862" i="1"/>
  <c r="A7863" i="1"/>
  <c r="B7863" i="1"/>
  <c r="A7864" i="1"/>
  <c r="B7864" i="1"/>
  <c r="A7865" i="1"/>
  <c r="B7865" i="1"/>
  <c r="A7866" i="1"/>
  <c r="B7866" i="1"/>
  <c r="A7867" i="1"/>
  <c r="B7867" i="1"/>
  <c r="A7868" i="1"/>
  <c r="B7868" i="1"/>
  <c r="A7869" i="1"/>
  <c r="B7869" i="1"/>
  <c r="A7870" i="1"/>
  <c r="B7870" i="1"/>
  <c r="A7871" i="1"/>
  <c r="B7871" i="1"/>
  <c r="A7872" i="1"/>
  <c r="B7872" i="1"/>
  <c r="A7873" i="1"/>
  <c r="B7873" i="1"/>
  <c r="A7874" i="1"/>
  <c r="B7874" i="1"/>
  <c r="A7875" i="1"/>
  <c r="B7875" i="1"/>
  <c r="A7876" i="1"/>
  <c r="B7876" i="1"/>
  <c r="A7877" i="1"/>
  <c r="B7877" i="1"/>
  <c r="A7878" i="1"/>
  <c r="B7878" i="1"/>
  <c r="A7879" i="1"/>
  <c r="B7879" i="1"/>
  <c r="A7880" i="1"/>
  <c r="B7880" i="1"/>
  <c r="A7881" i="1"/>
  <c r="B7881" i="1"/>
  <c r="A7882" i="1"/>
  <c r="B7882" i="1"/>
  <c r="A7883" i="1"/>
  <c r="B7883" i="1"/>
  <c r="A7884" i="1"/>
  <c r="B7884" i="1"/>
  <c r="A7885" i="1"/>
  <c r="B7885" i="1"/>
  <c r="A7886" i="1"/>
  <c r="B7886" i="1"/>
  <c r="A7887" i="1"/>
  <c r="B7887" i="1"/>
  <c r="A7888" i="1"/>
  <c r="B7888" i="1"/>
  <c r="A7889" i="1"/>
  <c r="B7889" i="1"/>
  <c r="A7890" i="1"/>
  <c r="B7890" i="1"/>
  <c r="A7891" i="1"/>
  <c r="B7891" i="1"/>
  <c r="A7892" i="1"/>
  <c r="B7892" i="1"/>
  <c r="A7893" i="1"/>
  <c r="B7893" i="1"/>
  <c r="A7894" i="1"/>
  <c r="B7894" i="1"/>
  <c r="A7895" i="1"/>
  <c r="B7895" i="1"/>
  <c r="A7896" i="1"/>
  <c r="B7896" i="1"/>
  <c r="A7897" i="1"/>
  <c r="B7897" i="1"/>
  <c r="A7898" i="1"/>
  <c r="B7898" i="1"/>
  <c r="A7899" i="1"/>
  <c r="B7899" i="1"/>
  <c r="A7900" i="1"/>
  <c r="B7900" i="1"/>
  <c r="A7901" i="1"/>
  <c r="B7901" i="1"/>
  <c r="A7902" i="1"/>
  <c r="B7902" i="1"/>
  <c r="A7903" i="1"/>
  <c r="B7903" i="1"/>
  <c r="A7904" i="1"/>
  <c r="B7904" i="1"/>
  <c r="A7905" i="1"/>
  <c r="B7905" i="1"/>
  <c r="A7906" i="1"/>
  <c r="B7906" i="1"/>
  <c r="A7907" i="1"/>
  <c r="B7907" i="1"/>
  <c r="A7908" i="1"/>
  <c r="B7908" i="1"/>
  <c r="A7909" i="1"/>
  <c r="B7909" i="1"/>
  <c r="A7910" i="1"/>
  <c r="B7910" i="1"/>
  <c r="A7911" i="1"/>
  <c r="B7911" i="1"/>
  <c r="A7912" i="1"/>
  <c r="B7912" i="1"/>
  <c r="A7913" i="1"/>
  <c r="B7913" i="1"/>
  <c r="A7914" i="1"/>
  <c r="B7914" i="1"/>
  <c r="A7915" i="1"/>
  <c r="B7915" i="1"/>
  <c r="A7916" i="1"/>
  <c r="B7916" i="1"/>
  <c r="A7917" i="1"/>
  <c r="B7917" i="1"/>
  <c r="A7918" i="1"/>
  <c r="B7918" i="1"/>
  <c r="A7919" i="1"/>
  <c r="B7919" i="1"/>
  <c r="A7920" i="1"/>
  <c r="B7920" i="1"/>
  <c r="A7921" i="1"/>
  <c r="B7921" i="1"/>
  <c r="A7922" i="1"/>
  <c r="B7922" i="1"/>
  <c r="A7923" i="1"/>
  <c r="B7923" i="1"/>
  <c r="A7924" i="1"/>
  <c r="B7924" i="1"/>
  <c r="A7925" i="1"/>
  <c r="B7925" i="1"/>
  <c r="A7926" i="1"/>
  <c r="B7926" i="1"/>
  <c r="A7927" i="1"/>
  <c r="B7927" i="1"/>
  <c r="A7928" i="1"/>
  <c r="B7928" i="1"/>
  <c r="A7929" i="1"/>
  <c r="B7929" i="1"/>
  <c r="A7930" i="1"/>
  <c r="B7930" i="1"/>
  <c r="A7931" i="1"/>
  <c r="B7931" i="1"/>
  <c r="A7932" i="1"/>
  <c r="B7932" i="1"/>
  <c r="A7933" i="1"/>
  <c r="B7933" i="1"/>
  <c r="A7934" i="1"/>
  <c r="B7934" i="1"/>
  <c r="A7935" i="1"/>
  <c r="B7935" i="1"/>
  <c r="A7936" i="1"/>
  <c r="B7936" i="1"/>
  <c r="A7937" i="1"/>
  <c r="B7937" i="1"/>
  <c r="A7938" i="1"/>
  <c r="B7938" i="1"/>
  <c r="A7939" i="1"/>
  <c r="B7939" i="1"/>
  <c r="A7940" i="1"/>
  <c r="B7940" i="1"/>
  <c r="A7941" i="1"/>
  <c r="B7941" i="1"/>
  <c r="A7942" i="1"/>
  <c r="B7942" i="1"/>
  <c r="A7943" i="1"/>
  <c r="B7943" i="1"/>
  <c r="A7944" i="1"/>
  <c r="B7944" i="1"/>
  <c r="A7945" i="1"/>
  <c r="B7945" i="1"/>
  <c r="A7946" i="1"/>
  <c r="B7946" i="1"/>
  <c r="A7947" i="1"/>
  <c r="B7947" i="1"/>
  <c r="A7948" i="1"/>
  <c r="B7948" i="1"/>
  <c r="A7949" i="1"/>
  <c r="B7949" i="1"/>
  <c r="A7950" i="1"/>
  <c r="B7950" i="1"/>
  <c r="A7951" i="1"/>
  <c r="B7951" i="1"/>
  <c r="A7952" i="1"/>
  <c r="B7952" i="1"/>
  <c r="A7953" i="1"/>
  <c r="B7953" i="1"/>
  <c r="A7954" i="1"/>
  <c r="B7954" i="1"/>
  <c r="A7955" i="1"/>
  <c r="B7955" i="1"/>
  <c r="A7956" i="1"/>
  <c r="B7956" i="1"/>
  <c r="A7957" i="1"/>
  <c r="B7957" i="1"/>
  <c r="A7958" i="1"/>
  <c r="B7958" i="1"/>
  <c r="A7959" i="1"/>
  <c r="B7959" i="1"/>
  <c r="A7960" i="1"/>
  <c r="B7960" i="1"/>
  <c r="A7961" i="1"/>
  <c r="B7961" i="1"/>
  <c r="A7962" i="1"/>
  <c r="B7962" i="1"/>
  <c r="A7963" i="1"/>
  <c r="B7963" i="1"/>
  <c r="A7964" i="1"/>
  <c r="B7964" i="1"/>
  <c r="A7965" i="1"/>
  <c r="B7965" i="1"/>
  <c r="A7966" i="1"/>
  <c r="B7966" i="1"/>
  <c r="A7967" i="1"/>
  <c r="B7967" i="1"/>
  <c r="A7968" i="1"/>
  <c r="B7968" i="1"/>
  <c r="A7969" i="1"/>
  <c r="B7969" i="1"/>
  <c r="A7970" i="1"/>
  <c r="B7970" i="1"/>
  <c r="A7971" i="1"/>
  <c r="B7971" i="1"/>
  <c r="A7972" i="1"/>
  <c r="B7972" i="1"/>
  <c r="A7973" i="1"/>
  <c r="B7973" i="1"/>
  <c r="A7974" i="1"/>
  <c r="B7974" i="1"/>
  <c r="A7975" i="1"/>
  <c r="B7975" i="1"/>
  <c r="A7976" i="1"/>
  <c r="B7976" i="1"/>
  <c r="A7977" i="1"/>
  <c r="B7977" i="1"/>
  <c r="A7978" i="1"/>
  <c r="B7978" i="1"/>
  <c r="A7979" i="1"/>
  <c r="B7979" i="1"/>
  <c r="A7980" i="1"/>
  <c r="B7980" i="1"/>
  <c r="A7981" i="1"/>
  <c r="B7981" i="1"/>
  <c r="A7982" i="1"/>
  <c r="B7982" i="1"/>
  <c r="A7983" i="1"/>
  <c r="B7983" i="1"/>
  <c r="A7984" i="1"/>
  <c r="B7984" i="1"/>
  <c r="A7985" i="1"/>
  <c r="B7985" i="1"/>
  <c r="A7986" i="1"/>
  <c r="B7986" i="1"/>
  <c r="A7987" i="1"/>
  <c r="B7987" i="1"/>
  <c r="A7988" i="1"/>
  <c r="B7988" i="1"/>
  <c r="A7989" i="1"/>
  <c r="B7989" i="1"/>
  <c r="A7990" i="1"/>
  <c r="B7990" i="1"/>
  <c r="A7991" i="1"/>
  <c r="B7991" i="1"/>
  <c r="A7992" i="1"/>
  <c r="B7992" i="1"/>
  <c r="A7993" i="1"/>
  <c r="B7993" i="1"/>
  <c r="A7994" i="1"/>
  <c r="B7994" i="1"/>
  <c r="A7995" i="1"/>
  <c r="B7995" i="1"/>
  <c r="A7996" i="1"/>
  <c r="B7996" i="1"/>
  <c r="A7997" i="1"/>
  <c r="B7997" i="1"/>
  <c r="A7998" i="1"/>
  <c r="B7998" i="1"/>
  <c r="A7999" i="1"/>
  <c r="B7999" i="1"/>
  <c r="A8000" i="1"/>
  <c r="B8000" i="1"/>
  <c r="A8001" i="1"/>
  <c r="B8001" i="1"/>
  <c r="A8002" i="1"/>
  <c r="B8002" i="1"/>
  <c r="A8003" i="1"/>
  <c r="B8003" i="1"/>
  <c r="A8004" i="1"/>
  <c r="B8004" i="1"/>
  <c r="A8005" i="1"/>
  <c r="B8005" i="1"/>
  <c r="A8006" i="1"/>
  <c r="B8006" i="1"/>
  <c r="A8007" i="1"/>
  <c r="B8007" i="1"/>
  <c r="A8008" i="1"/>
  <c r="B8008" i="1"/>
  <c r="A8009" i="1"/>
  <c r="B8009" i="1"/>
  <c r="A8010" i="1"/>
  <c r="B8010" i="1"/>
  <c r="A8011" i="1"/>
  <c r="B8011" i="1"/>
  <c r="A8012" i="1"/>
  <c r="B8012" i="1"/>
  <c r="A8013" i="1"/>
  <c r="B8013" i="1"/>
  <c r="A8014" i="1"/>
  <c r="B8014" i="1"/>
  <c r="A8015" i="1"/>
  <c r="B8015" i="1"/>
  <c r="A8016" i="1"/>
  <c r="B8016" i="1"/>
  <c r="A8017" i="1"/>
  <c r="B8017" i="1"/>
  <c r="A8018" i="1"/>
  <c r="B8018" i="1"/>
  <c r="A8019" i="1"/>
  <c r="B8019" i="1"/>
  <c r="A8020" i="1"/>
  <c r="B8020" i="1"/>
  <c r="A8021" i="1"/>
  <c r="B8021" i="1"/>
  <c r="A8022" i="1"/>
  <c r="B8022" i="1"/>
  <c r="A8023" i="1"/>
  <c r="B8023" i="1"/>
  <c r="A8024" i="1"/>
  <c r="B8024" i="1"/>
  <c r="A8025" i="1"/>
  <c r="B8025" i="1"/>
  <c r="A8026" i="1"/>
  <c r="B8026" i="1"/>
  <c r="A8027" i="1"/>
  <c r="B8027" i="1"/>
  <c r="A8028" i="1"/>
  <c r="B8028" i="1"/>
  <c r="A8029" i="1"/>
  <c r="B8029" i="1"/>
  <c r="A8030" i="1"/>
  <c r="B8030" i="1"/>
  <c r="A8031" i="1"/>
  <c r="B8031" i="1"/>
  <c r="A8032" i="1"/>
  <c r="B8032" i="1"/>
  <c r="A8033" i="1"/>
  <c r="B8033" i="1"/>
  <c r="A8034" i="1"/>
  <c r="B8034" i="1"/>
  <c r="A8035" i="1"/>
  <c r="B8035" i="1"/>
  <c r="A8036" i="1"/>
  <c r="B8036" i="1"/>
  <c r="A8037" i="1"/>
  <c r="B8037" i="1"/>
  <c r="A8038" i="1"/>
  <c r="B8038" i="1"/>
  <c r="A8039" i="1"/>
  <c r="B8039" i="1"/>
  <c r="A8040" i="1"/>
  <c r="B8040" i="1"/>
  <c r="A8041" i="1"/>
  <c r="B8041" i="1"/>
  <c r="A8042" i="1"/>
  <c r="B8042" i="1"/>
  <c r="A8043" i="1"/>
  <c r="B8043" i="1"/>
  <c r="A8044" i="1"/>
  <c r="B8044" i="1"/>
  <c r="A8045" i="1"/>
  <c r="B8045" i="1"/>
  <c r="A8046" i="1"/>
  <c r="B8046" i="1"/>
  <c r="A8047" i="1"/>
  <c r="B8047" i="1"/>
  <c r="A8048" i="1"/>
  <c r="B8048" i="1"/>
  <c r="A8049" i="1"/>
  <c r="B8049" i="1"/>
  <c r="A8050" i="1"/>
  <c r="B8050" i="1"/>
  <c r="A8051" i="1"/>
  <c r="B8051" i="1"/>
  <c r="A8052" i="1"/>
  <c r="B8052" i="1"/>
  <c r="A8053" i="1"/>
  <c r="B8053" i="1"/>
  <c r="A8054" i="1"/>
  <c r="B8054" i="1"/>
  <c r="A8055" i="1"/>
  <c r="B8055" i="1"/>
  <c r="A8056" i="1"/>
  <c r="B8056" i="1"/>
  <c r="A8057" i="1"/>
  <c r="B8057" i="1"/>
  <c r="A8058" i="1"/>
  <c r="B8058" i="1"/>
  <c r="A8059" i="1"/>
  <c r="B8059" i="1"/>
  <c r="A8060" i="1"/>
  <c r="B8060" i="1"/>
  <c r="A8061" i="1"/>
  <c r="B8061" i="1"/>
  <c r="A8062" i="1"/>
  <c r="B8062" i="1"/>
  <c r="A8063" i="1"/>
  <c r="B8063" i="1"/>
  <c r="A8064" i="1"/>
  <c r="B8064" i="1"/>
  <c r="A8065" i="1"/>
  <c r="B8065" i="1"/>
  <c r="A8066" i="1"/>
  <c r="B8066" i="1"/>
  <c r="A8067" i="1"/>
  <c r="B8067" i="1"/>
  <c r="A8068" i="1"/>
  <c r="B8068" i="1"/>
  <c r="A8069" i="1"/>
  <c r="B8069" i="1"/>
  <c r="A8070" i="1"/>
  <c r="B8070" i="1"/>
  <c r="A8071" i="1"/>
  <c r="B8071" i="1"/>
  <c r="A8072" i="1"/>
  <c r="B8072" i="1"/>
  <c r="A8073" i="1"/>
  <c r="B8073" i="1"/>
  <c r="A8074" i="1"/>
  <c r="B8074" i="1"/>
  <c r="A8075" i="1"/>
  <c r="B8075" i="1"/>
  <c r="A8076" i="1"/>
  <c r="B8076" i="1"/>
  <c r="A8077" i="1"/>
  <c r="B8077" i="1"/>
  <c r="A8078" i="1"/>
  <c r="B8078" i="1"/>
  <c r="A8079" i="1"/>
  <c r="B8079" i="1"/>
  <c r="A8080" i="1"/>
  <c r="B8080" i="1"/>
  <c r="A8081" i="1"/>
  <c r="B8081" i="1"/>
  <c r="A8082" i="1"/>
  <c r="B8082" i="1"/>
  <c r="A8083" i="1"/>
  <c r="B8083" i="1"/>
  <c r="A8084" i="1"/>
  <c r="B8084" i="1"/>
  <c r="A8085" i="1"/>
  <c r="B8085" i="1"/>
  <c r="A8086" i="1"/>
  <c r="B8086" i="1"/>
  <c r="A8087" i="1"/>
  <c r="B8087" i="1"/>
  <c r="A8088" i="1"/>
  <c r="B8088" i="1"/>
  <c r="A8089" i="1"/>
  <c r="B8089" i="1"/>
  <c r="A8090" i="1"/>
  <c r="B8090" i="1"/>
  <c r="A8091" i="1"/>
  <c r="B8091" i="1"/>
  <c r="A8092" i="1"/>
  <c r="B8092" i="1"/>
  <c r="A8093" i="1"/>
  <c r="B8093" i="1"/>
  <c r="A8094" i="1"/>
  <c r="B8094" i="1"/>
  <c r="A8095" i="1"/>
  <c r="B8095" i="1"/>
  <c r="A8096" i="1"/>
  <c r="B8096" i="1"/>
  <c r="A8097" i="1"/>
  <c r="B8097" i="1"/>
  <c r="A8098" i="1"/>
  <c r="B8098" i="1"/>
  <c r="A8099" i="1"/>
  <c r="B8099" i="1"/>
  <c r="A8100" i="1"/>
  <c r="B8100" i="1"/>
  <c r="A8101" i="1"/>
  <c r="B8101" i="1"/>
  <c r="A8102" i="1"/>
  <c r="B8102" i="1"/>
  <c r="A8103" i="1"/>
  <c r="B8103" i="1"/>
  <c r="A8104" i="1"/>
  <c r="B8104" i="1"/>
  <c r="A8105" i="1"/>
  <c r="B8105" i="1"/>
  <c r="A8106" i="1"/>
  <c r="B8106" i="1"/>
  <c r="A8107" i="1"/>
  <c r="B8107" i="1"/>
  <c r="A8108" i="1"/>
  <c r="B8108" i="1"/>
  <c r="A8109" i="1"/>
  <c r="B8109" i="1"/>
  <c r="A8110" i="1"/>
  <c r="B8110" i="1"/>
  <c r="A8111" i="1"/>
  <c r="B8111" i="1"/>
  <c r="A8112" i="1"/>
  <c r="B8112" i="1"/>
  <c r="A8113" i="1"/>
  <c r="B8113" i="1"/>
  <c r="A8114" i="1"/>
  <c r="B8114" i="1"/>
  <c r="A8115" i="1"/>
  <c r="B8115" i="1"/>
  <c r="A8116" i="1"/>
  <c r="B8116" i="1"/>
  <c r="A8117" i="1"/>
  <c r="B8117" i="1"/>
  <c r="A8118" i="1"/>
  <c r="B8118" i="1"/>
  <c r="A8119" i="1"/>
  <c r="B8119" i="1"/>
  <c r="A8120" i="1"/>
  <c r="B8120" i="1"/>
  <c r="A8121" i="1"/>
  <c r="B8121" i="1"/>
  <c r="A8122" i="1"/>
  <c r="B8122" i="1"/>
  <c r="A8123" i="1"/>
  <c r="B8123" i="1"/>
  <c r="A8124" i="1"/>
  <c r="B8124" i="1"/>
  <c r="A8125" i="1"/>
  <c r="B8125" i="1"/>
  <c r="A8126" i="1"/>
  <c r="B8126" i="1"/>
  <c r="A8127" i="1"/>
  <c r="B8127" i="1"/>
  <c r="A8128" i="1"/>
  <c r="B8128" i="1"/>
  <c r="A8129" i="1"/>
  <c r="B8129" i="1"/>
  <c r="A8130" i="1"/>
  <c r="B8130" i="1"/>
  <c r="A8131" i="1"/>
  <c r="B8131" i="1"/>
  <c r="A8132" i="1"/>
  <c r="B8132" i="1"/>
  <c r="A8133" i="1"/>
  <c r="B8133" i="1"/>
  <c r="A8134" i="1"/>
  <c r="B8134" i="1"/>
  <c r="A8135" i="1"/>
  <c r="B8135" i="1"/>
  <c r="A8136" i="1"/>
  <c r="B8136" i="1"/>
  <c r="A8137" i="1"/>
  <c r="B8137" i="1"/>
  <c r="A8138" i="1"/>
  <c r="B8138" i="1"/>
  <c r="A8139" i="1"/>
  <c r="B8139" i="1"/>
  <c r="A8140" i="1"/>
  <c r="B8140" i="1"/>
  <c r="A8141" i="1"/>
  <c r="B8141" i="1"/>
  <c r="A8142" i="1"/>
  <c r="B8142" i="1"/>
  <c r="A8143" i="1"/>
  <c r="B8143" i="1"/>
  <c r="A8144" i="1"/>
  <c r="B8144" i="1"/>
  <c r="A8145" i="1"/>
  <c r="B8145" i="1"/>
  <c r="A8146" i="1"/>
  <c r="B8146" i="1"/>
  <c r="A8147" i="1"/>
  <c r="B8147" i="1"/>
  <c r="A8148" i="1"/>
  <c r="B8148" i="1"/>
  <c r="A8149" i="1"/>
  <c r="B8149" i="1"/>
  <c r="A8150" i="1"/>
  <c r="B8150" i="1"/>
  <c r="A8151" i="1"/>
  <c r="B8151" i="1"/>
  <c r="A8152" i="1"/>
  <c r="B8152" i="1"/>
  <c r="A8153" i="1"/>
  <c r="B8153" i="1"/>
  <c r="A8154" i="1"/>
  <c r="B8154" i="1"/>
  <c r="A8155" i="1"/>
  <c r="B8155" i="1"/>
  <c r="A8156" i="1"/>
  <c r="B8156" i="1"/>
  <c r="A8157" i="1"/>
  <c r="B8157" i="1"/>
  <c r="A8158" i="1"/>
  <c r="B8158" i="1"/>
  <c r="A8159" i="1"/>
  <c r="B8159" i="1"/>
  <c r="A8160" i="1"/>
  <c r="B8160" i="1"/>
  <c r="A8161" i="1"/>
  <c r="B8161" i="1"/>
  <c r="A8162" i="1"/>
  <c r="B8162" i="1"/>
  <c r="A8163" i="1"/>
  <c r="B8163" i="1"/>
  <c r="A8164" i="1"/>
  <c r="B8164" i="1"/>
  <c r="A8165" i="1"/>
  <c r="B8165" i="1"/>
  <c r="A8166" i="1"/>
  <c r="B8166" i="1"/>
  <c r="A8167" i="1"/>
  <c r="B8167" i="1"/>
  <c r="A8168" i="1"/>
  <c r="B8168" i="1"/>
  <c r="A8169" i="1"/>
  <c r="B8169" i="1"/>
  <c r="A8170" i="1"/>
  <c r="B8170" i="1"/>
  <c r="A8171" i="1"/>
  <c r="B8171" i="1"/>
  <c r="A8172" i="1"/>
  <c r="B8172" i="1"/>
  <c r="A8173" i="1"/>
  <c r="B8173" i="1"/>
  <c r="A8174" i="1"/>
  <c r="B8174" i="1"/>
  <c r="A8175" i="1"/>
  <c r="B8175" i="1"/>
  <c r="A8176" i="1"/>
  <c r="B8176" i="1"/>
  <c r="A8177" i="1"/>
  <c r="B8177" i="1"/>
  <c r="A8178" i="1"/>
  <c r="B8178" i="1"/>
  <c r="A8179" i="1"/>
  <c r="B8179" i="1"/>
  <c r="A8180" i="1"/>
  <c r="B8180" i="1"/>
  <c r="A8181" i="1"/>
  <c r="B8181" i="1"/>
  <c r="A8182" i="1"/>
  <c r="B8182" i="1"/>
  <c r="A8183" i="1"/>
  <c r="B8183" i="1"/>
  <c r="A8184" i="1"/>
  <c r="B8184" i="1"/>
  <c r="A8185" i="1"/>
  <c r="B8185" i="1"/>
  <c r="A8186" i="1"/>
  <c r="B8186" i="1"/>
  <c r="A8187" i="1"/>
  <c r="B8187" i="1"/>
  <c r="A8188" i="1"/>
  <c r="B8188" i="1"/>
  <c r="A8189" i="1"/>
  <c r="B8189" i="1"/>
  <c r="A8190" i="1"/>
  <c r="B8190" i="1"/>
  <c r="A8191" i="1"/>
  <c r="B8191" i="1"/>
  <c r="A8192" i="1"/>
  <c r="B8192" i="1"/>
  <c r="A8193" i="1"/>
  <c r="B8193" i="1"/>
  <c r="A8194" i="1"/>
  <c r="B8194" i="1"/>
  <c r="A8195" i="1"/>
  <c r="B8195" i="1"/>
  <c r="A8196" i="1"/>
  <c r="B8196" i="1"/>
  <c r="A8197" i="1"/>
  <c r="B8197" i="1"/>
  <c r="A8198" i="1"/>
  <c r="B8198" i="1"/>
  <c r="A8199" i="1"/>
  <c r="B8199" i="1"/>
  <c r="A8200" i="1"/>
  <c r="B8200" i="1"/>
  <c r="A8201" i="1"/>
  <c r="B8201" i="1"/>
  <c r="A8202" i="1"/>
  <c r="B8202" i="1"/>
  <c r="A8203" i="1"/>
  <c r="B8203" i="1"/>
  <c r="A8204" i="1"/>
  <c r="B8204" i="1"/>
  <c r="A8205" i="1"/>
  <c r="B8205" i="1"/>
  <c r="A8206" i="1"/>
  <c r="B8206" i="1"/>
  <c r="A8207" i="1"/>
  <c r="B8207" i="1"/>
  <c r="A8208" i="1"/>
  <c r="B8208" i="1"/>
  <c r="A8209" i="1"/>
  <c r="B8209" i="1"/>
  <c r="A8210" i="1"/>
  <c r="B8210" i="1"/>
  <c r="A8211" i="1"/>
  <c r="B8211" i="1"/>
  <c r="A8212" i="1"/>
  <c r="B8212" i="1"/>
  <c r="A8213" i="1"/>
  <c r="B8213" i="1"/>
  <c r="A8214" i="1"/>
  <c r="B8214" i="1"/>
  <c r="A8215" i="1"/>
  <c r="B8215" i="1"/>
  <c r="A8216" i="1"/>
  <c r="B8216" i="1"/>
  <c r="A8217" i="1"/>
  <c r="B8217" i="1"/>
  <c r="A8218" i="1"/>
  <c r="B8218" i="1"/>
  <c r="A8219" i="1"/>
  <c r="B8219" i="1"/>
  <c r="A8220" i="1"/>
  <c r="B8220" i="1"/>
  <c r="A8221" i="1"/>
  <c r="B8221" i="1"/>
  <c r="A8222" i="1"/>
  <c r="B8222" i="1"/>
  <c r="A8223" i="1"/>
  <c r="B8223" i="1"/>
  <c r="A8224" i="1"/>
  <c r="B8224" i="1"/>
  <c r="A8225" i="1"/>
  <c r="B8225" i="1"/>
  <c r="A8226" i="1"/>
  <c r="B8226" i="1"/>
  <c r="A8227" i="1"/>
  <c r="B8227" i="1"/>
  <c r="A8228" i="1"/>
  <c r="B8228" i="1"/>
  <c r="A8229" i="1"/>
  <c r="B8229" i="1"/>
  <c r="A8230" i="1"/>
  <c r="B8230" i="1"/>
  <c r="A8231" i="1"/>
  <c r="B8231" i="1"/>
  <c r="A8232" i="1"/>
  <c r="B8232" i="1"/>
  <c r="A8233" i="1"/>
  <c r="B8233" i="1"/>
  <c r="A8234" i="1"/>
  <c r="B8234" i="1"/>
  <c r="A8235" i="1"/>
  <c r="B8235" i="1"/>
  <c r="A8236" i="1"/>
  <c r="B8236" i="1"/>
  <c r="A8237" i="1"/>
  <c r="B8237" i="1"/>
  <c r="A8238" i="1"/>
  <c r="B8238" i="1"/>
  <c r="A8239" i="1"/>
  <c r="B8239" i="1"/>
  <c r="A8240" i="1"/>
  <c r="B8240" i="1"/>
  <c r="A8241" i="1"/>
  <c r="B8241" i="1"/>
  <c r="A8242" i="1"/>
  <c r="B8242" i="1"/>
  <c r="A8243" i="1"/>
  <c r="B8243" i="1"/>
  <c r="A8244" i="1"/>
  <c r="B8244" i="1"/>
  <c r="A8245" i="1"/>
  <c r="B8245" i="1"/>
  <c r="A8246" i="1"/>
  <c r="B8246" i="1"/>
  <c r="A8247" i="1"/>
  <c r="B8247" i="1"/>
  <c r="A8248" i="1"/>
  <c r="B8248" i="1"/>
  <c r="A8249" i="1"/>
  <c r="B8249" i="1"/>
  <c r="A8250" i="1"/>
  <c r="B8250" i="1"/>
  <c r="A8251" i="1"/>
  <c r="B8251" i="1"/>
  <c r="A8252" i="1"/>
  <c r="B8252" i="1"/>
  <c r="A8253" i="1"/>
  <c r="B8253" i="1"/>
  <c r="A8254" i="1"/>
  <c r="B8254" i="1"/>
  <c r="A8255" i="1"/>
  <c r="B8255" i="1"/>
  <c r="A8256" i="1"/>
  <c r="B8256" i="1"/>
  <c r="A8257" i="1"/>
  <c r="B8257" i="1"/>
  <c r="A8258" i="1"/>
  <c r="B8258" i="1"/>
  <c r="A8259" i="1"/>
  <c r="B8259" i="1"/>
  <c r="A8260" i="1"/>
  <c r="B8260" i="1"/>
  <c r="A8261" i="1"/>
  <c r="B8261" i="1"/>
  <c r="A8262" i="1"/>
  <c r="B8262" i="1"/>
  <c r="A8263" i="1"/>
  <c r="B8263" i="1"/>
  <c r="A8264" i="1"/>
  <c r="B8264" i="1"/>
  <c r="A8265" i="1"/>
  <c r="B8265" i="1"/>
  <c r="A8266" i="1"/>
  <c r="B8266" i="1"/>
  <c r="A8267" i="1"/>
  <c r="B8267" i="1"/>
  <c r="A8268" i="1"/>
  <c r="B8268" i="1"/>
  <c r="A8269" i="1"/>
  <c r="B8269" i="1"/>
  <c r="A8270" i="1"/>
  <c r="B8270" i="1"/>
  <c r="A8271" i="1"/>
  <c r="B8271" i="1"/>
  <c r="A8272" i="1"/>
  <c r="B8272" i="1"/>
  <c r="A8273" i="1"/>
  <c r="B8273" i="1"/>
  <c r="A8274" i="1"/>
  <c r="B8274" i="1"/>
  <c r="A8275" i="1"/>
  <c r="B8275" i="1"/>
  <c r="A8276" i="1"/>
  <c r="B8276" i="1"/>
  <c r="A8277" i="1"/>
  <c r="B8277" i="1"/>
  <c r="A8278" i="1"/>
  <c r="B8278" i="1"/>
  <c r="A8279" i="1"/>
  <c r="B8279" i="1"/>
  <c r="A8280" i="1"/>
  <c r="B8280" i="1"/>
  <c r="A8281" i="1"/>
  <c r="B8281" i="1"/>
  <c r="A8282" i="1"/>
  <c r="B8282" i="1"/>
  <c r="A8283" i="1"/>
  <c r="B8283" i="1"/>
  <c r="A8284" i="1"/>
  <c r="B8284" i="1"/>
  <c r="A8285" i="1"/>
  <c r="B8285" i="1"/>
  <c r="A8286" i="1"/>
  <c r="B8286" i="1"/>
  <c r="A8287" i="1"/>
  <c r="B8287" i="1"/>
  <c r="A8288" i="1"/>
  <c r="B8288" i="1"/>
  <c r="A8289" i="1"/>
  <c r="B8289" i="1"/>
  <c r="A8290" i="1"/>
  <c r="B8290" i="1"/>
  <c r="A8291" i="1"/>
  <c r="B8291" i="1"/>
  <c r="A8292" i="1"/>
  <c r="B8292" i="1"/>
  <c r="A8293" i="1"/>
  <c r="B8293" i="1"/>
  <c r="A8294" i="1"/>
  <c r="B8294" i="1"/>
  <c r="A8295" i="1"/>
  <c r="B8295" i="1"/>
  <c r="A8296" i="1"/>
  <c r="B8296" i="1"/>
  <c r="A8297" i="1"/>
  <c r="B8297" i="1"/>
  <c r="A8298" i="1"/>
  <c r="B8298" i="1"/>
  <c r="A8299" i="1"/>
  <c r="B8299" i="1"/>
  <c r="A8300" i="1"/>
  <c r="B8300" i="1"/>
  <c r="A8301" i="1"/>
  <c r="B8301" i="1"/>
  <c r="A8302" i="1"/>
  <c r="B8302" i="1"/>
  <c r="A8303" i="1"/>
  <c r="B8303" i="1"/>
  <c r="A8304" i="1"/>
  <c r="B8304" i="1"/>
  <c r="A8305" i="1"/>
  <c r="B8305" i="1"/>
  <c r="A8306" i="1"/>
  <c r="B8306" i="1"/>
  <c r="A8307" i="1"/>
  <c r="B8307" i="1"/>
  <c r="A8308" i="1"/>
  <c r="B8308" i="1"/>
  <c r="A8309" i="1"/>
  <c r="B8309" i="1"/>
  <c r="A8310" i="1"/>
  <c r="B8310" i="1"/>
  <c r="A8311" i="1"/>
  <c r="B8311" i="1"/>
  <c r="A8312" i="1"/>
  <c r="B8312" i="1"/>
  <c r="A8313" i="1"/>
  <c r="B8313" i="1"/>
  <c r="A8314" i="1"/>
  <c r="B8314" i="1"/>
  <c r="A8315" i="1"/>
  <c r="B8315" i="1"/>
  <c r="A8316" i="1"/>
  <c r="B8316" i="1"/>
  <c r="A8317" i="1"/>
  <c r="B8317" i="1"/>
  <c r="A8318" i="1"/>
  <c r="B8318" i="1"/>
  <c r="A8319" i="1"/>
  <c r="B8319" i="1"/>
  <c r="A8320" i="1"/>
  <c r="B8320" i="1"/>
  <c r="A8321" i="1"/>
  <c r="B8321" i="1"/>
  <c r="A8322" i="1"/>
  <c r="B8322" i="1"/>
  <c r="A8323" i="1"/>
  <c r="B8323" i="1"/>
  <c r="A8324" i="1"/>
  <c r="B8324" i="1"/>
  <c r="A8325" i="1"/>
  <c r="B8325" i="1"/>
  <c r="A8326" i="1"/>
  <c r="B8326" i="1"/>
  <c r="A8327" i="1"/>
  <c r="B8327" i="1"/>
  <c r="A8328" i="1"/>
  <c r="B8328" i="1"/>
  <c r="A8329" i="1"/>
  <c r="B8329" i="1"/>
  <c r="A8330" i="1"/>
  <c r="B8330" i="1"/>
  <c r="A8331" i="1"/>
  <c r="B8331" i="1"/>
  <c r="A8332" i="1"/>
  <c r="B8332" i="1"/>
  <c r="A8333" i="1"/>
  <c r="B8333" i="1"/>
  <c r="A8334" i="1"/>
  <c r="B8334" i="1"/>
  <c r="A8335" i="1"/>
  <c r="B8335" i="1"/>
  <c r="A8336" i="1"/>
  <c r="B8336" i="1"/>
  <c r="A8337" i="1"/>
  <c r="B8337" i="1"/>
  <c r="A8338" i="1"/>
  <c r="B8338" i="1"/>
  <c r="A8339" i="1"/>
  <c r="B8339" i="1"/>
  <c r="A8340" i="1"/>
  <c r="B8340" i="1"/>
  <c r="A8341" i="1"/>
  <c r="B8341" i="1"/>
  <c r="A8342" i="1"/>
  <c r="B8342" i="1"/>
  <c r="A8343" i="1"/>
  <c r="B8343" i="1"/>
  <c r="A8344" i="1"/>
  <c r="B8344" i="1"/>
  <c r="A8345" i="1"/>
  <c r="B8345" i="1"/>
  <c r="A8346" i="1"/>
  <c r="B8346" i="1"/>
  <c r="A8347" i="1"/>
  <c r="B8347" i="1"/>
  <c r="A8348" i="1"/>
  <c r="B8348" i="1"/>
  <c r="A8349" i="1"/>
  <c r="B8349" i="1"/>
  <c r="A8350" i="1"/>
  <c r="B8350" i="1"/>
  <c r="A8351" i="1"/>
  <c r="B8351" i="1"/>
  <c r="A8352" i="1"/>
  <c r="B8352" i="1"/>
  <c r="A8353" i="1"/>
  <c r="B8353" i="1"/>
  <c r="A8354" i="1"/>
  <c r="B8354" i="1"/>
  <c r="A8355" i="1"/>
  <c r="B8355" i="1"/>
  <c r="A8356" i="1"/>
  <c r="B8356" i="1"/>
  <c r="A8357" i="1"/>
  <c r="B8357" i="1"/>
  <c r="A8358" i="1"/>
  <c r="B8358" i="1"/>
  <c r="A8359" i="1"/>
  <c r="B8359" i="1"/>
  <c r="A8360" i="1"/>
  <c r="B8360" i="1"/>
  <c r="A8361" i="1"/>
  <c r="B8361" i="1"/>
  <c r="A8362" i="1"/>
  <c r="B8362" i="1"/>
  <c r="A8363" i="1"/>
  <c r="B8363" i="1"/>
  <c r="A8364" i="1"/>
  <c r="B8364" i="1"/>
  <c r="A8365" i="1"/>
  <c r="B8365" i="1"/>
  <c r="A8366" i="1"/>
  <c r="B8366" i="1"/>
  <c r="A8367" i="1"/>
  <c r="B8367" i="1"/>
  <c r="A8368" i="1"/>
  <c r="B8368" i="1"/>
  <c r="A8369" i="1"/>
  <c r="B8369" i="1"/>
  <c r="A8370" i="1"/>
  <c r="B8370" i="1"/>
  <c r="A8371" i="1"/>
  <c r="B8371" i="1"/>
  <c r="A8372" i="1"/>
  <c r="B8372" i="1"/>
  <c r="A8373" i="1"/>
  <c r="B8373" i="1"/>
  <c r="A8374" i="1"/>
  <c r="B8374" i="1"/>
  <c r="A8375" i="1"/>
  <c r="B8375" i="1"/>
  <c r="A8376" i="1"/>
  <c r="B8376" i="1"/>
  <c r="A8377" i="1"/>
  <c r="B8377" i="1"/>
  <c r="A8378" i="1"/>
  <c r="B8378" i="1"/>
  <c r="A8379" i="1"/>
  <c r="B8379" i="1"/>
  <c r="A8380" i="1"/>
  <c r="B8380" i="1"/>
  <c r="A8381" i="1"/>
  <c r="B8381" i="1"/>
  <c r="A8382" i="1"/>
  <c r="B8382" i="1"/>
  <c r="A8383" i="1"/>
  <c r="B8383" i="1"/>
  <c r="A8384" i="1"/>
  <c r="B8384" i="1"/>
  <c r="A8385" i="1"/>
  <c r="B8385" i="1"/>
  <c r="A8386" i="1"/>
  <c r="B8386" i="1"/>
  <c r="A8387" i="1"/>
  <c r="B8387" i="1"/>
  <c r="A8388" i="1"/>
  <c r="B8388" i="1"/>
  <c r="A8389" i="1"/>
  <c r="B8389" i="1"/>
  <c r="A8390" i="1"/>
  <c r="B8390" i="1"/>
  <c r="A8391" i="1"/>
  <c r="B8391" i="1"/>
  <c r="A8392" i="1"/>
  <c r="B8392" i="1"/>
  <c r="A8393" i="1"/>
  <c r="B8393" i="1"/>
  <c r="A8394" i="1"/>
  <c r="B8394" i="1"/>
  <c r="A8395" i="1"/>
  <c r="B8395" i="1"/>
  <c r="A8396" i="1"/>
  <c r="B8396" i="1"/>
  <c r="A8397" i="1"/>
  <c r="B8397" i="1"/>
  <c r="A8398" i="1"/>
  <c r="B8398" i="1"/>
  <c r="A8399" i="1"/>
  <c r="B8399" i="1"/>
  <c r="A8400" i="1"/>
  <c r="B8400" i="1"/>
  <c r="A8401" i="1"/>
  <c r="B8401" i="1"/>
  <c r="A8402" i="1"/>
  <c r="B8402" i="1"/>
  <c r="A8403" i="1"/>
  <c r="B8403" i="1"/>
  <c r="A8404" i="1"/>
  <c r="B8404" i="1"/>
  <c r="A8405" i="1"/>
  <c r="B8405" i="1"/>
  <c r="A8406" i="1"/>
  <c r="B8406" i="1"/>
  <c r="A8407" i="1"/>
  <c r="B8407" i="1"/>
  <c r="A8408" i="1"/>
  <c r="B8408" i="1"/>
  <c r="A8409" i="1"/>
  <c r="B8409" i="1"/>
  <c r="A8410" i="1"/>
  <c r="B8410" i="1"/>
  <c r="A8411" i="1"/>
  <c r="B8411" i="1"/>
  <c r="A8412" i="1"/>
  <c r="B8412" i="1"/>
  <c r="A8413" i="1"/>
  <c r="B8413" i="1"/>
  <c r="A8414" i="1"/>
  <c r="B8414" i="1"/>
  <c r="A8415" i="1"/>
  <c r="B8415" i="1"/>
  <c r="A8416" i="1"/>
  <c r="B8416" i="1"/>
  <c r="A8417" i="1"/>
  <c r="B8417" i="1"/>
  <c r="A8418" i="1"/>
  <c r="B8418" i="1"/>
  <c r="A8419" i="1"/>
  <c r="B8419" i="1"/>
  <c r="A8420" i="1"/>
  <c r="B8420" i="1"/>
  <c r="A8421" i="1"/>
  <c r="B8421" i="1"/>
  <c r="A8422" i="1"/>
  <c r="B8422" i="1"/>
  <c r="A8423" i="1"/>
  <c r="B8423" i="1"/>
  <c r="A8424" i="1"/>
  <c r="B8424" i="1"/>
  <c r="A8425" i="1"/>
  <c r="B8425" i="1"/>
  <c r="A8426" i="1"/>
  <c r="B8426" i="1"/>
  <c r="A8427" i="1"/>
  <c r="B8427" i="1"/>
  <c r="A8428" i="1"/>
  <c r="B8428" i="1"/>
  <c r="A8429" i="1"/>
  <c r="B8429" i="1"/>
  <c r="A8430" i="1"/>
  <c r="B8430" i="1"/>
  <c r="A8431" i="1"/>
  <c r="B8431" i="1"/>
  <c r="A8432" i="1"/>
  <c r="B8432" i="1"/>
  <c r="A8433" i="1"/>
  <c r="B8433" i="1"/>
  <c r="A8434" i="1"/>
  <c r="B8434" i="1"/>
  <c r="A8435" i="1"/>
  <c r="B8435" i="1"/>
  <c r="A8436" i="1"/>
  <c r="B8436" i="1"/>
  <c r="A8437" i="1"/>
  <c r="B8437" i="1"/>
  <c r="A8438" i="1"/>
  <c r="B8438" i="1"/>
  <c r="A8439" i="1"/>
  <c r="B8439" i="1"/>
  <c r="A8440" i="1"/>
  <c r="B8440" i="1"/>
  <c r="A8441" i="1"/>
  <c r="B8441" i="1"/>
  <c r="A8442" i="1"/>
  <c r="B8442" i="1"/>
  <c r="A8443" i="1"/>
  <c r="B8443" i="1"/>
  <c r="A8444" i="1"/>
  <c r="B8444" i="1"/>
  <c r="A8445" i="1"/>
  <c r="B8445" i="1"/>
  <c r="A8446" i="1"/>
  <c r="B8446" i="1"/>
  <c r="A8447" i="1"/>
  <c r="B8447" i="1"/>
  <c r="A8448" i="1"/>
  <c r="B8448" i="1"/>
  <c r="A8449" i="1"/>
  <c r="B8449" i="1"/>
  <c r="A8450" i="1"/>
  <c r="B8450" i="1"/>
  <c r="A8451" i="1"/>
  <c r="B8451" i="1"/>
  <c r="A8452" i="1"/>
  <c r="B8452" i="1"/>
  <c r="A8453" i="1"/>
  <c r="B8453" i="1"/>
  <c r="A8454" i="1"/>
  <c r="B8454" i="1"/>
  <c r="A8455" i="1"/>
  <c r="B8455" i="1"/>
  <c r="A8456" i="1"/>
  <c r="B8456" i="1"/>
  <c r="A8457" i="1"/>
  <c r="B8457" i="1"/>
  <c r="A8458" i="1"/>
  <c r="B8458" i="1"/>
  <c r="A8459" i="1"/>
  <c r="B8459" i="1"/>
  <c r="A8460" i="1"/>
  <c r="B8460" i="1"/>
  <c r="A8461" i="1"/>
  <c r="B8461" i="1"/>
  <c r="A8462" i="1"/>
  <c r="B8462" i="1"/>
  <c r="A8463" i="1"/>
  <c r="B8463" i="1"/>
  <c r="A8464" i="1"/>
  <c r="B8464" i="1"/>
  <c r="A8465" i="1"/>
  <c r="B8465" i="1"/>
  <c r="A8466" i="1"/>
  <c r="B8466" i="1"/>
  <c r="A8467" i="1"/>
  <c r="B8467" i="1"/>
  <c r="A8468" i="1"/>
  <c r="B8468" i="1"/>
  <c r="A8469" i="1"/>
  <c r="B8469" i="1"/>
  <c r="A8470" i="1"/>
  <c r="B8470" i="1"/>
  <c r="A8471" i="1"/>
  <c r="B8471" i="1"/>
  <c r="A8472" i="1"/>
  <c r="B8472" i="1"/>
  <c r="A8473" i="1"/>
  <c r="B8473" i="1"/>
  <c r="A8474" i="1"/>
  <c r="B8474" i="1"/>
  <c r="A8475" i="1"/>
  <c r="B8475" i="1"/>
  <c r="A8476" i="1"/>
  <c r="B8476" i="1"/>
  <c r="A8477" i="1"/>
  <c r="B8477" i="1"/>
  <c r="A8478" i="1"/>
  <c r="B8478" i="1"/>
  <c r="A8479" i="1"/>
  <c r="B8479" i="1"/>
  <c r="A8480" i="1"/>
  <c r="B8480" i="1"/>
  <c r="A8481" i="1"/>
  <c r="B8481" i="1"/>
  <c r="A8482" i="1"/>
  <c r="B8482" i="1"/>
  <c r="A8483" i="1"/>
  <c r="B8483" i="1"/>
  <c r="A8484" i="1"/>
  <c r="B8484" i="1"/>
  <c r="A8485" i="1"/>
  <c r="B8485" i="1"/>
  <c r="A8486" i="1"/>
  <c r="B8486" i="1"/>
  <c r="A8487" i="1"/>
  <c r="B8487" i="1"/>
  <c r="A8488" i="1"/>
  <c r="B8488" i="1"/>
  <c r="A8489" i="1"/>
  <c r="B8489" i="1"/>
  <c r="A8490" i="1"/>
  <c r="B8490" i="1"/>
  <c r="A8491" i="1"/>
  <c r="B8491" i="1"/>
  <c r="A8492" i="1"/>
  <c r="B8492" i="1"/>
  <c r="A8493" i="1"/>
  <c r="B8493" i="1"/>
  <c r="A8494" i="1"/>
  <c r="B8494" i="1"/>
  <c r="A8495" i="1"/>
  <c r="B8495" i="1"/>
  <c r="A8496" i="1"/>
  <c r="B8496" i="1"/>
  <c r="A8497" i="1"/>
  <c r="B8497" i="1"/>
  <c r="A8498" i="1"/>
  <c r="B8498" i="1"/>
  <c r="A8499" i="1"/>
  <c r="B8499" i="1"/>
  <c r="A8500" i="1"/>
  <c r="B8500" i="1"/>
  <c r="A8501" i="1"/>
  <c r="B8501" i="1"/>
  <c r="A8502" i="1"/>
  <c r="B8502" i="1"/>
  <c r="A8503" i="1"/>
  <c r="B8503" i="1"/>
  <c r="A8504" i="1"/>
  <c r="B8504" i="1"/>
  <c r="A8505" i="1"/>
  <c r="B8505" i="1"/>
  <c r="A8506" i="1"/>
  <c r="B8506" i="1"/>
  <c r="A8507" i="1"/>
  <c r="B8507" i="1"/>
  <c r="A8508" i="1"/>
  <c r="B8508" i="1"/>
  <c r="A8509" i="1"/>
  <c r="B8509" i="1"/>
  <c r="A8510" i="1"/>
  <c r="B8510" i="1"/>
  <c r="A8511" i="1"/>
  <c r="B8511" i="1"/>
  <c r="A8512" i="1"/>
  <c r="B8512" i="1"/>
  <c r="A8513" i="1"/>
  <c r="B8513" i="1"/>
  <c r="A8514" i="1"/>
  <c r="B8514" i="1"/>
  <c r="A8515" i="1"/>
  <c r="B8515" i="1"/>
  <c r="A8516" i="1"/>
  <c r="B8516" i="1"/>
  <c r="A8517" i="1"/>
  <c r="B8517" i="1"/>
  <c r="A8518" i="1"/>
  <c r="B8518" i="1"/>
  <c r="A8519" i="1"/>
  <c r="B8519" i="1"/>
  <c r="A8520" i="1"/>
  <c r="B8520" i="1"/>
  <c r="A8521" i="1"/>
  <c r="B8521" i="1"/>
  <c r="A8522" i="1"/>
  <c r="B8522" i="1"/>
  <c r="A8523" i="1"/>
  <c r="B8523" i="1"/>
  <c r="A8524" i="1"/>
  <c r="B8524" i="1"/>
  <c r="A8525" i="1"/>
  <c r="B8525" i="1"/>
  <c r="A8526" i="1"/>
  <c r="B8526" i="1"/>
  <c r="A8527" i="1"/>
  <c r="B8527" i="1"/>
  <c r="A8528" i="1"/>
  <c r="B8528" i="1"/>
  <c r="A8529" i="1"/>
  <c r="B8529" i="1"/>
  <c r="A8530" i="1"/>
  <c r="B8530" i="1"/>
  <c r="A8531" i="1"/>
  <c r="B8531" i="1"/>
  <c r="A8532" i="1"/>
  <c r="B8532" i="1"/>
  <c r="A8533" i="1"/>
  <c r="B8533" i="1"/>
  <c r="A8534" i="1"/>
  <c r="B8534" i="1"/>
  <c r="A8535" i="1"/>
  <c r="B8535" i="1"/>
  <c r="A8536" i="1"/>
  <c r="B8536" i="1"/>
  <c r="A8537" i="1"/>
  <c r="B8537" i="1"/>
  <c r="A8538" i="1"/>
  <c r="B8538" i="1"/>
  <c r="A8539" i="1"/>
  <c r="B8539" i="1"/>
  <c r="A8540" i="1"/>
  <c r="B8540" i="1"/>
  <c r="A8541" i="1"/>
  <c r="B8541" i="1"/>
  <c r="A8542" i="1"/>
  <c r="B8542" i="1"/>
  <c r="A8543" i="1"/>
  <c r="B8543" i="1"/>
  <c r="A8544" i="1"/>
  <c r="B8544" i="1"/>
  <c r="A8545" i="1"/>
  <c r="B8545" i="1"/>
  <c r="A8546" i="1"/>
  <c r="B8546" i="1"/>
  <c r="A8547" i="1"/>
  <c r="B8547" i="1"/>
  <c r="A8548" i="1"/>
  <c r="B8548" i="1"/>
  <c r="A8549" i="1"/>
  <c r="B8549" i="1"/>
  <c r="A8550" i="1"/>
  <c r="B8550" i="1"/>
  <c r="A8551" i="1"/>
  <c r="B8551" i="1"/>
  <c r="A8552" i="1"/>
  <c r="B8552" i="1"/>
  <c r="A8553" i="1"/>
  <c r="B8553" i="1"/>
  <c r="A8554" i="1"/>
  <c r="B8554" i="1"/>
  <c r="A8555" i="1"/>
  <c r="B8555" i="1"/>
  <c r="A8556" i="1"/>
  <c r="B8556" i="1"/>
  <c r="A8557" i="1"/>
  <c r="B8557" i="1"/>
  <c r="A8558" i="1"/>
  <c r="B8558" i="1"/>
  <c r="A8559" i="1"/>
  <c r="B8559" i="1"/>
  <c r="A8560" i="1"/>
  <c r="B8560" i="1"/>
  <c r="A8561" i="1"/>
  <c r="B8561" i="1"/>
  <c r="A8562" i="1"/>
  <c r="B8562" i="1"/>
  <c r="A8563" i="1"/>
  <c r="B8563" i="1"/>
  <c r="A8564" i="1"/>
  <c r="B8564" i="1"/>
  <c r="A8565" i="1"/>
  <c r="B8565" i="1"/>
  <c r="A8566" i="1"/>
  <c r="B8566" i="1"/>
  <c r="A8567" i="1"/>
  <c r="B8567" i="1"/>
  <c r="A8568" i="1"/>
  <c r="B8568" i="1"/>
  <c r="A8569" i="1"/>
  <c r="B8569" i="1"/>
  <c r="A8570" i="1"/>
  <c r="B8570" i="1"/>
  <c r="A8571" i="1"/>
  <c r="B8571" i="1"/>
  <c r="A8572" i="1"/>
  <c r="B8572" i="1"/>
  <c r="A8573" i="1"/>
  <c r="B8573" i="1"/>
  <c r="A8574" i="1"/>
  <c r="B8574" i="1"/>
  <c r="A8575" i="1"/>
  <c r="B8575" i="1"/>
  <c r="A8576" i="1"/>
  <c r="B8576" i="1"/>
  <c r="A8577" i="1"/>
  <c r="B8577" i="1"/>
  <c r="A8578" i="1"/>
  <c r="B8578" i="1"/>
  <c r="A8579" i="1"/>
  <c r="B8579" i="1"/>
  <c r="A8580" i="1"/>
  <c r="B8580" i="1"/>
  <c r="A8581" i="1"/>
  <c r="B8581" i="1"/>
  <c r="A8582" i="1"/>
  <c r="B8582" i="1"/>
  <c r="A8583" i="1"/>
  <c r="B8583" i="1"/>
  <c r="A8584" i="1"/>
  <c r="B8584" i="1"/>
  <c r="A8585" i="1"/>
  <c r="B8585" i="1"/>
  <c r="A8586" i="1"/>
  <c r="B8586" i="1"/>
  <c r="A8587" i="1"/>
  <c r="B8587" i="1"/>
  <c r="A8588" i="1"/>
  <c r="B8588" i="1"/>
  <c r="A8589" i="1"/>
  <c r="B8589" i="1"/>
  <c r="A8590" i="1"/>
  <c r="B8590" i="1"/>
  <c r="A8591" i="1"/>
  <c r="B8591" i="1"/>
  <c r="A8592" i="1"/>
  <c r="B8592" i="1"/>
  <c r="A8593" i="1"/>
  <c r="B8593" i="1"/>
  <c r="A8594" i="1"/>
  <c r="B8594" i="1"/>
  <c r="A8595" i="1"/>
  <c r="B8595" i="1"/>
  <c r="A8596" i="1"/>
  <c r="B8596" i="1"/>
  <c r="A8597" i="1"/>
  <c r="B8597" i="1"/>
  <c r="A8598" i="1"/>
  <c r="B8598" i="1"/>
  <c r="A8599" i="1"/>
  <c r="B8599" i="1"/>
  <c r="A8600" i="1"/>
  <c r="B8600" i="1"/>
  <c r="A8601" i="1"/>
  <c r="B8601" i="1"/>
  <c r="A8602" i="1"/>
  <c r="B8602" i="1"/>
  <c r="A8603" i="1"/>
  <c r="B8603" i="1"/>
  <c r="A8604" i="1"/>
  <c r="B8604" i="1"/>
  <c r="A8605" i="1"/>
  <c r="B8605" i="1"/>
  <c r="A8606" i="1"/>
  <c r="B8606" i="1"/>
  <c r="A8607" i="1"/>
  <c r="B8607" i="1"/>
  <c r="A8608" i="1"/>
  <c r="B8608" i="1"/>
  <c r="A8609" i="1"/>
  <c r="B8609" i="1"/>
  <c r="A8610" i="1"/>
  <c r="B8610" i="1"/>
  <c r="A8611" i="1"/>
  <c r="B8611" i="1"/>
  <c r="A8612" i="1"/>
  <c r="B8612" i="1"/>
  <c r="A8613" i="1"/>
  <c r="B8613" i="1"/>
  <c r="A8614" i="1"/>
  <c r="B8614" i="1"/>
  <c r="A8615" i="1"/>
  <c r="B8615" i="1"/>
  <c r="A8616" i="1"/>
  <c r="B8616" i="1"/>
  <c r="A8617" i="1"/>
  <c r="B8617" i="1"/>
  <c r="A8618" i="1"/>
  <c r="B8618" i="1"/>
  <c r="A8619" i="1"/>
  <c r="B8619" i="1"/>
  <c r="A8620" i="1"/>
  <c r="B8620" i="1"/>
  <c r="A8621" i="1"/>
  <c r="B8621" i="1"/>
  <c r="A8622" i="1"/>
  <c r="B8622" i="1"/>
  <c r="A8623" i="1"/>
  <c r="B8623" i="1"/>
  <c r="A8624" i="1"/>
  <c r="B8624" i="1"/>
  <c r="A8625" i="1"/>
  <c r="B8625" i="1"/>
  <c r="A8626" i="1"/>
  <c r="B8626" i="1"/>
  <c r="A8627" i="1"/>
  <c r="B8627" i="1"/>
  <c r="A8628" i="1"/>
  <c r="B8628" i="1"/>
  <c r="A8629" i="1"/>
  <c r="B8629" i="1"/>
  <c r="A8630" i="1"/>
  <c r="B8630" i="1"/>
  <c r="A8631" i="1"/>
  <c r="B8631" i="1"/>
  <c r="A8632" i="1"/>
  <c r="B8632" i="1"/>
  <c r="A8633" i="1"/>
  <c r="B8633" i="1"/>
  <c r="A8634" i="1"/>
  <c r="B8634" i="1"/>
  <c r="A8635" i="1"/>
  <c r="B8635" i="1"/>
  <c r="A8636" i="1"/>
  <c r="B8636" i="1"/>
  <c r="A8637" i="1"/>
  <c r="B8637" i="1"/>
  <c r="A8638" i="1"/>
  <c r="B8638" i="1"/>
  <c r="A8639" i="1"/>
  <c r="B8639" i="1"/>
  <c r="A8640" i="1"/>
  <c r="B8640" i="1"/>
  <c r="A8641" i="1"/>
  <c r="B8641" i="1"/>
  <c r="A8642" i="1"/>
  <c r="B8642" i="1"/>
  <c r="A8643" i="1"/>
  <c r="B8643" i="1"/>
  <c r="A8644" i="1"/>
  <c r="B8644" i="1"/>
  <c r="A8645" i="1"/>
  <c r="B8645" i="1"/>
  <c r="A8646" i="1"/>
  <c r="B8646" i="1"/>
  <c r="A8647" i="1"/>
  <c r="B8647" i="1"/>
  <c r="A8648" i="1"/>
  <c r="B8648" i="1"/>
  <c r="A8649" i="1"/>
  <c r="B8649" i="1"/>
  <c r="A8650" i="1"/>
  <c r="B8650" i="1"/>
  <c r="A8651" i="1"/>
  <c r="B8651" i="1"/>
  <c r="A8652" i="1"/>
  <c r="B8652" i="1"/>
  <c r="A8653" i="1"/>
  <c r="B8653" i="1"/>
  <c r="A8654" i="1"/>
  <c r="B8654" i="1"/>
  <c r="A8655" i="1"/>
  <c r="B8655" i="1"/>
  <c r="A8656" i="1"/>
  <c r="B8656" i="1"/>
  <c r="A8657" i="1"/>
  <c r="B8657" i="1"/>
  <c r="A8658" i="1"/>
  <c r="B8658" i="1"/>
  <c r="A8659" i="1"/>
  <c r="B8659" i="1"/>
  <c r="A8660" i="1"/>
  <c r="B8660" i="1"/>
  <c r="A8661" i="1"/>
  <c r="B8661" i="1"/>
  <c r="A8662" i="1"/>
  <c r="B8662" i="1"/>
  <c r="A8663" i="1"/>
  <c r="B8663" i="1"/>
  <c r="A8664" i="1"/>
  <c r="B8664" i="1"/>
  <c r="A8665" i="1"/>
  <c r="B8665" i="1"/>
  <c r="A8666" i="1"/>
  <c r="B8666" i="1"/>
  <c r="A8667" i="1"/>
  <c r="B8667" i="1"/>
  <c r="A8668" i="1"/>
  <c r="B8668" i="1"/>
  <c r="A8669" i="1"/>
  <c r="B8669" i="1"/>
  <c r="A8670" i="1"/>
  <c r="B8670" i="1"/>
  <c r="A8671" i="1"/>
  <c r="B8671" i="1"/>
  <c r="A8672" i="1"/>
  <c r="B8672" i="1"/>
  <c r="A8673" i="1"/>
  <c r="B8673" i="1"/>
  <c r="A8674" i="1"/>
  <c r="B8674" i="1"/>
  <c r="A8675" i="1"/>
  <c r="B8675" i="1"/>
  <c r="A8676" i="1"/>
  <c r="B8676" i="1"/>
  <c r="A8677" i="1"/>
  <c r="B8677" i="1"/>
  <c r="A8678" i="1"/>
  <c r="B8678" i="1"/>
  <c r="A8679" i="1"/>
  <c r="B8679" i="1"/>
  <c r="A8680" i="1"/>
  <c r="B8680" i="1"/>
  <c r="A8681" i="1"/>
  <c r="B8681" i="1"/>
  <c r="A8682" i="1"/>
  <c r="B8682" i="1"/>
  <c r="A8683" i="1"/>
  <c r="B8683" i="1"/>
  <c r="A8684" i="1"/>
  <c r="B8684" i="1"/>
  <c r="A8685" i="1"/>
  <c r="B8685" i="1"/>
  <c r="A8686" i="1"/>
  <c r="B8686" i="1"/>
  <c r="A8687" i="1"/>
  <c r="B8687" i="1"/>
  <c r="A8688" i="1"/>
  <c r="B8688" i="1"/>
  <c r="A8689" i="1"/>
  <c r="B8689" i="1"/>
  <c r="A8690" i="1"/>
  <c r="B8690" i="1"/>
  <c r="A8691" i="1"/>
  <c r="B8691" i="1"/>
  <c r="A8692" i="1"/>
  <c r="B8692" i="1"/>
  <c r="A8693" i="1"/>
  <c r="B8693" i="1"/>
  <c r="A8694" i="1"/>
  <c r="B8694" i="1"/>
  <c r="A8695" i="1"/>
  <c r="B8695" i="1"/>
  <c r="A8696" i="1"/>
  <c r="B8696" i="1"/>
  <c r="A8697" i="1"/>
  <c r="B8697" i="1"/>
  <c r="A8698" i="1"/>
  <c r="B8698" i="1"/>
  <c r="A8699" i="1"/>
  <c r="B8699" i="1"/>
  <c r="A8700" i="1"/>
  <c r="B8700" i="1"/>
  <c r="A8701" i="1"/>
  <c r="B8701" i="1"/>
  <c r="A8702" i="1"/>
  <c r="B8702" i="1"/>
  <c r="A8703" i="1"/>
  <c r="B8703" i="1"/>
  <c r="A8704" i="1"/>
  <c r="B8704" i="1"/>
  <c r="A8705" i="1"/>
  <c r="B8705" i="1"/>
  <c r="A8706" i="1"/>
  <c r="B8706" i="1"/>
  <c r="A8707" i="1"/>
  <c r="B8707" i="1"/>
  <c r="A8708" i="1"/>
  <c r="B8708" i="1"/>
  <c r="A8709" i="1"/>
  <c r="B8709" i="1"/>
  <c r="A8710" i="1"/>
  <c r="B8710" i="1"/>
  <c r="A8711" i="1"/>
  <c r="B8711" i="1"/>
  <c r="A8712" i="1"/>
  <c r="B8712" i="1"/>
  <c r="A8713" i="1"/>
  <c r="B8713" i="1"/>
  <c r="A8714" i="1"/>
  <c r="B8714" i="1"/>
  <c r="A8715" i="1"/>
  <c r="B8715" i="1"/>
  <c r="A8716" i="1"/>
  <c r="B8716" i="1"/>
  <c r="A8717" i="1"/>
  <c r="B8717" i="1"/>
  <c r="A8718" i="1"/>
  <c r="B8718" i="1"/>
  <c r="A8719" i="1"/>
  <c r="B8719" i="1"/>
  <c r="A8720" i="1"/>
  <c r="B8720" i="1"/>
  <c r="A8721" i="1"/>
  <c r="B8721" i="1"/>
  <c r="A8722" i="1"/>
  <c r="B8722" i="1"/>
  <c r="A8723" i="1"/>
  <c r="B8723" i="1"/>
  <c r="A8724" i="1"/>
  <c r="B8724" i="1"/>
  <c r="A8725" i="1"/>
  <c r="B8725" i="1"/>
  <c r="A8726" i="1"/>
  <c r="B8726" i="1"/>
  <c r="A8727" i="1"/>
  <c r="B8727" i="1"/>
  <c r="A8728" i="1"/>
  <c r="B8728" i="1"/>
  <c r="A8729" i="1"/>
  <c r="B8729" i="1"/>
  <c r="A8730" i="1"/>
  <c r="B8730" i="1"/>
  <c r="A8731" i="1"/>
  <c r="B8731" i="1"/>
  <c r="A8732" i="1"/>
  <c r="B8732" i="1"/>
  <c r="A8733" i="1"/>
  <c r="B8733" i="1"/>
  <c r="A8734" i="1"/>
  <c r="B8734" i="1"/>
  <c r="A8735" i="1"/>
  <c r="B8735" i="1"/>
  <c r="A8736" i="1"/>
  <c r="B8736" i="1"/>
  <c r="A8737" i="1"/>
  <c r="B8737" i="1"/>
  <c r="A8738" i="1"/>
  <c r="B8738" i="1"/>
  <c r="A8739" i="1"/>
  <c r="B8739" i="1"/>
  <c r="A8740" i="1"/>
  <c r="B8740" i="1"/>
  <c r="A8741" i="1"/>
  <c r="B8741" i="1"/>
  <c r="A8742" i="1"/>
  <c r="B8742" i="1"/>
  <c r="A8743" i="1"/>
  <c r="B8743" i="1"/>
  <c r="A8744" i="1"/>
  <c r="B8744" i="1"/>
  <c r="A8745" i="1"/>
  <c r="B8745" i="1"/>
  <c r="A8746" i="1"/>
  <c r="B8746" i="1"/>
  <c r="A8747" i="1"/>
  <c r="B8747" i="1"/>
  <c r="A8748" i="1"/>
  <c r="B8748" i="1"/>
  <c r="A8749" i="1"/>
  <c r="B8749" i="1"/>
  <c r="A8750" i="1"/>
  <c r="B8750" i="1"/>
  <c r="A8751" i="1"/>
  <c r="B8751" i="1"/>
  <c r="A8752" i="1"/>
  <c r="B8752" i="1"/>
  <c r="A8753" i="1"/>
  <c r="B8753" i="1"/>
  <c r="A8754" i="1"/>
  <c r="B8754" i="1"/>
  <c r="A8755" i="1"/>
  <c r="B8755" i="1"/>
  <c r="A8756" i="1"/>
  <c r="B8756" i="1"/>
  <c r="A8757" i="1"/>
  <c r="B8757" i="1"/>
  <c r="A8758" i="1"/>
  <c r="B8758" i="1"/>
  <c r="A8759" i="1"/>
  <c r="B8759" i="1"/>
  <c r="A8760" i="1"/>
  <c r="B8760" i="1"/>
  <c r="A8761" i="1"/>
  <c r="B8761" i="1"/>
  <c r="A8762" i="1"/>
  <c r="B8762" i="1"/>
  <c r="A8763" i="1"/>
  <c r="B8763" i="1"/>
  <c r="A8764" i="1"/>
  <c r="B8764" i="1"/>
  <c r="A8765" i="1"/>
  <c r="B8765" i="1"/>
  <c r="A8766" i="1"/>
  <c r="B8766" i="1"/>
  <c r="A8767" i="1"/>
  <c r="B8767" i="1"/>
  <c r="A8768" i="1"/>
  <c r="B8768" i="1"/>
  <c r="A8769" i="1"/>
  <c r="B8769" i="1"/>
  <c r="A8770" i="1"/>
  <c r="B8770" i="1"/>
  <c r="A8771" i="1"/>
  <c r="B8771" i="1"/>
  <c r="A8772" i="1"/>
  <c r="B8772" i="1"/>
  <c r="A8773" i="1"/>
  <c r="B8773" i="1"/>
  <c r="A8774" i="1"/>
  <c r="B8774" i="1"/>
  <c r="A8775" i="1"/>
  <c r="B8775" i="1"/>
  <c r="A8776" i="1"/>
  <c r="B8776" i="1"/>
  <c r="A8777" i="1"/>
  <c r="B8777" i="1"/>
  <c r="A8778" i="1"/>
  <c r="B8778" i="1"/>
  <c r="A8779" i="1"/>
  <c r="B8779" i="1"/>
  <c r="A8780" i="1"/>
  <c r="B8780" i="1"/>
  <c r="A8781" i="1"/>
  <c r="B8781" i="1"/>
  <c r="A8782" i="1"/>
  <c r="B8782" i="1"/>
  <c r="A8783" i="1"/>
  <c r="B8783" i="1"/>
  <c r="A8784" i="1"/>
  <c r="B8784" i="1"/>
  <c r="A8785" i="1"/>
  <c r="B8785" i="1"/>
  <c r="A8786" i="1"/>
  <c r="B8786" i="1"/>
  <c r="A8787" i="1"/>
  <c r="B8787" i="1"/>
  <c r="A8788" i="1"/>
  <c r="B8788" i="1"/>
  <c r="A8789" i="1"/>
  <c r="B8789" i="1"/>
  <c r="A8790" i="1"/>
  <c r="B8790" i="1"/>
  <c r="A8791" i="1"/>
  <c r="B8791" i="1"/>
  <c r="A8792" i="1"/>
  <c r="B8792" i="1"/>
  <c r="A8793" i="1"/>
  <c r="B8793" i="1"/>
  <c r="A8794" i="1"/>
  <c r="B8794" i="1"/>
  <c r="A8795" i="1"/>
  <c r="B8795" i="1"/>
  <c r="A8796" i="1"/>
  <c r="B8796" i="1"/>
  <c r="A8797" i="1"/>
  <c r="B8797" i="1"/>
  <c r="A8798" i="1"/>
  <c r="B8798" i="1"/>
  <c r="A8799" i="1"/>
  <c r="B8799" i="1"/>
  <c r="A8800" i="1"/>
  <c r="B8800" i="1"/>
  <c r="A8801" i="1"/>
  <c r="B8801" i="1"/>
  <c r="A8802" i="1"/>
  <c r="B8802" i="1"/>
  <c r="A8803" i="1"/>
  <c r="B8803" i="1"/>
  <c r="A8804" i="1"/>
  <c r="B8804" i="1"/>
  <c r="A8805" i="1"/>
  <c r="B8805" i="1"/>
  <c r="A8806" i="1"/>
  <c r="B8806" i="1"/>
  <c r="A8807" i="1"/>
  <c r="B8807" i="1"/>
  <c r="A8808" i="1"/>
  <c r="B8808" i="1"/>
  <c r="A8809" i="1"/>
  <c r="B8809" i="1"/>
  <c r="A8810" i="1"/>
  <c r="B8810" i="1"/>
  <c r="A8811" i="1"/>
  <c r="B8811" i="1"/>
  <c r="A8812" i="1"/>
  <c r="B8812" i="1"/>
  <c r="A8813" i="1"/>
  <c r="B8813" i="1"/>
  <c r="A8814" i="1"/>
  <c r="B8814" i="1"/>
  <c r="A8815" i="1"/>
  <c r="B8815" i="1"/>
  <c r="A8816" i="1"/>
  <c r="B8816" i="1"/>
  <c r="A8817" i="1"/>
  <c r="B8817" i="1"/>
  <c r="A8818" i="1"/>
  <c r="B8818" i="1"/>
  <c r="A8819" i="1"/>
  <c r="B8819" i="1"/>
  <c r="A8820" i="1"/>
  <c r="B8820" i="1"/>
  <c r="A8821" i="1"/>
  <c r="B8821" i="1"/>
  <c r="A8822" i="1"/>
  <c r="B8822" i="1"/>
  <c r="A8823" i="1"/>
  <c r="B8823" i="1"/>
  <c r="A8824" i="1"/>
  <c r="B8824" i="1"/>
  <c r="A8825" i="1"/>
  <c r="B8825" i="1"/>
  <c r="A8826" i="1"/>
  <c r="B8826" i="1"/>
  <c r="A8827" i="1"/>
  <c r="B8827" i="1"/>
  <c r="A8828" i="1"/>
  <c r="B8828" i="1"/>
  <c r="A8829" i="1"/>
  <c r="B8829" i="1"/>
  <c r="A8830" i="1"/>
  <c r="B8830" i="1"/>
  <c r="A8831" i="1"/>
  <c r="B8831" i="1"/>
  <c r="A8832" i="1"/>
  <c r="B8832" i="1"/>
  <c r="A8833" i="1"/>
  <c r="B8833" i="1"/>
  <c r="A8834" i="1"/>
  <c r="B8834" i="1"/>
  <c r="A8835" i="1"/>
  <c r="B8835" i="1"/>
  <c r="A8836" i="1"/>
  <c r="B8836" i="1"/>
  <c r="A8837" i="1"/>
  <c r="B8837" i="1"/>
  <c r="A8838" i="1"/>
  <c r="B8838" i="1"/>
  <c r="A8839" i="1"/>
  <c r="B8839" i="1"/>
  <c r="A8840" i="1"/>
  <c r="B8840" i="1"/>
  <c r="A8841" i="1"/>
  <c r="B8841" i="1"/>
  <c r="A8842" i="1"/>
  <c r="B8842" i="1"/>
  <c r="A8843" i="1"/>
  <c r="B8843" i="1"/>
  <c r="A8844" i="1"/>
  <c r="B8844" i="1"/>
  <c r="A8845" i="1"/>
  <c r="B8845" i="1"/>
  <c r="A8846" i="1"/>
  <c r="B8846" i="1"/>
  <c r="A8847" i="1"/>
  <c r="B8847" i="1"/>
  <c r="A8848" i="1"/>
  <c r="B8848" i="1"/>
  <c r="A8849" i="1"/>
  <c r="B8849" i="1"/>
  <c r="A8850" i="1"/>
  <c r="B8850" i="1"/>
  <c r="A8851" i="1"/>
  <c r="B8851" i="1"/>
  <c r="A8852" i="1"/>
  <c r="B8852" i="1"/>
  <c r="A8853" i="1"/>
  <c r="B8853" i="1"/>
  <c r="A8854" i="1"/>
  <c r="B8854" i="1"/>
  <c r="A8855" i="1"/>
  <c r="B8855" i="1"/>
  <c r="A8856" i="1"/>
  <c r="B8856" i="1"/>
  <c r="A8857" i="1"/>
  <c r="B8857" i="1"/>
  <c r="A8858" i="1"/>
  <c r="B8858" i="1"/>
  <c r="A8859" i="1"/>
  <c r="B8859" i="1"/>
  <c r="A8860" i="1"/>
  <c r="B8860" i="1"/>
  <c r="A8861" i="1"/>
  <c r="B8861" i="1"/>
  <c r="A8862" i="1"/>
  <c r="B8862" i="1"/>
  <c r="A8863" i="1"/>
  <c r="B8863" i="1"/>
  <c r="A8864" i="1"/>
  <c r="B8864" i="1"/>
  <c r="A8865" i="1"/>
  <c r="B8865" i="1"/>
  <c r="A8866" i="1"/>
  <c r="B8866" i="1"/>
  <c r="A8867" i="1"/>
  <c r="B8867" i="1"/>
  <c r="A8868" i="1"/>
  <c r="B8868" i="1"/>
  <c r="A8869" i="1"/>
  <c r="B8869" i="1"/>
  <c r="A8870" i="1"/>
  <c r="B8870" i="1"/>
  <c r="A8871" i="1"/>
  <c r="B8871" i="1"/>
  <c r="A8872" i="1"/>
  <c r="B8872" i="1"/>
  <c r="A8873" i="1"/>
  <c r="B8873" i="1"/>
  <c r="A8874" i="1"/>
  <c r="B8874" i="1"/>
  <c r="A8875" i="1"/>
  <c r="B8875" i="1"/>
  <c r="A8876" i="1"/>
  <c r="B8876" i="1"/>
  <c r="A8877" i="1"/>
  <c r="B8877" i="1"/>
  <c r="A8878" i="1"/>
  <c r="B8878" i="1"/>
  <c r="A8879" i="1"/>
  <c r="B8879" i="1"/>
  <c r="A8880" i="1"/>
  <c r="B8880" i="1"/>
  <c r="A8881" i="1"/>
  <c r="B8881" i="1"/>
  <c r="A8882" i="1"/>
  <c r="B8882" i="1"/>
  <c r="A8883" i="1"/>
  <c r="B8883" i="1"/>
  <c r="A8884" i="1"/>
  <c r="B8884" i="1"/>
  <c r="A8885" i="1"/>
  <c r="B8885" i="1"/>
  <c r="A8886" i="1"/>
  <c r="B8886" i="1"/>
  <c r="A8887" i="1"/>
  <c r="B8887" i="1"/>
  <c r="A8888" i="1"/>
  <c r="B8888" i="1"/>
  <c r="A8889" i="1"/>
  <c r="B8889" i="1"/>
  <c r="A8890" i="1"/>
  <c r="B8890" i="1"/>
  <c r="A8891" i="1"/>
  <c r="B8891" i="1"/>
  <c r="A8892" i="1"/>
  <c r="B8892" i="1"/>
  <c r="A8893" i="1"/>
  <c r="B8893" i="1"/>
  <c r="A8894" i="1"/>
  <c r="B8894" i="1"/>
  <c r="A8895" i="1"/>
  <c r="B8895" i="1"/>
  <c r="A8896" i="1"/>
  <c r="B8896" i="1"/>
  <c r="A8897" i="1"/>
  <c r="B8897" i="1"/>
  <c r="A8898" i="1"/>
  <c r="B8898" i="1"/>
  <c r="A8899" i="1"/>
  <c r="B8899" i="1"/>
  <c r="A8900" i="1"/>
  <c r="B8900" i="1"/>
  <c r="A8901" i="1"/>
  <c r="B8901" i="1"/>
  <c r="A8902" i="1"/>
  <c r="B8902" i="1"/>
  <c r="A8903" i="1"/>
  <c r="B8903" i="1"/>
  <c r="A8904" i="1"/>
  <c r="B8904" i="1"/>
  <c r="A8905" i="1"/>
  <c r="B8905" i="1"/>
  <c r="A8906" i="1"/>
  <c r="B8906" i="1"/>
  <c r="A8907" i="1"/>
  <c r="B8907" i="1"/>
  <c r="A8908" i="1"/>
  <c r="B8908" i="1"/>
  <c r="A8909" i="1"/>
  <c r="B8909" i="1"/>
  <c r="A8910" i="1"/>
  <c r="B8910" i="1"/>
  <c r="A8911" i="1"/>
  <c r="B8911" i="1"/>
  <c r="A8912" i="1"/>
  <c r="B8912" i="1"/>
  <c r="A8913" i="1"/>
  <c r="B8913" i="1"/>
  <c r="A8914" i="1"/>
  <c r="B8914" i="1"/>
  <c r="A8915" i="1"/>
  <c r="B8915" i="1"/>
  <c r="A8916" i="1"/>
  <c r="B8916" i="1"/>
  <c r="A8917" i="1"/>
  <c r="B8917" i="1"/>
  <c r="A8918" i="1"/>
  <c r="B8918" i="1"/>
  <c r="A8919" i="1"/>
  <c r="B8919" i="1"/>
  <c r="A8920" i="1"/>
  <c r="B8920" i="1"/>
  <c r="A8921" i="1"/>
  <c r="B8921" i="1"/>
  <c r="A8922" i="1"/>
  <c r="B8922" i="1"/>
  <c r="A8923" i="1"/>
  <c r="B8923" i="1"/>
  <c r="A8924" i="1"/>
  <c r="B8924" i="1"/>
  <c r="A8925" i="1"/>
  <c r="B8925" i="1"/>
  <c r="A8926" i="1"/>
  <c r="B8926" i="1"/>
  <c r="A8927" i="1"/>
  <c r="B8927" i="1"/>
  <c r="A8928" i="1"/>
  <c r="B8928" i="1"/>
  <c r="A8929" i="1"/>
  <c r="B8929" i="1"/>
  <c r="A8930" i="1"/>
  <c r="B8930" i="1"/>
  <c r="A8931" i="1"/>
  <c r="B8931" i="1"/>
  <c r="A8932" i="1"/>
  <c r="B8932" i="1"/>
  <c r="A8933" i="1"/>
  <c r="B8933" i="1"/>
  <c r="A8934" i="1"/>
  <c r="B8934" i="1"/>
  <c r="A8935" i="1"/>
  <c r="B8935" i="1"/>
  <c r="A8936" i="1"/>
  <c r="B8936" i="1"/>
  <c r="A8937" i="1"/>
  <c r="B8937" i="1"/>
  <c r="A8938" i="1"/>
  <c r="B8938" i="1"/>
  <c r="A8939" i="1"/>
  <c r="B8939" i="1"/>
  <c r="A8940" i="1"/>
  <c r="B8940" i="1"/>
  <c r="A8941" i="1"/>
  <c r="B8941" i="1"/>
  <c r="A8942" i="1"/>
  <c r="B8942" i="1"/>
  <c r="A8943" i="1"/>
  <c r="B8943" i="1"/>
  <c r="A8944" i="1"/>
  <c r="B8944" i="1"/>
  <c r="A8945" i="1"/>
  <c r="B8945" i="1"/>
  <c r="A8946" i="1"/>
  <c r="B8946" i="1"/>
  <c r="A8947" i="1"/>
  <c r="B8947" i="1"/>
  <c r="A8948" i="1"/>
  <c r="B8948" i="1"/>
  <c r="A8949" i="1"/>
  <c r="B8949" i="1"/>
  <c r="A8950" i="1"/>
  <c r="B8950" i="1"/>
  <c r="A8951" i="1"/>
  <c r="B8951" i="1"/>
  <c r="A8952" i="1"/>
  <c r="B8952" i="1"/>
  <c r="A8953" i="1"/>
  <c r="B8953" i="1"/>
  <c r="A8954" i="1"/>
  <c r="B8954" i="1"/>
  <c r="A8955" i="1"/>
  <c r="B8955" i="1"/>
  <c r="A8956" i="1"/>
  <c r="B8956" i="1"/>
  <c r="A8957" i="1"/>
  <c r="B8957" i="1"/>
  <c r="A8958" i="1"/>
  <c r="B8958" i="1"/>
  <c r="A8959" i="1"/>
  <c r="B8959" i="1"/>
  <c r="A8960" i="1"/>
  <c r="B8960" i="1"/>
  <c r="A8961" i="1"/>
  <c r="B8961" i="1"/>
  <c r="A8962" i="1"/>
  <c r="B8962" i="1"/>
  <c r="A8963" i="1"/>
  <c r="B8963" i="1"/>
  <c r="A8964" i="1"/>
  <c r="B8964" i="1"/>
  <c r="A8965" i="1"/>
  <c r="B8965" i="1"/>
  <c r="A8966" i="1"/>
  <c r="B8966" i="1"/>
  <c r="A8967" i="1"/>
  <c r="B8967" i="1"/>
  <c r="A8968" i="1"/>
  <c r="B8968" i="1"/>
  <c r="A8969" i="1"/>
  <c r="B8969" i="1"/>
  <c r="A8970" i="1"/>
  <c r="B8970" i="1"/>
  <c r="A8971" i="1"/>
  <c r="B8971" i="1"/>
  <c r="A8972" i="1"/>
  <c r="B8972" i="1"/>
  <c r="A8973" i="1"/>
  <c r="B8973" i="1"/>
  <c r="A8974" i="1"/>
  <c r="B8974" i="1"/>
  <c r="A8975" i="1"/>
  <c r="B8975" i="1"/>
  <c r="A8976" i="1"/>
  <c r="B8976" i="1"/>
  <c r="A8977" i="1"/>
  <c r="B8977" i="1"/>
  <c r="A8978" i="1"/>
  <c r="B8978" i="1"/>
  <c r="A8979" i="1"/>
  <c r="B8979" i="1"/>
  <c r="A8980" i="1"/>
  <c r="B8980" i="1"/>
  <c r="A8981" i="1"/>
  <c r="B8981" i="1"/>
  <c r="A8982" i="1"/>
  <c r="B8982" i="1"/>
  <c r="A8983" i="1"/>
  <c r="B8983" i="1"/>
  <c r="A8984" i="1"/>
  <c r="B8984" i="1"/>
  <c r="A8985" i="1"/>
  <c r="B8985" i="1"/>
  <c r="A8986" i="1"/>
  <c r="B8986" i="1"/>
  <c r="A8987" i="1"/>
  <c r="B8987" i="1"/>
  <c r="A8988" i="1"/>
  <c r="B8988" i="1"/>
  <c r="A8989" i="1"/>
  <c r="B8989" i="1"/>
  <c r="A8990" i="1"/>
  <c r="B8990" i="1"/>
  <c r="A8991" i="1"/>
  <c r="B8991" i="1"/>
  <c r="A8992" i="1"/>
  <c r="B8992" i="1"/>
  <c r="A8993" i="1"/>
  <c r="B8993" i="1"/>
  <c r="A8994" i="1"/>
  <c r="B8994" i="1"/>
  <c r="A8995" i="1"/>
  <c r="B8995" i="1"/>
  <c r="A8996" i="1"/>
  <c r="B8996" i="1"/>
  <c r="A8997" i="1"/>
  <c r="B8997" i="1"/>
  <c r="A8998" i="1"/>
  <c r="B8998" i="1"/>
  <c r="A8999" i="1"/>
  <c r="B8999" i="1"/>
  <c r="A9000" i="1"/>
  <c r="B9000" i="1"/>
  <c r="A9001" i="1"/>
  <c r="B9001" i="1"/>
  <c r="A9002" i="1"/>
  <c r="B9002" i="1"/>
  <c r="A9003" i="1"/>
  <c r="B9003" i="1"/>
  <c r="A9004" i="1"/>
  <c r="B9004" i="1"/>
  <c r="A9005" i="1"/>
  <c r="B9005" i="1"/>
  <c r="A9006" i="1"/>
  <c r="B9006" i="1"/>
  <c r="A9007" i="1"/>
  <c r="B9007" i="1"/>
  <c r="A9008" i="1"/>
  <c r="B9008" i="1"/>
  <c r="A9009" i="1"/>
  <c r="B9009" i="1"/>
  <c r="A9010" i="1"/>
  <c r="B9010" i="1"/>
  <c r="A9011" i="1"/>
  <c r="B9011" i="1"/>
  <c r="A9012" i="1"/>
  <c r="B9012" i="1"/>
  <c r="A9013" i="1"/>
  <c r="B9013" i="1"/>
  <c r="A9014" i="1"/>
  <c r="B9014" i="1"/>
  <c r="A9015" i="1"/>
  <c r="B9015" i="1"/>
  <c r="A9016" i="1"/>
  <c r="B9016" i="1"/>
  <c r="A9017" i="1"/>
  <c r="B9017" i="1"/>
  <c r="A9018" i="1"/>
  <c r="B9018" i="1"/>
  <c r="A9019" i="1"/>
  <c r="B9019" i="1"/>
  <c r="A9020" i="1"/>
  <c r="B9020" i="1"/>
  <c r="A9021" i="1"/>
  <c r="B9021" i="1"/>
  <c r="A9022" i="1"/>
  <c r="B9022" i="1"/>
  <c r="A9023" i="1"/>
  <c r="B9023" i="1"/>
  <c r="A9024" i="1"/>
  <c r="B9024" i="1"/>
  <c r="A9025" i="1"/>
  <c r="B9025" i="1"/>
  <c r="A9026" i="1"/>
  <c r="B9026" i="1"/>
  <c r="A9027" i="1"/>
  <c r="B9027" i="1"/>
  <c r="A9028" i="1"/>
  <c r="B9028" i="1"/>
  <c r="A9029" i="1"/>
  <c r="B9029" i="1"/>
  <c r="A9030" i="1"/>
  <c r="B9030" i="1"/>
  <c r="A9031" i="1"/>
  <c r="B9031" i="1"/>
  <c r="A9032" i="1"/>
  <c r="B9032" i="1"/>
  <c r="A9033" i="1"/>
  <c r="B9033" i="1"/>
  <c r="A9034" i="1"/>
  <c r="B9034" i="1"/>
  <c r="A9035" i="1"/>
  <c r="B9035" i="1"/>
  <c r="A9036" i="1"/>
  <c r="B9036" i="1"/>
  <c r="A9037" i="1"/>
  <c r="B9037" i="1"/>
  <c r="A9038" i="1"/>
  <c r="B9038" i="1"/>
  <c r="A9039" i="1"/>
  <c r="B9039" i="1"/>
  <c r="A9040" i="1"/>
  <c r="B9040" i="1"/>
  <c r="A9041" i="1"/>
  <c r="B9041" i="1"/>
  <c r="A9042" i="1"/>
  <c r="B9042" i="1"/>
  <c r="A9043" i="1"/>
  <c r="B9043" i="1"/>
  <c r="A9044" i="1"/>
  <c r="B9044" i="1"/>
  <c r="A9045" i="1"/>
  <c r="B9045" i="1"/>
  <c r="A9046" i="1"/>
  <c r="B9046" i="1"/>
  <c r="A9047" i="1"/>
  <c r="B9047" i="1"/>
  <c r="A9048" i="1"/>
  <c r="B9048" i="1"/>
  <c r="A9049" i="1"/>
  <c r="B9049" i="1"/>
  <c r="A9050" i="1"/>
  <c r="B9050" i="1"/>
  <c r="A9051" i="1"/>
  <c r="B9051" i="1"/>
  <c r="A9052" i="1"/>
  <c r="B9052" i="1"/>
  <c r="A9053" i="1"/>
  <c r="B9053" i="1"/>
  <c r="A9054" i="1"/>
  <c r="B9054" i="1"/>
  <c r="A9055" i="1"/>
  <c r="B9055" i="1"/>
  <c r="A9056" i="1"/>
  <c r="B9056" i="1"/>
  <c r="A9057" i="1"/>
  <c r="B9057" i="1"/>
  <c r="A9058" i="1"/>
  <c r="B9058" i="1"/>
  <c r="A9059" i="1"/>
  <c r="B9059" i="1"/>
  <c r="A9060" i="1"/>
  <c r="B9060" i="1"/>
  <c r="A9061" i="1"/>
  <c r="B9061" i="1"/>
  <c r="A9062" i="1"/>
  <c r="B9062" i="1"/>
  <c r="A9063" i="1"/>
  <c r="B9063" i="1"/>
  <c r="A9064" i="1"/>
  <c r="B9064" i="1"/>
  <c r="A9065" i="1"/>
  <c r="B9065" i="1"/>
  <c r="A9066" i="1"/>
  <c r="B9066" i="1"/>
  <c r="A9067" i="1"/>
  <c r="B9067" i="1"/>
  <c r="A9068" i="1"/>
  <c r="B9068" i="1"/>
  <c r="A9069" i="1"/>
  <c r="B9069" i="1"/>
  <c r="A9070" i="1"/>
  <c r="B9070" i="1"/>
  <c r="A9071" i="1"/>
  <c r="B9071" i="1"/>
  <c r="A9072" i="1"/>
  <c r="B9072" i="1"/>
  <c r="A9073" i="1"/>
  <c r="B9073" i="1"/>
  <c r="A9074" i="1"/>
  <c r="B9074" i="1"/>
  <c r="A9075" i="1"/>
  <c r="B9075" i="1"/>
  <c r="A9076" i="1"/>
  <c r="B9076" i="1"/>
  <c r="A9077" i="1"/>
  <c r="B9077" i="1"/>
  <c r="A9078" i="1"/>
  <c r="B9078" i="1"/>
  <c r="A9079" i="1"/>
  <c r="B9079" i="1"/>
  <c r="A9080" i="1"/>
  <c r="B9080" i="1"/>
  <c r="A9081" i="1"/>
  <c r="B9081" i="1"/>
  <c r="A9082" i="1"/>
  <c r="B9082" i="1"/>
  <c r="A9083" i="1"/>
  <c r="B9083" i="1"/>
  <c r="A9084" i="1"/>
  <c r="B9084" i="1"/>
  <c r="A9085" i="1"/>
  <c r="B9085" i="1"/>
  <c r="A9086" i="1"/>
  <c r="B9086" i="1"/>
  <c r="A9087" i="1"/>
  <c r="B9087" i="1"/>
  <c r="A9088" i="1"/>
  <c r="B9088" i="1"/>
  <c r="A9089" i="1"/>
  <c r="B9089" i="1"/>
  <c r="A9090" i="1"/>
  <c r="B9090" i="1"/>
  <c r="A9091" i="1"/>
  <c r="B9091" i="1"/>
  <c r="A9092" i="1"/>
  <c r="B9092" i="1"/>
  <c r="A9093" i="1"/>
  <c r="B9093" i="1"/>
  <c r="A9094" i="1"/>
  <c r="B9094" i="1"/>
  <c r="A9095" i="1"/>
  <c r="B9095" i="1"/>
  <c r="A9096" i="1"/>
  <c r="B9096" i="1"/>
  <c r="A9097" i="1"/>
  <c r="B9097" i="1"/>
  <c r="A9098" i="1"/>
  <c r="B9098" i="1"/>
  <c r="A9099" i="1"/>
  <c r="B9099" i="1"/>
  <c r="A9100" i="1"/>
  <c r="B9100" i="1"/>
  <c r="A9101" i="1"/>
  <c r="B9101" i="1"/>
  <c r="A9102" i="1"/>
  <c r="B9102" i="1"/>
  <c r="A9103" i="1"/>
  <c r="B9103" i="1"/>
  <c r="A9104" i="1"/>
  <c r="B9104" i="1"/>
  <c r="A9105" i="1"/>
  <c r="B9105" i="1"/>
  <c r="A9106" i="1"/>
  <c r="B9106" i="1"/>
  <c r="A9107" i="1"/>
  <c r="B9107" i="1"/>
  <c r="A9108" i="1"/>
  <c r="B9108" i="1"/>
  <c r="A9109" i="1"/>
  <c r="B9109" i="1"/>
  <c r="A9110" i="1"/>
  <c r="B9110" i="1"/>
  <c r="A9111" i="1"/>
  <c r="B9111" i="1"/>
  <c r="A9112" i="1"/>
  <c r="B9112" i="1"/>
  <c r="A9113" i="1"/>
  <c r="B9113" i="1"/>
  <c r="A9114" i="1"/>
  <c r="B9114" i="1"/>
  <c r="A9115" i="1"/>
  <c r="B9115" i="1"/>
  <c r="A9116" i="1"/>
  <c r="B9116" i="1"/>
  <c r="A9117" i="1"/>
  <c r="B9117" i="1"/>
  <c r="A9118" i="1"/>
  <c r="B9118" i="1"/>
  <c r="A9119" i="1"/>
  <c r="B9119" i="1"/>
  <c r="A9120" i="1"/>
  <c r="B9120" i="1"/>
  <c r="A9121" i="1"/>
  <c r="B9121" i="1"/>
  <c r="A9122" i="1"/>
  <c r="B9122" i="1"/>
  <c r="A9123" i="1"/>
  <c r="B9123" i="1"/>
  <c r="A9124" i="1"/>
  <c r="B9124" i="1"/>
  <c r="A9125" i="1"/>
  <c r="B9125" i="1"/>
  <c r="A9126" i="1"/>
  <c r="B9126" i="1"/>
  <c r="A9127" i="1"/>
  <c r="B9127" i="1"/>
  <c r="A9128" i="1"/>
  <c r="B9128" i="1"/>
  <c r="A9129" i="1"/>
  <c r="B9129" i="1"/>
  <c r="A9130" i="1"/>
  <c r="B9130" i="1"/>
  <c r="A9131" i="1"/>
  <c r="B9131" i="1"/>
  <c r="A9132" i="1"/>
  <c r="B9132" i="1"/>
  <c r="A9133" i="1"/>
  <c r="B9133" i="1"/>
  <c r="A9134" i="1"/>
  <c r="B9134" i="1"/>
  <c r="A9135" i="1"/>
  <c r="B9135" i="1"/>
  <c r="A9136" i="1"/>
  <c r="B9136" i="1"/>
  <c r="A9137" i="1"/>
  <c r="B9137" i="1"/>
  <c r="A9138" i="1"/>
  <c r="B9138" i="1"/>
  <c r="A9139" i="1"/>
  <c r="B9139" i="1"/>
  <c r="A9140" i="1"/>
  <c r="B9140" i="1"/>
  <c r="A9141" i="1"/>
  <c r="B9141" i="1"/>
  <c r="A9142" i="1"/>
  <c r="B9142" i="1"/>
  <c r="A9143" i="1"/>
  <c r="B9143" i="1"/>
  <c r="A9144" i="1"/>
  <c r="B9144" i="1"/>
  <c r="A9145" i="1"/>
  <c r="B9145" i="1"/>
  <c r="A9146" i="1"/>
  <c r="B9146" i="1"/>
  <c r="A9147" i="1"/>
  <c r="B9147" i="1"/>
  <c r="A9148" i="1"/>
  <c r="B9148" i="1"/>
  <c r="A9149" i="1"/>
  <c r="B9149" i="1"/>
  <c r="A9150" i="1"/>
  <c r="B9150" i="1"/>
  <c r="A9151" i="1"/>
  <c r="B9151" i="1"/>
  <c r="A9152" i="1"/>
  <c r="B9152" i="1"/>
  <c r="A9153" i="1"/>
  <c r="B9153" i="1"/>
  <c r="A9154" i="1"/>
  <c r="B9154" i="1"/>
  <c r="A9155" i="1"/>
  <c r="B9155" i="1"/>
  <c r="A9156" i="1"/>
  <c r="B9156" i="1"/>
  <c r="A9157" i="1"/>
  <c r="B9157" i="1"/>
  <c r="A9158" i="1"/>
  <c r="B9158" i="1"/>
  <c r="A9159" i="1"/>
  <c r="B9159" i="1"/>
  <c r="A9160" i="1"/>
  <c r="B9160" i="1"/>
  <c r="A9161" i="1"/>
  <c r="B9161" i="1"/>
  <c r="A9162" i="1"/>
  <c r="B9162" i="1"/>
  <c r="A9163" i="1"/>
  <c r="B9163" i="1"/>
  <c r="A9164" i="1"/>
  <c r="B9164" i="1"/>
  <c r="A9165" i="1"/>
  <c r="B9165" i="1"/>
  <c r="A9166" i="1"/>
  <c r="B9166" i="1"/>
  <c r="A9167" i="1"/>
  <c r="B9167" i="1"/>
  <c r="A9168" i="1"/>
  <c r="B9168" i="1"/>
  <c r="A9169" i="1"/>
  <c r="B9169" i="1"/>
  <c r="A9170" i="1"/>
  <c r="B9170" i="1"/>
  <c r="A9171" i="1"/>
  <c r="B9171" i="1"/>
  <c r="A9172" i="1"/>
  <c r="B9172" i="1"/>
  <c r="A9173" i="1"/>
  <c r="B9173" i="1"/>
  <c r="A9174" i="1"/>
  <c r="B9174" i="1"/>
  <c r="A9175" i="1"/>
  <c r="B9175" i="1"/>
  <c r="A9176" i="1"/>
  <c r="B9176" i="1"/>
  <c r="A9177" i="1"/>
  <c r="B9177" i="1"/>
  <c r="A9178" i="1"/>
  <c r="B9178" i="1"/>
  <c r="A9179" i="1"/>
  <c r="B9179" i="1"/>
  <c r="A9180" i="1"/>
  <c r="B9180" i="1"/>
  <c r="A9181" i="1"/>
  <c r="B9181" i="1"/>
  <c r="A9182" i="1"/>
  <c r="B9182" i="1"/>
  <c r="A9183" i="1"/>
  <c r="B9183" i="1"/>
  <c r="A9184" i="1"/>
  <c r="B9184" i="1"/>
  <c r="A9185" i="1"/>
  <c r="B9185" i="1"/>
  <c r="A9186" i="1"/>
  <c r="B9186" i="1"/>
  <c r="A9187" i="1"/>
  <c r="B9187" i="1"/>
  <c r="A9188" i="1"/>
  <c r="B9188" i="1"/>
  <c r="A9189" i="1"/>
  <c r="B9189" i="1"/>
  <c r="A9190" i="1"/>
  <c r="B9190" i="1"/>
  <c r="A9191" i="1"/>
  <c r="B9191" i="1"/>
  <c r="A9192" i="1"/>
  <c r="B9192" i="1"/>
  <c r="A9193" i="1"/>
  <c r="B9193" i="1"/>
  <c r="A9194" i="1"/>
  <c r="B9194" i="1"/>
  <c r="A9195" i="1"/>
  <c r="B9195" i="1"/>
  <c r="A9196" i="1"/>
  <c r="B9196" i="1"/>
  <c r="A9197" i="1"/>
  <c r="B9197" i="1"/>
  <c r="A9198" i="1"/>
  <c r="B9198" i="1"/>
  <c r="A9199" i="1"/>
  <c r="B9199" i="1"/>
  <c r="A9200" i="1"/>
  <c r="B9200" i="1"/>
  <c r="A9201" i="1"/>
  <c r="B9201" i="1"/>
  <c r="A9202" i="1"/>
  <c r="B9202" i="1"/>
  <c r="A9203" i="1"/>
  <c r="B9203" i="1"/>
  <c r="A9204" i="1"/>
  <c r="B9204" i="1"/>
  <c r="A9205" i="1"/>
  <c r="B9205" i="1"/>
  <c r="A9206" i="1"/>
  <c r="B9206" i="1"/>
  <c r="A9207" i="1"/>
  <c r="B9207" i="1"/>
  <c r="A9208" i="1"/>
  <c r="B9208" i="1"/>
  <c r="A9209" i="1"/>
  <c r="B9209" i="1"/>
  <c r="A9210" i="1"/>
  <c r="B9210" i="1"/>
  <c r="A9211" i="1"/>
  <c r="B9211" i="1"/>
  <c r="A9212" i="1"/>
  <c r="B9212" i="1"/>
  <c r="A9213" i="1"/>
  <c r="B9213" i="1"/>
  <c r="A9214" i="1"/>
  <c r="B9214" i="1"/>
  <c r="A9215" i="1"/>
  <c r="B9215" i="1"/>
  <c r="A9216" i="1"/>
  <c r="B9216" i="1"/>
  <c r="A9217" i="1"/>
  <c r="B9217" i="1"/>
  <c r="A9218" i="1"/>
  <c r="B9218" i="1"/>
  <c r="A9219" i="1"/>
  <c r="B9219" i="1"/>
  <c r="A9220" i="1"/>
  <c r="B9220" i="1"/>
  <c r="A9221" i="1"/>
  <c r="B9221" i="1"/>
  <c r="A9222" i="1"/>
  <c r="B9222" i="1"/>
  <c r="A9223" i="1"/>
  <c r="B9223" i="1"/>
  <c r="A9224" i="1"/>
  <c r="B9224" i="1"/>
  <c r="A9225" i="1"/>
  <c r="B9225" i="1"/>
  <c r="A9226" i="1"/>
  <c r="B9226" i="1"/>
  <c r="A9227" i="1"/>
  <c r="B9227" i="1"/>
  <c r="A9228" i="1"/>
  <c r="B9228" i="1"/>
  <c r="A9229" i="1"/>
  <c r="B9229" i="1"/>
  <c r="A9230" i="1"/>
  <c r="B9230" i="1"/>
  <c r="A9231" i="1"/>
  <c r="B9231" i="1"/>
  <c r="A9232" i="1"/>
  <c r="B9232" i="1"/>
  <c r="A9233" i="1"/>
  <c r="B9233" i="1"/>
  <c r="A9234" i="1"/>
  <c r="B9234" i="1"/>
  <c r="A9235" i="1"/>
  <c r="B9235" i="1"/>
  <c r="A9236" i="1"/>
  <c r="B9236" i="1"/>
  <c r="A9237" i="1"/>
  <c r="B9237" i="1"/>
  <c r="A9238" i="1"/>
  <c r="B9238" i="1"/>
  <c r="A9239" i="1"/>
  <c r="B9239" i="1"/>
  <c r="A9240" i="1"/>
  <c r="B9240" i="1"/>
  <c r="A9241" i="1"/>
  <c r="B9241" i="1"/>
  <c r="A9242" i="1"/>
  <c r="B9242" i="1"/>
  <c r="A9243" i="1"/>
  <c r="B9243" i="1"/>
  <c r="A9244" i="1"/>
  <c r="B9244" i="1"/>
  <c r="A9245" i="1"/>
  <c r="B9245" i="1"/>
  <c r="A9246" i="1"/>
  <c r="B9246" i="1"/>
  <c r="A9247" i="1"/>
  <c r="B9247" i="1"/>
  <c r="A9248" i="1"/>
  <c r="B9248" i="1"/>
  <c r="A9249" i="1"/>
  <c r="B9249" i="1"/>
  <c r="A9250" i="1"/>
  <c r="B9250" i="1"/>
  <c r="A9251" i="1"/>
  <c r="B9251" i="1"/>
  <c r="A9252" i="1"/>
  <c r="B9252" i="1"/>
  <c r="A9253" i="1"/>
  <c r="B9253" i="1"/>
  <c r="A9254" i="1"/>
  <c r="B9254" i="1"/>
  <c r="A9255" i="1"/>
  <c r="B9255" i="1"/>
  <c r="A9256" i="1"/>
  <c r="B9256" i="1"/>
  <c r="A9257" i="1"/>
  <c r="B9257" i="1"/>
  <c r="A9258" i="1"/>
  <c r="B9258" i="1"/>
  <c r="A9259" i="1"/>
  <c r="B9259" i="1"/>
  <c r="A9260" i="1"/>
  <c r="B9260" i="1"/>
  <c r="A9261" i="1"/>
  <c r="B9261" i="1"/>
  <c r="A9262" i="1"/>
  <c r="B9262" i="1"/>
  <c r="A9263" i="1"/>
  <c r="B9263" i="1"/>
  <c r="A9264" i="1"/>
  <c r="B9264" i="1"/>
  <c r="A9265" i="1"/>
  <c r="B9265" i="1"/>
  <c r="A9266" i="1"/>
  <c r="B9266" i="1"/>
  <c r="A9267" i="1"/>
  <c r="B9267" i="1"/>
  <c r="A9268" i="1"/>
  <c r="B9268" i="1"/>
  <c r="A9269" i="1"/>
  <c r="B9269" i="1"/>
  <c r="A9270" i="1"/>
  <c r="B9270" i="1"/>
  <c r="A9271" i="1"/>
  <c r="B9271" i="1"/>
  <c r="A9272" i="1"/>
  <c r="B9272" i="1"/>
  <c r="A9273" i="1"/>
  <c r="B9273" i="1"/>
  <c r="A9274" i="1"/>
  <c r="B9274" i="1"/>
  <c r="A9275" i="1"/>
  <c r="B9275" i="1"/>
  <c r="A9276" i="1"/>
  <c r="B9276" i="1"/>
  <c r="A9277" i="1"/>
  <c r="B9277" i="1"/>
  <c r="A9278" i="1"/>
  <c r="B9278" i="1"/>
  <c r="A9279" i="1"/>
  <c r="B9279" i="1"/>
  <c r="A9280" i="1"/>
  <c r="B9280" i="1"/>
  <c r="A9281" i="1"/>
  <c r="B9281" i="1"/>
  <c r="A9282" i="1"/>
  <c r="B9282" i="1"/>
  <c r="A9283" i="1"/>
  <c r="B9283" i="1"/>
  <c r="A9284" i="1"/>
  <c r="B9284" i="1"/>
  <c r="A9285" i="1"/>
  <c r="B9285" i="1"/>
  <c r="A9286" i="1"/>
  <c r="B9286" i="1"/>
  <c r="A9287" i="1"/>
  <c r="B9287" i="1"/>
  <c r="A9288" i="1"/>
  <c r="B9288" i="1"/>
  <c r="A9289" i="1"/>
  <c r="B9289" i="1"/>
  <c r="A9290" i="1"/>
  <c r="B9290" i="1"/>
  <c r="A9291" i="1"/>
  <c r="B9291" i="1"/>
  <c r="A9292" i="1"/>
  <c r="B9292" i="1"/>
  <c r="A9293" i="1"/>
  <c r="B9293" i="1"/>
  <c r="A9294" i="1"/>
  <c r="B9294" i="1"/>
  <c r="A9295" i="1"/>
  <c r="B9295" i="1"/>
  <c r="A9296" i="1"/>
  <c r="B9296" i="1"/>
  <c r="A9297" i="1"/>
  <c r="B9297" i="1"/>
  <c r="A9298" i="1"/>
  <c r="B9298" i="1"/>
  <c r="A9299" i="1"/>
  <c r="B9299" i="1"/>
  <c r="A9300" i="1"/>
  <c r="B9300" i="1"/>
  <c r="A9301" i="1"/>
  <c r="B9301" i="1"/>
  <c r="A9302" i="1"/>
  <c r="B9302" i="1"/>
  <c r="A9303" i="1"/>
  <c r="B9303" i="1"/>
  <c r="A9304" i="1"/>
  <c r="B9304" i="1"/>
  <c r="A9305" i="1"/>
  <c r="B9305" i="1"/>
  <c r="A9306" i="1"/>
  <c r="B9306" i="1"/>
  <c r="A9307" i="1"/>
  <c r="B9307" i="1"/>
  <c r="A9308" i="1"/>
  <c r="B9308" i="1"/>
  <c r="A9309" i="1"/>
  <c r="B9309" i="1"/>
  <c r="A9310" i="1"/>
  <c r="B9310" i="1"/>
  <c r="A9311" i="1"/>
  <c r="B9311" i="1"/>
  <c r="A9312" i="1"/>
  <c r="B9312" i="1"/>
  <c r="A9313" i="1"/>
  <c r="B9313" i="1"/>
  <c r="A9314" i="1"/>
  <c r="B9314" i="1"/>
  <c r="A9315" i="1"/>
  <c r="B9315" i="1"/>
  <c r="A9316" i="1"/>
  <c r="B9316" i="1"/>
  <c r="A9317" i="1"/>
  <c r="B9317" i="1"/>
  <c r="A9318" i="1"/>
  <c r="B9318" i="1"/>
  <c r="A9319" i="1"/>
  <c r="B9319" i="1"/>
  <c r="A9320" i="1"/>
  <c r="B9320" i="1"/>
  <c r="A9321" i="1"/>
  <c r="B9321" i="1"/>
  <c r="A9322" i="1"/>
  <c r="B9322" i="1"/>
  <c r="A9323" i="1"/>
  <c r="B9323" i="1"/>
  <c r="A9324" i="1"/>
  <c r="B9324" i="1"/>
  <c r="A9325" i="1"/>
  <c r="B9325" i="1"/>
  <c r="A9326" i="1"/>
  <c r="B9326" i="1"/>
  <c r="A9327" i="1"/>
  <c r="B9327" i="1"/>
  <c r="A9328" i="1"/>
  <c r="B9328" i="1"/>
  <c r="A9329" i="1"/>
  <c r="B9329" i="1"/>
  <c r="A9330" i="1"/>
  <c r="B9330" i="1"/>
  <c r="A9331" i="1"/>
  <c r="B9331" i="1"/>
  <c r="A9332" i="1"/>
  <c r="B9332" i="1"/>
  <c r="A9333" i="1"/>
  <c r="B9333" i="1"/>
  <c r="A9334" i="1"/>
  <c r="B9334" i="1"/>
  <c r="A9335" i="1"/>
  <c r="B9335" i="1"/>
  <c r="A9336" i="1"/>
  <c r="B9336" i="1"/>
  <c r="A9337" i="1"/>
  <c r="B9337" i="1"/>
  <c r="A9338" i="1"/>
  <c r="B9338" i="1"/>
  <c r="A9339" i="1"/>
  <c r="B9339" i="1"/>
  <c r="A9340" i="1"/>
  <c r="B9340" i="1"/>
  <c r="A9341" i="1"/>
  <c r="B9341" i="1"/>
  <c r="A9342" i="1"/>
  <c r="B9342" i="1"/>
  <c r="A9343" i="1"/>
  <c r="B9343" i="1"/>
  <c r="A9344" i="1"/>
  <c r="B9344" i="1"/>
  <c r="A9345" i="1"/>
  <c r="B9345" i="1"/>
  <c r="A9346" i="1"/>
  <c r="B9346" i="1"/>
  <c r="A9347" i="1"/>
  <c r="B9347" i="1"/>
  <c r="A9348" i="1"/>
  <c r="B9348" i="1"/>
  <c r="A9349" i="1"/>
  <c r="B9349" i="1"/>
  <c r="A9350" i="1"/>
  <c r="B9350" i="1"/>
  <c r="A9351" i="1"/>
  <c r="B9351" i="1"/>
  <c r="A9352" i="1"/>
  <c r="B9352" i="1"/>
  <c r="A9353" i="1"/>
  <c r="B9353" i="1"/>
  <c r="A9354" i="1"/>
  <c r="B9354" i="1"/>
  <c r="A9355" i="1"/>
  <c r="B9355" i="1"/>
  <c r="A9356" i="1"/>
  <c r="B9356" i="1"/>
  <c r="A9357" i="1"/>
  <c r="B9357" i="1"/>
  <c r="A9358" i="1"/>
  <c r="B9358" i="1"/>
  <c r="A9359" i="1"/>
  <c r="B9359" i="1"/>
  <c r="A9360" i="1"/>
  <c r="B9360" i="1"/>
  <c r="A9361" i="1"/>
  <c r="B9361" i="1"/>
  <c r="A9362" i="1"/>
  <c r="B9362" i="1"/>
  <c r="A9363" i="1"/>
  <c r="B9363" i="1"/>
  <c r="A9364" i="1"/>
  <c r="B9364" i="1"/>
  <c r="A9365" i="1"/>
  <c r="B9365" i="1"/>
  <c r="A9366" i="1"/>
  <c r="B9366" i="1"/>
  <c r="A9367" i="1"/>
  <c r="B9367" i="1"/>
  <c r="A9368" i="1"/>
  <c r="B9368" i="1"/>
  <c r="A9369" i="1"/>
  <c r="B9369" i="1"/>
  <c r="A9370" i="1"/>
  <c r="B9370" i="1"/>
  <c r="A9371" i="1"/>
  <c r="B9371" i="1"/>
  <c r="A9372" i="1"/>
  <c r="B9372" i="1"/>
  <c r="A9373" i="1"/>
  <c r="B9373" i="1"/>
  <c r="A9374" i="1"/>
  <c r="B9374" i="1"/>
  <c r="A9375" i="1"/>
  <c r="B9375" i="1"/>
  <c r="A9376" i="1"/>
  <c r="B9376" i="1"/>
  <c r="A9377" i="1"/>
  <c r="B9377" i="1"/>
  <c r="A9378" i="1"/>
  <c r="B9378" i="1"/>
  <c r="A9379" i="1"/>
  <c r="B9379" i="1"/>
  <c r="A9380" i="1"/>
  <c r="B9380" i="1"/>
  <c r="A9381" i="1"/>
  <c r="B9381" i="1"/>
  <c r="A9382" i="1"/>
  <c r="B9382" i="1"/>
  <c r="A9383" i="1"/>
  <c r="B9383" i="1"/>
  <c r="A9384" i="1"/>
  <c r="B9384" i="1"/>
  <c r="A9385" i="1"/>
  <c r="B9385" i="1"/>
  <c r="A9386" i="1"/>
  <c r="B9386" i="1"/>
  <c r="A9387" i="1"/>
  <c r="B9387" i="1"/>
  <c r="A9388" i="1"/>
  <c r="B9388" i="1"/>
  <c r="A9389" i="1"/>
  <c r="B9389" i="1"/>
  <c r="A9390" i="1"/>
  <c r="B9390" i="1"/>
  <c r="A9391" i="1"/>
  <c r="B9391" i="1"/>
  <c r="A9392" i="1"/>
  <c r="B9392" i="1"/>
  <c r="A9393" i="1"/>
  <c r="B9393" i="1"/>
  <c r="A9394" i="1"/>
  <c r="B9394" i="1"/>
  <c r="A9395" i="1"/>
  <c r="B9395" i="1"/>
  <c r="A9396" i="1"/>
  <c r="B9396" i="1"/>
  <c r="A9397" i="1"/>
  <c r="B9397" i="1"/>
  <c r="A9398" i="1"/>
  <c r="B9398" i="1"/>
  <c r="A9399" i="1"/>
  <c r="B9399" i="1"/>
  <c r="A9400" i="1"/>
  <c r="B9400" i="1"/>
  <c r="A9401" i="1"/>
  <c r="B9401" i="1"/>
  <c r="A9402" i="1"/>
  <c r="B9402" i="1"/>
  <c r="A9403" i="1"/>
  <c r="B9403" i="1"/>
  <c r="A9404" i="1"/>
  <c r="B9404" i="1"/>
  <c r="A9405" i="1"/>
  <c r="B9405" i="1"/>
  <c r="A9406" i="1"/>
  <c r="B9406" i="1"/>
  <c r="A9407" i="1"/>
  <c r="B9407" i="1"/>
  <c r="A9408" i="1"/>
  <c r="B9408" i="1"/>
  <c r="A9409" i="1"/>
  <c r="B9409" i="1"/>
  <c r="A9410" i="1"/>
  <c r="B9410" i="1"/>
  <c r="A9411" i="1"/>
  <c r="B9411" i="1"/>
  <c r="A9412" i="1"/>
  <c r="B9412" i="1"/>
  <c r="A9413" i="1"/>
  <c r="B9413" i="1"/>
  <c r="A9414" i="1"/>
  <c r="B9414" i="1"/>
  <c r="A9415" i="1"/>
  <c r="B9415" i="1"/>
  <c r="A9416" i="1"/>
  <c r="B9416" i="1"/>
  <c r="A9417" i="1"/>
  <c r="B9417" i="1"/>
  <c r="A9418" i="1"/>
  <c r="B9418" i="1"/>
  <c r="A9419" i="1"/>
  <c r="B9419" i="1"/>
  <c r="A9420" i="1"/>
  <c r="B9420" i="1"/>
  <c r="A9421" i="1"/>
  <c r="B9421" i="1"/>
  <c r="A9422" i="1"/>
  <c r="B9422" i="1"/>
  <c r="A9423" i="1"/>
  <c r="B9423" i="1"/>
  <c r="A9424" i="1"/>
  <c r="B9424" i="1"/>
  <c r="A9425" i="1"/>
  <c r="B9425" i="1"/>
  <c r="A9426" i="1"/>
  <c r="B9426" i="1"/>
  <c r="A9427" i="1"/>
  <c r="B9427" i="1"/>
  <c r="A9428" i="1"/>
  <c r="B9428" i="1"/>
  <c r="A9429" i="1"/>
  <c r="B9429" i="1"/>
  <c r="A9430" i="1"/>
  <c r="B9430" i="1"/>
  <c r="A9431" i="1"/>
  <c r="B9431" i="1"/>
  <c r="A9432" i="1"/>
  <c r="B9432" i="1"/>
  <c r="A9433" i="1"/>
  <c r="B9433" i="1"/>
  <c r="A9434" i="1"/>
  <c r="B9434" i="1"/>
  <c r="A9435" i="1"/>
  <c r="B9435" i="1"/>
  <c r="A9436" i="1"/>
  <c r="B9436" i="1"/>
  <c r="A9437" i="1"/>
  <c r="B9437" i="1"/>
  <c r="A9438" i="1"/>
  <c r="B9438" i="1"/>
  <c r="A9439" i="1"/>
  <c r="B9439" i="1"/>
  <c r="A9440" i="1"/>
  <c r="B9440" i="1"/>
  <c r="A9441" i="1"/>
  <c r="B9441" i="1"/>
  <c r="A9442" i="1"/>
  <c r="B9442" i="1"/>
  <c r="A9443" i="1"/>
  <c r="B9443" i="1"/>
  <c r="A9444" i="1"/>
  <c r="B9444" i="1"/>
  <c r="A9445" i="1"/>
  <c r="B9445" i="1"/>
  <c r="A9446" i="1"/>
  <c r="B9446" i="1"/>
  <c r="A9447" i="1"/>
  <c r="B9447" i="1"/>
  <c r="A9448" i="1"/>
  <c r="B9448" i="1"/>
  <c r="A9449" i="1"/>
  <c r="B9449" i="1"/>
  <c r="A9450" i="1"/>
  <c r="B9450" i="1"/>
  <c r="A9451" i="1"/>
  <c r="B9451" i="1"/>
  <c r="A9452" i="1"/>
  <c r="B9452" i="1"/>
  <c r="A9453" i="1"/>
  <c r="B9453" i="1"/>
  <c r="A9454" i="1"/>
  <c r="B9454" i="1"/>
  <c r="A9455" i="1"/>
  <c r="B9455" i="1"/>
  <c r="A9456" i="1"/>
  <c r="B9456" i="1"/>
  <c r="A9457" i="1"/>
  <c r="B9457" i="1"/>
  <c r="A9458" i="1"/>
  <c r="B9458" i="1"/>
  <c r="A9459" i="1"/>
  <c r="B9459" i="1"/>
  <c r="A9460" i="1"/>
  <c r="B9460" i="1"/>
  <c r="A9461" i="1"/>
  <c r="B9461" i="1"/>
  <c r="A9462" i="1"/>
  <c r="B9462" i="1"/>
  <c r="A9463" i="1"/>
  <c r="B9463" i="1"/>
  <c r="A9464" i="1"/>
  <c r="B9464" i="1"/>
  <c r="A9465" i="1"/>
  <c r="B9465" i="1"/>
  <c r="A9466" i="1"/>
  <c r="B9466" i="1"/>
  <c r="A9467" i="1"/>
  <c r="B9467" i="1"/>
  <c r="A9468" i="1"/>
  <c r="B9468" i="1"/>
  <c r="A9469" i="1"/>
  <c r="B9469" i="1"/>
  <c r="A9470" i="1"/>
  <c r="B9470" i="1"/>
  <c r="A9471" i="1"/>
  <c r="B9471" i="1"/>
  <c r="A9472" i="1"/>
  <c r="B9472" i="1"/>
  <c r="A9473" i="1"/>
  <c r="B9473" i="1"/>
  <c r="A9474" i="1"/>
  <c r="B9474" i="1"/>
  <c r="A9475" i="1"/>
  <c r="B9475" i="1"/>
  <c r="A9476" i="1"/>
  <c r="B9476" i="1"/>
  <c r="A9477" i="1"/>
  <c r="B9477" i="1"/>
  <c r="A9478" i="1"/>
  <c r="B9478" i="1"/>
  <c r="A9479" i="1"/>
  <c r="B9479" i="1"/>
  <c r="A9480" i="1"/>
  <c r="B9480" i="1"/>
  <c r="A9481" i="1"/>
  <c r="B9481" i="1"/>
  <c r="A9482" i="1"/>
  <c r="B9482" i="1"/>
  <c r="A9483" i="1"/>
  <c r="B9483" i="1"/>
  <c r="A9484" i="1"/>
  <c r="B9484" i="1"/>
  <c r="A9485" i="1"/>
  <c r="B9485" i="1"/>
  <c r="A9486" i="1"/>
  <c r="B9486" i="1"/>
  <c r="A9487" i="1"/>
  <c r="B9487" i="1"/>
  <c r="A9488" i="1"/>
  <c r="B9488" i="1"/>
  <c r="A9489" i="1"/>
  <c r="B9489" i="1"/>
  <c r="A9490" i="1"/>
  <c r="B9490" i="1"/>
  <c r="A9491" i="1"/>
  <c r="B9491" i="1"/>
  <c r="A9492" i="1"/>
  <c r="B9492" i="1"/>
  <c r="A9493" i="1"/>
  <c r="B9493" i="1"/>
  <c r="A9494" i="1"/>
  <c r="B9494" i="1"/>
  <c r="A9495" i="1"/>
  <c r="B9495" i="1"/>
  <c r="A9496" i="1"/>
  <c r="B9496" i="1"/>
  <c r="A9497" i="1"/>
  <c r="B9497" i="1"/>
  <c r="A9498" i="1"/>
  <c r="B9498" i="1"/>
  <c r="A9499" i="1"/>
  <c r="B9499" i="1"/>
  <c r="A9500" i="1"/>
  <c r="B9500" i="1"/>
  <c r="A9501" i="1"/>
  <c r="B9501" i="1"/>
  <c r="A9502" i="1"/>
  <c r="B9502" i="1"/>
  <c r="A9503" i="1"/>
  <c r="B9503" i="1"/>
  <c r="A9504" i="1"/>
  <c r="B9504" i="1"/>
  <c r="A9505" i="1"/>
  <c r="B9505" i="1"/>
  <c r="A9506" i="1"/>
  <c r="B9506" i="1"/>
  <c r="A9507" i="1"/>
  <c r="B9507" i="1"/>
  <c r="A9508" i="1"/>
  <c r="B9508" i="1"/>
  <c r="A9509" i="1"/>
  <c r="B9509" i="1"/>
  <c r="A9510" i="1"/>
  <c r="B9510" i="1"/>
  <c r="A9511" i="1"/>
  <c r="B9511" i="1"/>
  <c r="A9512" i="1"/>
  <c r="B9512" i="1"/>
  <c r="A9513" i="1"/>
  <c r="B9513" i="1"/>
  <c r="A9514" i="1"/>
  <c r="B9514" i="1"/>
  <c r="A9515" i="1"/>
  <c r="B9515" i="1"/>
  <c r="A9516" i="1"/>
  <c r="B9516" i="1"/>
  <c r="A9517" i="1"/>
  <c r="B9517" i="1"/>
  <c r="A9518" i="1"/>
  <c r="B9518" i="1"/>
  <c r="A9519" i="1"/>
  <c r="B9519" i="1"/>
  <c r="A9520" i="1"/>
  <c r="B9520" i="1"/>
  <c r="A9521" i="1"/>
  <c r="B9521" i="1"/>
  <c r="A9522" i="1"/>
  <c r="B9522" i="1"/>
  <c r="A9523" i="1"/>
  <c r="B9523" i="1"/>
  <c r="A9524" i="1"/>
  <c r="B9524" i="1"/>
  <c r="A9525" i="1"/>
  <c r="B9525" i="1"/>
  <c r="A9526" i="1"/>
  <c r="B9526" i="1"/>
  <c r="A9527" i="1"/>
  <c r="B9527" i="1"/>
  <c r="A9528" i="1"/>
  <c r="B9528" i="1"/>
  <c r="A9529" i="1"/>
  <c r="B9529" i="1"/>
  <c r="A9530" i="1"/>
  <c r="B9530" i="1"/>
  <c r="A9531" i="1"/>
  <c r="B9531" i="1"/>
  <c r="A9532" i="1"/>
  <c r="B9532" i="1"/>
  <c r="A9533" i="1"/>
  <c r="B9533" i="1"/>
  <c r="A9534" i="1"/>
  <c r="B9534" i="1"/>
  <c r="A9535" i="1"/>
  <c r="B9535" i="1"/>
  <c r="A9536" i="1"/>
  <c r="B9536" i="1"/>
  <c r="A9537" i="1"/>
  <c r="B9537" i="1"/>
  <c r="A9538" i="1"/>
  <c r="B9538" i="1"/>
  <c r="A9539" i="1"/>
  <c r="B9539" i="1"/>
  <c r="A9540" i="1"/>
  <c r="B9540" i="1"/>
  <c r="A9541" i="1"/>
  <c r="B9541" i="1"/>
  <c r="A9542" i="1"/>
  <c r="B9542" i="1"/>
  <c r="A9543" i="1"/>
  <c r="B9543" i="1"/>
  <c r="A9544" i="1"/>
  <c r="B9544" i="1"/>
  <c r="A9545" i="1"/>
  <c r="B9545" i="1"/>
  <c r="A9546" i="1"/>
  <c r="B9546" i="1"/>
  <c r="A9547" i="1"/>
  <c r="B9547" i="1"/>
  <c r="A9548" i="1"/>
  <c r="B9548" i="1"/>
  <c r="A9549" i="1"/>
  <c r="B9549" i="1"/>
  <c r="A9550" i="1"/>
  <c r="B9550" i="1"/>
  <c r="A9551" i="1"/>
  <c r="B9551" i="1"/>
  <c r="A9552" i="1"/>
  <c r="B9552" i="1"/>
  <c r="A9553" i="1"/>
  <c r="B9553" i="1"/>
  <c r="A9554" i="1"/>
  <c r="B9554" i="1"/>
  <c r="A9555" i="1"/>
  <c r="B9555" i="1"/>
  <c r="A9556" i="1"/>
  <c r="B9556" i="1"/>
  <c r="A9557" i="1"/>
  <c r="B9557" i="1"/>
  <c r="A9558" i="1"/>
  <c r="B9558" i="1"/>
  <c r="A9559" i="1"/>
  <c r="B9559" i="1"/>
  <c r="A9560" i="1"/>
  <c r="B9560" i="1"/>
  <c r="A9561" i="1"/>
  <c r="B9561" i="1"/>
  <c r="A9562" i="1"/>
  <c r="B9562" i="1"/>
  <c r="A9563" i="1"/>
  <c r="B9563" i="1"/>
  <c r="A9564" i="1"/>
  <c r="B9564" i="1"/>
  <c r="A9565" i="1"/>
  <c r="B9565" i="1"/>
  <c r="A9566" i="1"/>
  <c r="B9566" i="1"/>
  <c r="A9567" i="1"/>
  <c r="B9567" i="1"/>
  <c r="A9568" i="1"/>
  <c r="B9568" i="1"/>
  <c r="A9569" i="1"/>
  <c r="B9569" i="1"/>
  <c r="A9570" i="1"/>
  <c r="B9570" i="1"/>
  <c r="A9571" i="1"/>
  <c r="B9571" i="1"/>
  <c r="A9572" i="1"/>
  <c r="B9572" i="1"/>
  <c r="A9573" i="1"/>
  <c r="B9573" i="1"/>
  <c r="A9574" i="1"/>
  <c r="B9574" i="1"/>
  <c r="A9575" i="1"/>
  <c r="B9575" i="1"/>
  <c r="A9576" i="1"/>
  <c r="B9576" i="1"/>
  <c r="A9577" i="1"/>
  <c r="B9577" i="1"/>
  <c r="A9578" i="1"/>
  <c r="B9578" i="1"/>
  <c r="A9579" i="1"/>
  <c r="B9579" i="1"/>
  <c r="A9580" i="1"/>
  <c r="B9580" i="1"/>
  <c r="A9581" i="1"/>
  <c r="B9581" i="1"/>
  <c r="A9582" i="1"/>
  <c r="B9582" i="1"/>
  <c r="A9583" i="1"/>
  <c r="B9583" i="1"/>
  <c r="A9584" i="1"/>
  <c r="B9584" i="1"/>
  <c r="A9585" i="1"/>
  <c r="B9585" i="1"/>
  <c r="A9586" i="1"/>
  <c r="B9586" i="1"/>
  <c r="A9587" i="1"/>
  <c r="B9587" i="1"/>
  <c r="A9588" i="1"/>
  <c r="B9588" i="1"/>
  <c r="A9589" i="1"/>
  <c r="B9589" i="1"/>
  <c r="A9590" i="1"/>
  <c r="B9590" i="1"/>
  <c r="A9591" i="1"/>
  <c r="B9591" i="1"/>
  <c r="A9592" i="1"/>
  <c r="B9592" i="1"/>
  <c r="A9593" i="1"/>
  <c r="B9593" i="1"/>
  <c r="A9594" i="1"/>
  <c r="B9594" i="1"/>
  <c r="A9595" i="1"/>
  <c r="B9595" i="1"/>
  <c r="A9596" i="1"/>
  <c r="B9596" i="1"/>
  <c r="A9597" i="1"/>
  <c r="B9597" i="1"/>
  <c r="A9598" i="1"/>
  <c r="B9598" i="1"/>
  <c r="A9599" i="1"/>
  <c r="B9599" i="1"/>
  <c r="A9600" i="1"/>
  <c r="B9600" i="1"/>
  <c r="A9601" i="1"/>
  <c r="B9601" i="1"/>
  <c r="A9602" i="1"/>
  <c r="B9602" i="1"/>
  <c r="A9603" i="1"/>
  <c r="B9603" i="1"/>
  <c r="A9604" i="1"/>
  <c r="B9604" i="1"/>
  <c r="A9605" i="1"/>
  <c r="B9605" i="1"/>
  <c r="A9606" i="1"/>
  <c r="B9606" i="1"/>
  <c r="A9607" i="1"/>
  <c r="B9607" i="1"/>
  <c r="A9608" i="1"/>
  <c r="B9608" i="1"/>
  <c r="A9609" i="1"/>
  <c r="B9609" i="1"/>
  <c r="A9610" i="1"/>
  <c r="B9610" i="1"/>
  <c r="A9611" i="1"/>
  <c r="B9611" i="1"/>
  <c r="A9612" i="1"/>
  <c r="B9612" i="1"/>
  <c r="A9613" i="1"/>
  <c r="B9613" i="1"/>
  <c r="A9614" i="1"/>
  <c r="B9614" i="1"/>
  <c r="A9615" i="1"/>
  <c r="B9615" i="1"/>
  <c r="A9616" i="1"/>
  <c r="B9616" i="1"/>
  <c r="A9617" i="1"/>
  <c r="B9617" i="1"/>
  <c r="A9618" i="1"/>
  <c r="B9618" i="1"/>
  <c r="A9619" i="1"/>
  <c r="B9619" i="1"/>
  <c r="A9620" i="1"/>
  <c r="B9620" i="1"/>
  <c r="A9621" i="1"/>
  <c r="B9621" i="1"/>
  <c r="A9622" i="1"/>
  <c r="B9622" i="1"/>
  <c r="A9623" i="1"/>
  <c r="B9623" i="1"/>
  <c r="A9624" i="1"/>
  <c r="B9624" i="1"/>
  <c r="A9625" i="1"/>
  <c r="B9625" i="1"/>
  <c r="A9626" i="1"/>
  <c r="B9626" i="1"/>
  <c r="A9627" i="1"/>
  <c r="B9627" i="1"/>
  <c r="A9628" i="1"/>
  <c r="B9628" i="1"/>
  <c r="A9629" i="1"/>
  <c r="B9629" i="1"/>
  <c r="A9630" i="1"/>
  <c r="B9630" i="1"/>
  <c r="A9631" i="1"/>
  <c r="B9631" i="1"/>
  <c r="A9632" i="1"/>
  <c r="B9632" i="1"/>
  <c r="A9633" i="1"/>
  <c r="B9633" i="1"/>
  <c r="A9634" i="1"/>
  <c r="B9634" i="1"/>
  <c r="A9635" i="1"/>
  <c r="B9635" i="1"/>
  <c r="A9636" i="1"/>
  <c r="B9636" i="1"/>
  <c r="A9637" i="1"/>
  <c r="B9637" i="1"/>
  <c r="A9638" i="1"/>
  <c r="B9638" i="1"/>
  <c r="A9639" i="1"/>
  <c r="B9639" i="1"/>
  <c r="A9640" i="1"/>
  <c r="B9640" i="1"/>
  <c r="A9641" i="1"/>
  <c r="B9641" i="1"/>
  <c r="A9642" i="1"/>
  <c r="B9642" i="1"/>
  <c r="A9643" i="1"/>
  <c r="B9643" i="1"/>
  <c r="A9644" i="1"/>
  <c r="B9644" i="1"/>
  <c r="A9645" i="1"/>
  <c r="B9645" i="1"/>
  <c r="A9646" i="1"/>
  <c r="B9646" i="1"/>
  <c r="A9647" i="1"/>
  <c r="B9647" i="1"/>
  <c r="A9648" i="1"/>
  <c r="B9648" i="1"/>
  <c r="A9649" i="1"/>
  <c r="B9649" i="1"/>
  <c r="A9650" i="1"/>
  <c r="B9650" i="1"/>
  <c r="A9651" i="1"/>
  <c r="B9651" i="1"/>
  <c r="A9652" i="1"/>
  <c r="B9652" i="1"/>
  <c r="A9653" i="1"/>
  <c r="B9653" i="1"/>
  <c r="A9654" i="1"/>
  <c r="B9654" i="1"/>
  <c r="A9655" i="1"/>
  <c r="B9655" i="1"/>
  <c r="A9656" i="1"/>
  <c r="B9656" i="1"/>
  <c r="A9657" i="1"/>
  <c r="B9657" i="1"/>
  <c r="A9658" i="1"/>
  <c r="B9658" i="1"/>
  <c r="A9659" i="1"/>
  <c r="B9659" i="1"/>
  <c r="A9660" i="1"/>
  <c r="B9660" i="1"/>
  <c r="A9661" i="1"/>
  <c r="B9661" i="1"/>
  <c r="A9662" i="1"/>
  <c r="B9662" i="1"/>
  <c r="A9663" i="1"/>
  <c r="B9663" i="1"/>
  <c r="A9664" i="1"/>
  <c r="B9664" i="1"/>
  <c r="A9665" i="1"/>
  <c r="B9665" i="1"/>
  <c r="A9666" i="1"/>
  <c r="B9666" i="1"/>
  <c r="A9667" i="1"/>
  <c r="B9667" i="1"/>
  <c r="A9668" i="1"/>
  <c r="B9668" i="1"/>
  <c r="A9669" i="1"/>
  <c r="B9669" i="1"/>
  <c r="A9670" i="1"/>
  <c r="B9670" i="1"/>
  <c r="A9671" i="1"/>
  <c r="B9671" i="1"/>
  <c r="A9672" i="1"/>
  <c r="B9672" i="1"/>
  <c r="A9673" i="1"/>
  <c r="B9673" i="1"/>
  <c r="A9674" i="1"/>
  <c r="B9674" i="1"/>
  <c r="A9675" i="1"/>
  <c r="B9675" i="1"/>
  <c r="A9676" i="1"/>
  <c r="B9676" i="1"/>
  <c r="A9677" i="1"/>
  <c r="B9677" i="1"/>
  <c r="A9678" i="1"/>
  <c r="B9678" i="1"/>
  <c r="A9679" i="1"/>
  <c r="B9679" i="1"/>
  <c r="A9680" i="1"/>
  <c r="B9680" i="1"/>
  <c r="A9681" i="1"/>
  <c r="B9681" i="1"/>
  <c r="A9682" i="1"/>
  <c r="B9682" i="1"/>
  <c r="A9683" i="1"/>
  <c r="B9683" i="1"/>
  <c r="A9684" i="1"/>
  <c r="B9684" i="1"/>
  <c r="A9685" i="1"/>
  <c r="B9685" i="1"/>
  <c r="A9686" i="1"/>
  <c r="B9686" i="1"/>
  <c r="A9687" i="1"/>
  <c r="B9687" i="1"/>
  <c r="A9688" i="1"/>
  <c r="B9688" i="1"/>
  <c r="A9689" i="1"/>
  <c r="B9689" i="1"/>
  <c r="A9690" i="1"/>
  <c r="B9690" i="1"/>
  <c r="A9691" i="1"/>
  <c r="B9691" i="1"/>
  <c r="A9692" i="1"/>
  <c r="B9692" i="1"/>
  <c r="A9693" i="1"/>
  <c r="B9693" i="1"/>
  <c r="A9694" i="1"/>
  <c r="B9694" i="1"/>
  <c r="A9695" i="1"/>
  <c r="B9695" i="1"/>
  <c r="A9696" i="1"/>
  <c r="B9696" i="1"/>
  <c r="A9697" i="1"/>
  <c r="B9697" i="1"/>
  <c r="A9698" i="1"/>
  <c r="B9698" i="1"/>
  <c r="A9699" i="1"/>
  <c r="B9699" i="1"/>
  <c r="A9700" i="1"/>
  <c r="B9700" i="1"/>
  <c r="A9701" i="1"/>
  <c r="B9701" i="1"/>
  <c r="A9702" i="1"/>
  <c r="B9702" i="1"/>
  <c r="A9703" i="1"/>
  <c r="B9703" i="1"/>
  <c r="A9704" i="1"/>
  <c r="B9704" i="1"/>
  <c r="A9705" i="1"/>
  <c r="B9705" i="1"/>
  <c r="A9706" i="1"/>
  <c r="B9706" i="1"/>
  <c r="A9707" i="1"/>
  <c r="B9707" i="1"/>
  <c r="A9708" i="1"/>
  <c r="B9708" i="1"/>
  <c r="A9709" i="1"/>
  <c r="B9709" i="1"/>
  <c r="A9710" i="1"/>
  <c r="B9710" i="1"/>
  <c r="A9711" i="1"/>
  <c r="B9711" i="1"/>
  <c r="A9712" i="1"/>
  <c r="B9712" i="1"/>
  <c r="A9713" i="1"/>
  <c r="B9713" i="1"/>
  <c r="A9714" i="1"/>
  <c r="B9714" i="1"/>
  <c r="A9715" i="1"/>
  <c r="B9715" i="1"/>
  <c r="A9716" i="1"/>
  <c r="B9716" i="1"/>
  <c r="A9717" i="1"/>
  <c r="B9717" i="1"/>
  <c r="A9718" i="1"/>
  <c r="B9718" i="1"/>
  <c r="A9719" i="1"/>
  <c r="B9719" i="1"/>
  <c r="A9720" i="1"/>
  <c r="B9720" i="1"/>
  <c r="A9721" i="1"/>
  <c r="B9721" i="1"/>
  <c r="A9722" i="1"/>
  <c r="B9722" i="1"/>
  <c r="A9723" i="1"/>
  <c r="B9723" i="1"/>
  <c r="A9724" i="1"/>
  <c r="B9724" i="1"/>
  <c r="A9725" i="1"/>
  <c r="B9725" i="1"/>
  <c r="A9726" i="1"/>
  <c r="B9726" i="1"/>
  <c r="A9727" i="1"/>
  <c r="B9727" i="1"/>
  <c r="A9728" i="1"/>
  <c r="B9728" i="1"/>
  <c r="A9729" i="1"/>
  <c r="B9729" i="1"/>
  <c r="A9730" i="1"/>
  <c r="B9730" i="1"/>
  <c r="A9731" i="1"/>
  <c r="B9731" i="1"/>
  <c r="A9732" i="1"/>
  <c r="B9732" i="1"/>
  <c r="A9733" i="1"/>
  <c r="B9733" i="1"/>
  <c r="A9734" i="1"/>
  <c r="B9734" i="1"/>
  <c r="A9735" i="1"/>
  <c r="B9735" i="1"/>
  <c r="A9736" i="1"/>
  <c r="B9736" i="1"/>
  <c r="A9737" i="1"/>
  <c r="B9737" i="1"/>
  <c r="A9738" i="1"/>
  <c r="B9738" i="1"/>
  <c r="A9739" i="1"/>
  <c r="B9739" i="1"/>
  <c r="A9740" i="1"/>
  <c r="B9740" i="1"/>
  <c r="A9741" i="1"/>
  <c r="B9741" i="1"/>
  <c r="A9742" i="1"/>
  <c r="B9742" i="1"/>
  <c r="A9743" i="1"/>
  <c r="B9743" i="1"/>
  <c r="A9744" i="1"/>
  <c r="B9744" i="1"/>
  <c r="A9745" i="1"/>
  <c r="B9745" i="1"/>
  <c r="A9746" i="1"/>
  <c r="B9746" i="1"/>
  <c r="A9747" i="1"/>
  <c r="B9747" i="1"/>
  <c r="A9748" i="1"/>
  <c r="B9748" i="1"/>
  <c r="A9749" i="1"/>
  <c r="B9749" i="1"/>
  <c r="A9750" i="1"/>
  <c r="B9750" i="1"/>
  <c r="A9751" i="1"/>
  <c r="B9751" i="1"/>
  <c r="A9752" i="1"/>
  <c r="B9752" i="1"/>
  <c r="A9753" i="1"/>
  <c r="B9753" i="1"/>
  <c r="A9754" i="1"/>
  <c r="B9754" i="1"/>
  <c r="A9755" i="1"/>
  <c r="B9755" i="1"/>
  <c r="A9756" i="1"/>
  <c r="B9756" i="1"/>
  <c r="A9757" i="1"/>
  <c r="B9757" i="1"/>
  <c r="A9758" i="1"/>
  <c r="B9758" i="1"/>
  <c r="A9759" i="1"/>
  <c r="B9759" i="1"/>
  <c r="A9760" i="1"/>
  <c r="B9760" i="1"/>
  <c r="A9761" i="1"/>
  <c r="B9761" i="1"/>
  <c r="A9762" i="1"/>
  <c r="B9762" i="1"/>
  <c r="A9763" i="1"/>
  <c r="B9763" i="1"/>
  <c r="A9764" i="1"/>
  <c r="B9764" i="1"/>
  <c r="A9765" i="1"/>
  <c r="B9765" i="1"/>
  <c r="A9766" i="1"/>
  <c r="B9766" i="1"/>
  <c r="A9767" i="1"/>
  <c r="B9767" i="1"/>
  <c r="A9768" i="1"/>
  <c r="B9768" i="1"/>
  <c r="A9769" i="1"/>
  <c r="B9769" i="1"/>
  <c r="A9770" i="1"/>
  <c r="B9770" i="1"/>
  <c r="A9771" i="1"/>
  <c r="B9771" i="1"/>
  <c r="A9772" i="1"/>
  <c r="B9772" i="1"/>
  <c r="A9773" i="1"/>
  <c r="B9773" i="1"/>
  <c r="A9774" i="1"/>
  <c r="B9774" i="1"/>
  <c r="A9775" i="1"/>
  <c r="B9775" i="1"/>
  <c r="A9776" i="1"/>
  <c r="B9776" i="1"/>
  <c r="A9777" i="1"/>
  <c r="B9777" i="1"/>
  <c r="A9778" i="1"/>
  <c r="B9778" i="1"/>
  <c r="A9779" i="1"/>
  <c r="B9779" i="1"/>
  <c r="A9780" i="1"/>
  <c r="B9780" i="1"/>
  <c r="A9781" i="1"/>
  <c r="B9781" i="1"/>
  <c r="A9782" i="1"/>
  <c r="B9782" i="1"/>
  <c r="A9783" i="1"/>
  <c r="B9783" i="1"/>
  <c r="A9784" i="1"/>
  <c r="B9784" i="1"/>
  <c r="A9785" i="1"/>
  <c r="B9785" i="1"/>
  <c r="A9786" i="1"/>
  <c r="B9786" i="1"/>
  <c r="A9787" i="1"/>
  <c r="B9787" i="1"/>
  <c r="A9788" i="1"/>
  <c r="B9788" i="1"/>
  <c r="A9789" i="1"/>
  <c r="B9789" i="1"/>
  <c r="A9790" i="1"/>
  <c r="B9790" i="1"/>
  <c r="A9791" i="1"/>
  <c r="B9791" i="1"/>
  <c r="A9792" i="1"/>
  <c r="B9792" i="1"/>
  <c r="A9793" i="1"/>
  <c r="B9793" i="1"/>
  <c r="A9794" i="1"/>
  <c r="B9794" i="1"/>
  <c r="A9795" i="1"/>
  <c r="B9795" i="1"/>
  <c r="A9796" i="1"/>
  <c r="B9796" i="1"/>
  <c r="A9797" i="1"/>
  <c r="B9797" i="1"/>
  <c r="A9798" i="1"/>
  <c r="B9798" i="1"/>
  <c r="A9799" i="1"/>
  <c r="B9799" i="1"/>
  <c r="A9800" i="1"/>
  <c r="B9800" i="1"/>
  <c r="A9801" i="1"/>
  <c r="B9801" i="1"/>
  <c r="A9802" i="1"/>
  <c r="B9802" i="1"/>
  <c r="A9803" i="1"/>
  <c r="B9803" i="1"/>
  <c r="A9804" i="1"/>
  <c r="B9804" i="1"/>
  <c r="A9805" i="1"/>
  <c r="B9805" i="1"/>
  <c r="A9806" i="1"/>
  <c r="B9806" i="1"/>
  <c r="A9807" i="1"/>
  <c r="B9807" i="1"/>
  <c r="A9808" i="1"/>
  <c r="B9808" i="1"/>
  <c r="A9809" i="1"/>
  <c r="B9809" i="1"/>
  <c r="A9810" i="1"/>
  <c r="B9810" i="1"/>
  <c r="A9811" i="1"/>
  <c r="B9811" i="1"/>
  <c r="A9812" i="1"/>
  <c r="B9812" i="1"/>
  <c r="A9813" i="1"/>
  <c r="B9813" i="1"/>
  <c r="A9814" i="1"/>
  <c r="B9814" i="1"/>
  <c r="A9815" i="1"/>
  <c r="B9815" i="1"/>
  <c r="A9816" i="1"/>
  <c r="B9816" i="1"/>
  <c r="A9817" i="1"/>
  <c r="B9817" i="1"/>
  <c r="A9818" i="1"/>
  <c r="B9818" i="1"/>
  <c r="A9819" i="1"/>
  <c r="B9819" i="1"/>
  <c r="A9820" i="1"/>
  <c r="B9820" i="1"/>
  <c r="A9821" i="1"/>
  <c r="B9821" i="1"/>
  <c r="A9822" i="1"/>
  <c r="B9822" i="1"/>
  <c r="A9823" i="1"/>
  <c r="B9823" i="1"/>
  <c r="A9824" i="1"/>
  <c r="B9824" i="1"/>
  <c r="A9825" i="1"/>
  <c r="B9825" i="1"/>
  <c r="A9826" i="1"/>
  <c r="B9826" i="1"/>
  <c r="A9827" i="1"/>
  <c r="B9827" i="1"/>
  <c r="A9828" i="1"/>
  <c r="B9828" i="1"/>
  <c r="A9829" i="1"/>
  <c r="B9829" i="1"/>
  <c r="A9830" i="1"/>
  <c r="B9830" i="1"/>
  <c r="A9831" i="1"/>
  <c r="B9831" i="1"/>
  <c r="A9832" i="1"/>
  <c r="B9832" i="1"/>
  <c r="A9833" i="1"/>
  <c r="B9833" i="1"/>
  <c r="A9834" i="1"/>
  <c r="B9834" i="1"/>
  <c r="A9835" i="1"/>
  <c r="B9835" i="1"/>
  <c r="A9836" i="1"/>
  <c r="B9836" i="1"/>
  <c r="A9837" i="1"/>
  <c r="B9837" i="1"/>
  <c r="A9838" i="1"/>
  <c r="B9838" i="1"/>
  <c r="A9839" i="1"/>
  <c r="B9839" i="1"/>
  <c r="A9840" i="1"/>
  <c r="B9840" i="1"/>
  <c r="A9841" i="1"/>
  <c r="B9841" i="1"/>
  <c r="A9842" i="1"/>
  <c r="B9842" i="1"/>
  <c r="A9843" i="1"/>
  <c r="B9843" i="1"/>
  <c r="A9844" i="1"/>
  <c r="B9844" i="1"/>
  <c r="A9845" i="1"/>
  <c r="B9845" i="1"/>
  <c r="A9846" i="1"/>
  <c r="B9846" i="1"/>
  <c r="A9847" i="1"/>
  <c r="B9847" i="1"/>
  <c r="A9848" i="1"/>
  <c r="B9848" i="1"/>
  <c r="A9849" i="1"/>
  <c r="B9849" i="1"/>
  <c r="A9850" i="1"/>
  <c r="B9850" i="1"/>
  <c r="A9851" i="1"/>
  <c r="B9851" i="1"/>
  <c r="A9852" i="1"/>
  <c r="B9852" i="1"/>
  <c r="A9853" i="1"/>
  <c r="B9853" i="1"/>
  <c r="A9854" i="1"/>
  <c r="B9854" i="1"/>
  <c r="A9855" i="1"/>
  <c r="B9855" i="1"/>
  <c r="A9856" i="1"/>
  <c r="B9856" i="1"/>
  <c r="A9857" i="1"/>
  <c r="B9857" i="1"/>
  <c r="A9858" i="1"/>
  <c r="B9858" i="1"/>
  <c r="A9859" i="1"/>
  <c r="B9859" i="1"/>
  <c r="A9860" i="1"/>
  <c r="B9860" i="1"/>
  <c r="A9861" i="1"/>
  <c r="B9861" i="1"/>
  <c r="A9862" i="1"/>
  <c r="B9862" i="1"/>
  <c r="A9863" i="1"/>
  <c r="B9863" i="1"/>
  <c r="A9864" i="1"/>
  <c r="B9864" i="1"/>
  <c r="A9865" i="1"/>
  <c r="B9865" i="1"/>
  <c r="A9866" i="1"/>
  <c r="B9866" i="1"/>
  <c r="A9867" i="1"/>
  <c r="B9867" i="1"/>
  <c r="A9868" i="1"/>
  <c r="B9868" i="1"/>
  <c r="A9869" i="1"/>
  <c r="B9869" i="1"/>
  <c r="A9870" i="1"/>
  <c r="B9870" i="1"/>
  <c r="A9871" i="1"/>
  <c r="B9871" i="1"/>
  <c r="A9872" i="1"/>
  <c r="B9872" i="1"/>
  <c r="A9873" i="1"/>
  <c r="B9873" i="1"/>
  <c r="A9874" i="1"/>
  <c r="B9874" i="1"/>
  <c r="A9875" i="1"/>
  <c r="B9875" i="1"/>
  <c r="A9876" i="1"/>
  <c r="B9876" i="1"/>
  <c r="A9877" i="1"/>
  <c r="B9877" i="1"/>
  <c r="A9878" i="1"/>
  <c r="B9878" i="1"/>
  <c r="A9879" i="1"/>
  <c r="B9879" i="1"/>
  <c r="A9880" i="1"/>
  <c r="B9880" i="1"/>
  <c r="A9881" i="1"/>
  <c r="B9881" i="1"/>
  <c r="A9882" i="1"/>
  <c r="B9882" i="1"/>
  <c r="A9883" i="1"/>
  <c r="B9883" i="1"/>
  <c r="A9884" i="1"/>
  <c r="B9884" i="1"/>
  <c r="A9885" i="1"/>
  <c r="B9885" i="1"/>
  <c r="A9886" i="1"/>
  <c r="B9886" i="1"/>
  <c r="A9887" i="1"/>
  <c r="B9887" i="1"/>
  <c r="A9888" i="1"/>
  <c r="B9888" i="1"/>
  <c r="A9889" i="1"/>
  <c r="B9889" i="1"/>
  <c r="A9890" i="1"/>
  <c r="B9890" i="1"/>
  <c r="A9891" i="1"/>
  <c r="B9891" i="1"/>
  <c r="A9892" i="1"/>
  <c r="B9892" i="1"/>
  <c r="A9893" i="1"/>
  <c r="B9893" i="1"/>
  <c r="A9894" i="1"/>
  <c r="B9894" i="1"/>
  <c r="A9895" i="1"/>
  <c r="B9895" i="1"/>
  <c r="A9896" i="1"/>
  <c r="B9896" i="1"/>
  <c r="A9897" i="1"/>
  <c r="B9897" i="1"/>
  <c r="A9898" i="1"/>
  <c r="B9898" i="1"/>
  <c r="A9899" i="1"/>
  <c r="B9899" i="1"/>
  <c r="A9900" i="1"/>
  <c r="B9900" i="1"/>
  <c r="A9901" i="1"/>
  <c r="B9901" i="1"/>
  <c r="A9902" i="1"/>
  <c r="B9902" i="1"/>
  <c r="A9903" i="1"/>
  <c r="B9903" i="1"/>
  <c r="A9904" i="1"/>
  <c r="B9904" i="1"/>
  <c r="A9905" i="1"/>
  <c r="B9905" i="1"/>
  <c r="A9906" i="1"/>
  <c r="B9906" i="1"/>
  <c r="A9907" i="1"/>
  <c r="B9907" i="1"/>
  <c r="A9908" i="1"/>
  <c r="B9908" i="1"/>
  <c r="A9909" i="1"/>
  <c r="B9909" i="1"/>
  <c r="A9910" i="1"/>
  <c r="B9910" i="1"/>
  <c r="A9911" i="1"/>
  <c r="B9911" i="1"/>
  <c r="A9912" i="1"/>
  <c r="B9912" i="1"/>
  <c r="A9913" i="1"/>
  <c r="B9913" i="1"/>
  <c r="A9914" i="1"/>
  <c r="B9914" i="1"/>
  <c r="A9915" i="1"/>
  <c r="B9915" i="1"/>
  <c r="A9916" i="1"/>
  <c r="B9916" i="1"/>
  <c r="A9917" i="1"/>
  <c r="B9917" i="1"/>
  <c r="A9918" i="1"/>
  <c r="B9918" i="1"/>
  <c r="A9919" i="1"/>
  <c r="B9919" i="1"/>
  <c r="A9920" i="1"/>
  <c r="B9920" i="1"/>
  <c r="A9921" i="1"/>
  <c r="B9921" i="1"/>
  <c r="A9922" i="1"/>
  <c r="B9922" i="1"/>
  <c r="A9923" i="1"/>
  <c r="B9923" i="1"/>
  <c r="A9924" i="1"/>
  <c r="B9924" i="1"/>
  <c r="A9925" i="1"/>
  <c r="B9925" i="1"/>
  <c r="A9926" i="1"/>
  <c r="B9926" i="1"/>
  <c r="A9927" i="1"/>
  <c r="B9927" i="1"/>
  <c r="A9928" i="1"/>
  <c r="B9928" i="1"/>
  <c r="A9929" i="1"/>
  <c r="B9929" i="1"/>
  <c r="A9930" i="1"/>
  <c r="B9930" i="1"/>
  <c r="A9931" i="1"/>
  <c r="B9931" i="1"/>
  <c r="A9932" i="1"/>
  <c r="B9932" i="1"/>
  <c r="A9933" i="1"/>
  <c r="B9933" i="1"/>
  <c r="A9934" i="1"/>
  <c r="B9934" i="1"/>
  <c r="A9935" i="1"/>
  <c r="B9935" i="1"/>
  <c r="A9936" i="1"/>
  <c r="B9936" i="1"/>
  <c r="A9937" i="1"/>
  <c r="B9937" i="1"/>
  <c r="A9938" i="1"/>
  <c r="B9938" i="1"/>
  <c r="A9939" i="1"/>
  <c r="B9939" i="1"/>
  <c r="A9940" i="1"/>
  <c r="B9940" i="1"/>
  <c r="A9941" i="1"/>
  <c r="B9941" i="1"/>
  <c r="A9942" i="1"/>
  <c r="B9942" i="1"/>
  <c r="A9943" i="1"/>
  <c r="B9943" i="1"/>
  <c r="A9944" i="1"/>
  <c r="B9944" i="1"/>
  <c r="A9945" i="1"/>
  <c r="B9945" i="1"/>
  <c r="A9946" i="1"/>
  <c r="B9946" i="1"/>
  <c r="A9947" i="1"/>
  <c r="B9947" i="1"/>
  <c r="A9948" i="1"/>
  <c r="B9948" i="1"/>
  <c r="A9949" i="1"/>
  <c r="B9949" i="1"/>
  <c r="A9950" i="1"/>
  <c r="B9950" i="1"/>
  <c r="A9951" i="1"/>
  <c r="B9951" i="1"/>
  <c r="A9952" i="1"/>
  <c r="B9952" i="1"/>
  <c r="A9953" i="1"/>
  <c r="B9953" i="1"/>
  <c r="A9954" i="1"/>
  <c r="B9954" i="1"/>
  <c r="A9955" i="1"/>
  <c r="B9955" i="1"/>
  <c r="A9956" i="1"/>
  <c r="B9956" i="1"/>
  <c r="A9957" i="1"/>
  <c r="B9957" i="1"/>
  <c r="A9958" i="1"/>
  <c r="B9958" i="1"/>
  <c r="A9959" i="1"/>
  <c r="B9959" i="1"/>
  <c r="A9960" i="1"/>
  <c r="B9960" i="1"/>
  <c r="A9961" i="1"/>
  <c r="B9961" i="1"/>
  <c r="A9962" i="1"/>
  <c r="B9962" i="1"/>
  <c r="A9963" i="1"/>
  <c r="B9963" i="1"/>
  <c r="A9964" i="1"/>
  <c r="B9964" i="1"/>
  <c r="A9965" i="1"/>
  <c r="B9965" i="1"/>
  <c r="A9966" i="1"/>
  <c r="B9966" i="1"/>
  <c r="A9967" i="1"/>
  <c r="B9967" i="1"/>
  <c r="A9968" i="1"/>
  <c r="B9968" i="1"/>
  <c r="A9969" i="1"/>
  <c r="B9969" i="1"/>
  <c r="A9970" i="1"/>
  <c r="B9970" i="1"/>
  <c r="A9971" i="1"/>
  <c r="B9971" i="1"/>
  <c r="A9972" i="1"/>
  <c r="B9972" i="1"/>
  <c r="A9973" i="1"/>
  <c r="B9973" i="1"/>
  <c r="A9974" i="1"/>
  <c r="B9974" i="1"/>
  <c r="A9975" i="1"/>
  <c r="B9975" i="1"/>
  <c r="A9976" i="1"/>
  <c r="B9976" i="1"/>
  <c r="A9977" i="1"/>
  <c r="B9977" i="1"/>
  <c r="A9978" i="1"/>
  <c r="B9978" i="1"/>
  <c r="A9979" i="1"/>
  <c r="B9979" i="1"/>
  <c r="A9980" i="1"/>
  <c r="B9980" i="1"/>
  <c r="A9981" i="1"/>
  <c r="B9981" i="1"/>
  <c r="A9982" i="1"/>
  <c r="B9982" i="1"/>
  <c r="A9983" i="1"/>
  <c r="B9983" i="1"/>
  <c r="A9984" i="1"/>
  <c r="B9984" i="1"/>
  <c r="A9985" i="1"/>
  <c r="B9985" i="1"/>
  <c r="A9986" i="1"/>
  <c r="B9986" i="1"/>
  <c r="A9987" i="1"/>
  <c r="B9987" i="1"/>
  <c r="A9988" i="1"/>
  <c r="B9988" i="1"/>
  <c r="A9989" i="1"/>
  <c r="B9989" i="1"/>
  <c r="A9990" i="1"/>
  <c r="B9990" i="1"/>
  <c r="A9991" i="1"/>
  <c r="B9991" i="1"/>
  <c r="A9992" i="1"/>
  <c r="B9992" i="1"/>
  <c r="A9993" i="1"/>
  <c r="B9993" i="1"/>
  <c r="A9994" i="1"/>
  <c r="B9994" i="1"/>
  <c r="A9995" i="1"/>
  <c r="B9995" i="1"/>
  <c r="A9996" i="1"/>
  <c r="B9996" i="1"/>
  <c r="A9997" i="1"/>
  <c r="B9997" i="1"/>
  <c r="A9998" i="1"/>
  <c r="B9998" i="1"/>
  <c r="A9999" i="1"/>
  <c r="B9999" i="1"/>
  <c r="A10000" i="1"/>
  <c r="B10000" i="1"/>
  <c r="A10001" i="1"/>
  <c r="B10001" i="1"/>
  <c r="A10002" i="1"/>
  <c r="B10002" i="1"/>
  <c r="A10003" i="1"/>
  <c r="B10003" i="1"/>
  <c r="A10004" i="1"/>
  <c r="B10004" i="1"/>
  <c r="A10005" i="1"/>
  <c r="B10005" i="1"/>
  <c r="A10006" i="1"/>
  <c r="B10006" i="1"/>
  <c r="A10007" i="1"/>
  <c r="B10007" i="1"/>
  <c r="A10008" i="1"/>
  <c r="B10008" i="1"/>
  <c r="A10009" i="1"/>
  <c r="B10009" i="1"/>
  <c r="A10010" i="1"/>
  <c r="B10010" i="1"/>
  <c r="A10011" i="1"/>
  <c r="B10011" i="1"/>
  <c r="A10012" i="1"/>
  <c r="B10012" i="1"/>
  <c r="A10013" i="1"/>
  <c r="B10013" i="1"/>
  <c r="A10014" i="1"/>
  <c r="B10014" i="1"/>
  <c r="A10015" i="1"/>
  <c r="B10015" i="1"/>
  <c r="A10016" i="1"/>
  <c r="B10016" i="1"/>
  <c r="A10017" i="1"/>
  <c r="B10017" i="1"/>
  <c r="A10018" i="1"/>
  <c r="B10018" i="1"/>
  <c r="A10019" i="1"/>
  <c r="B10019" i="1"/>
  <c r="A10020" i="1"/>
  <c r="B10020" i="1"/>
  <c r="A10021" i="1"/>
  <c r="B10021" i="1"/>
  <c r="A10022" i="1"/>
  <c r="B10022" i="1"/>
  <c r="A10023" i="1"/>
  <c r="B10023" i="1"/>
  <c r="A10024" i="1"/>
  <c r="B10024" i="1"/>
  <c r="A10025" i="1"/>
  <c r="B10025" i="1"/>
  <c r="A10026" i="1"/>
  <c r="B10026" i="1"/>
  <c r="A10027" i="1"/>
  <c r="B10027" i="1"/>
  <c r="A10028" i="1"/>
  <c r="B10028" i="1"/>
  <c r="A10029" i="1"/>
  <c r="B10029" i="1"/>
  <c r="A10030" i="1"/>
  <c r="B10030" i="1"/>
  <c r="A10031" i="1"/>
  <c r="B10031" i="1"/>
  <c r="A10032" i="1"/>
  <c r="B10032" i="1"/>
  <c r="A10033" i="1"/>
  <c r="B10033" i="1"/>
  <c r="A10034" i="1"/>
  <c r="B10034" i="1"/>
  <c r="A10035" i="1"/>
  <c r="B10035" i="1"/>
  <c r="A10036" i="1"/>
  <c r="B10036" i="1"/>
  <c r="A10037" i="1"/>
  <c r="B10037" i="1"/>
  <c r="A10038" i="1"/>
  <c r="B10038" i="1"/>
  <c r="A10039" i="1"/>
  <c r="B10039" i="1"/>
  <c r="A10040" i="1"/>
  <c r="B10040" i="1"/>
  <c r="A10041" i="1"/>
  <c r="B10041" i="1"/>
  <c r="A10042" i="1"/>
  <c r="B10042" i="1"/>
  <c r="A10043" i="1"/>
  <c r="B10043" i="1"/>
  <c r="A10044" i="1"/>
  <c r="B10044" i="1"/>
  <c r="A10045" i="1"/>
  <c r="B10045" i="1"/>
  <c r="A10046" i="1"/>
  <c r="B10046" i="1"/>
  <c r="A10047" i="1"/>
  <c r="B10047" i="1"/>
  <c r="A10048" i="1"/>
  <c r="B10048" i="1"/>
  <c r="A10049" i="1"/>
  <c r="B10049" i="1"/>
  <c r="A10050" i="1"/>
  <c r="B10050" i="1"/>
  <c r="A10051" i="1"/>
  <c r="B10051" i="1"/>
  <c r="A10052" i="1"/>
  <c r="B10052" i="1"/>
  <c r="A10053" i="1"/>
  <c r="B10053" i="1"/>
  <c r="A10054" i="1"/>
  <c r="B10054" i="1"/>
  <c r="A10055" i="1"/>
  <c r="B10055" i="1"/>
  <c r="A10056" i="1"/>
  <c r="B10056" i="1"/>
  <c r="A10057" i="1"/>
  <c r="B10057" i="1"/>
  <c r="A10058" i="1"/>
  <c r="B10058" i="1"/>
  <c r="A10059" i="1"/>
  <c r="B10059" i="1"/>
  <c r="A10060" i="1"/>
  <c r="B10060" i="1"/>
  <c r="A10061" i="1"/>
  <c r="B10061" i="1"/>
  <c r="A10062" i="1"/>
  <c r="B10062" i="1"/>
  <c r="A10063" i="1"/>
  <c r="B10063" i="1"/>
  <c r="A10064" i="1"/>
  <c r="B10064" i="1"/>
  <c r="A10065" i="1"/>
  <c r="B10065" i="1"/>
  <c r="A10066" i="1"/>
  <c r="B10066" i="1"/>
  <c r="A10067" i="1"/>
  <c r="B10067" i="1"/>
  <c r="A10068" i="1"/>
  <c r="B10068" i="1"/>
  <c r="A10069" i="1"/>
  <c r="B10069" i="1"/>
  <c r="A10070" i="1"/>
  <c r="B10070" i="1"/>
  <c r="A10071" i="1"/>
  <c r="B10071" i="1"/>
  <c r="A10072" i="1"/>
  <c r="B10072" i="1"/>
  <c r="A10073" i="1"/>
  <c r="B10073" i="1"/>
  <c r="A10074" i="1"/>
  <c r="B10074" i="1"/>
  <c r="A10075" i="1"/>
  <c r="B10075" i="1"/>
  <c r="A10076" i="1"/>
  <c r="B10076" i="1"/>
  <c r="A10077" i="1"/>
  <c r="B10077" i="1"/>
  <c r="A10078" i="1"/>
  <c r="B10078" i="1"/>
  <c r="A10079" i="1"/>
  <c r="B10079" i="1"/>
  <c r="A10080" i="1"/>
  <c r="B10080" i="1"/>
  <c r="A10081" i="1"/>
  <c r="B10081" i="1"/>
  <c r="A10082" i="1"/>
  <c r="B10082" i="1"/>
  <c r="A10083" i="1"/>
  <c r="B10083" i="1"/>
  <c r="A10084" i="1"/>
  <c r="B10084" i="1"/>
  <c r="A10085" i="1"/>
  <c r="B10085" i="1"/>
  <c r="A10086" i="1"/>
  <c r="B10086" i="1"/>
  <c r="A10087" i="1"/>
  <c r="B10087" i="1"/>
  <c r="A10088" i="1"/>
  <c r="B10088" i="1"/>
  <c r="A10089" i="1"/>
  <c r="B10089" i="1"/>
  <c r="A10090" i="1"/>
  <c r="B10090" i="1"/>
  <c r="A10091" i="1"/>
  <c r="B10091" i="1"/>
  <c r="A10092" i="1"/>
  <c r="B10092" i="1"/>
  <c r="A10093" i="1"/>
  <c r="B10093" i="1"/>
  <c r="A10094" i="1"/>
  <c r="B10094" i="1"/>
  <c r="A10095" i="1"/>
  <c r="B10095" i="1"/>
  <c r="A10096" i="1"/>
  <c r="B10096" i="1"/>
  <c r="A10097" i="1"/>
  <c r="B10097" i="1"/>
  <c r="A10098" i="1"/>
  <c r="B10098" i="1"/>
  <c r="A10099" i="1"/>
  <c r="B10099" i="1"/>
  <c r="A10100" i="1"/>
  <c r="B10100" i="1"/>
  <c r="A10101" i="1"/>
  <c r="B10101" i="1"/>
  <c r="A10102" i="1"/>
  <c r="B10102" i="1"/>
  <c r="A10103" i="1"/>
  <c r="B10103" i="1"/>
  <c r="A10104" i="1"/>
  <c r="B10104" i="1"/>
  <c r="A10105" i="1"/>
  <c r="B10105" i="1"/>
  <c r="A10106" i="1"/>
  <c r="B10106" i="1"/>
  <c r="A10107" i="1"/>
  <c r="B10107" i="1"/>
  <c r="A10108" i="1"/>
  <c r="B10108" i="1"/>
  <c r="A10109" i="1"/>
  <c r="B10109" i="1"/>
  <c r="A10110" i="1"/>
  <c r="B10110" i="1"/>
  <c r="A10111" i="1"/>
  <c r="B10111" i="1"/>
  <c r="A10112" i="1"/>
  <c r="B10112" i="1"/>
  <c r="A10113" i="1"/>
  <c r="B10113" i="1"/>
  <c r="A10114" i="1"/>
  <c r="B10114" i="1"/>
  <c r="A10115" i="1"/>
  <c r="B10115" i="1"/>
  <c r="A10116" i="1"/>
  <c r="B10116" i="1"/>
  <c r="A10117" i="1"/>
  <c r="B10117" i="1"/>
  <c r="A10118" i="1"/>
  <c r="B10118" i="1"/>
  <c r="A10119" i="1"/>
  <c r="B10119" i="1"/>
  <c r="A10120" i="1"/>
  <c r="B10120" i="1"/>
  <c r="A10121" i="1"/>
  <c r="B10121" i="1"/>
  <c r="A10122" i="1"/>
  <c r="B10122" i="1"/>
  <c r="A10123" i="1"/>
  <c r="B10123" i="1"/>
  <c r="A10124" i="1"/>
  <c r="B10124" i="1"/>
  <c r="A10125" i="1"/>
  <c r="B10125" i="1"/>
  <c r="A10126" i="1"/>
  <c r="B10126" i="1"/>
  <c r="A10127" i="1"/>
  <c r="B10127" i="1"/>
  <c r="A10128" i="1"/>
  <c r="B10128" i="1"/>
  <c r="A10129" i="1"/>
  <c r="B10129" i="1"/>
  <c r="A10130" i="1"/>
  <c r="B10130" i="1"/>
  <c r="A10131" i="1"/>
  <c r="B10131" i="1"/>
  <c r="A10132" i="1"/>
  <c r="B10132" i="1"/>
  <c r="A10133" i="1"/>
  <c r="B10133" i="1"/>
  <c r="A10134" i="1"/>
  <c r="B10134" i="1"/>
  <c r="A10135" i="1"/>
  <c r="B10135" i="1"/>
  <c r="A10136" i="1"/>
  <c r="B10136" i="1"/>
  <c r="A10137" i="1"/>
  <c r="B10137" i="1"/>
  <c r="A10138" i="1"/>
  <c r="B10138" i="1"/>
  <c r="A10139" i="1"/>
  <c r="B10139" i="1"/>
  <c r="A10140" i="1"/>
  <c r="B10140" i="1"/>
  <c r="A10141" i="1"/>
  <c r="B10141" i="1"/>
  <c r="A10142" i="1"/>
  <c r="B10142" i="1"/>
  <c r="A10143" i="1"/>
  <c r="B10143" i="1"/>
  <c r="A10144" i="1"/>
  <c r="B10144" i="1"/>
  <c r="A10145" i="1"/>
  <c r="B10145" i="1"/>
  <c r="A10146" i="1"/>
  <c r="B10146" i="1"/>
  <c r="A10147" i="1"/>
  <c r="B10147" i="1"/>
  <c r="A10148" i="1"/>
  <c r="B10148" i="1"/>
  <c r="A10149" i="1"/>
  <c r="B10149" i="1"/>
  <c r="A10150" i="1"/>
  <c r="B10150" i="1"/>
  <c r="A10151" i="1"/>
  <c r="B10151" i="1"/>
  <c r="A10152" i="1"/>
  <c r="B10152" i="1"/>
  <c r="A10153" i="1"/>
  <c r="B10153" i="1"/>
  <c r="A10154" i="1"/>
  <c r="B10154" i="1"/>
  <c r="A10155" i="1"/>
  <c r="B10155" i="1"/>
  <c r="A10156" i="1"/>
  <c r="B10156" i="1"/>
  <c r="A10157" i="1"/>
  <c r="B10157" i="1"/>
  <c r="A10158" i="1"/>
  <c r="B10158" i="1"/>
  <c r="A10159" i="1"/>
  <c r="B10159" i="1"/>
  <c r="A10160" i="1"/>
  <c r="B10160" i="1"/>
  <c r="A10161" i="1"/>
  <c r="B10161" i="1"/>
  <c r="A10162" i="1"/>
  <c r="B10162" i="1"/>
  <c r="A10163" i="1"/>
  <c r="B10163" i="1"/>
  <c r="A10164" i="1"/>
  <c r="B10164" i="1"/>
  <c r="A10165" i="1"/>
  <c r="B10165" i="1"/>
  <c r="A10166" i="1"/>
  <c r="B10166" i="1"/>
  <c r="A10167" i="1"/>
  <c r="B10167" i="1"/>
  <c r="A10168" i="1"/>
  <c r="B10168" i="1"/>
  <c r="A10169" i="1"/>
  <c r="B10169" i="1"/>
  <c r="A10170" i="1"/>
  <c r="B10170" i="1"/>
  <c r="A10171" i="1"/>
  <c r="B10171" i="1"/>
  <c r="A10172" i="1"/>
  <c r="B10172" i="1"/>
  <c r="A10173" i="1"/>
  <c r="B10173" i="1"/>
  <c r="A10174" i="1"/>
  <c r="B10174" i="1"/>
  <c r="A10175" i="1"/>
  <c r="B10175" i="1"/>
  <c r="A10176" i="1"/>
  <c r="B10176" i="1"/>
  <c r="A10177" i="1"/>
  <c r="B10177" i="1"/>
  <c r="A10178" i="1"/>
  <c r="B10178" i="1"/>
  <c r="A10179" i="1"/>
  <c r="B10179" i="1"/>
  <c r="A10180" i="1"/>
  <c r="B10180" i="1"/>
  <c r="A10181" i="1"/>
  <c r="B10181" i="1"/>
  <c r="A10182" i="1"/>
  <c r="B10182" i="1"/>
  <c r="A10183" i="1"/>
  <c r="B10183" i="1"/>
  <c r="A10184" i="1"/>
  <c r="B10184" i="1"/>
  <c r="A10185" i="1"/>
  <c r="B10185" i="1"/>
  <c r="A10186" i="1"/>
  <c r="B10186" i="1"/>
  <c r="A10187" i="1"/>
  <c r="B10187" i="1"/>
  <c r="A10188" i="1"/>
  <c r="B10188" i="1"/>
  <c r="A10189" i="1"/>
  <c r="B10189" i="1"/>
  <c r="A10190" i="1"/>
  <c r="B10190" i="1"/>
  <c r="A10191" i="1"/>
  <c r="B10191" i="1"/>
  <c r="A10192" i="1"/>
  <c r="B10192" i="1"/>
  <c r="A10193" i="1"/>
  <c r="B10193" i="1"/>
  <c r="A10194" i="1"/>
  <c r="B10194" i="1"/>
  <c r="A10195" i="1"/>
  <c r="B10195" i="1"/>
  <c r="A10196" i="1"/>
  <c r="B10196" i="1"/>
  <c r="A10197" i="1"/>
  <c r="B10197" i="1"/>
  <c r="A10198" i="1"/>
  <c r="B10198" i="1"/>
  <c r="A10199" i="1"/>
  <c r="B10199" i="1"/>
  <c r="A10200" i="1"/>
  <c r="B10200" i="1"/>
  <c r="A10201" i="1"/>
  <c r="B10201" i="1"/>
  <c r="A10202" i="1"/>
  <c r="B10202" i="1"/>
  <c r="A10203" i="1"/>
  <c r="B10203" i="1"/>
  <c r="A10204" i="1"/>
  <c r="B10204" i="1"/>
  <c r="A10205" i="1"/>
  <c r="B10205" i="1"/>
  <c r="A10206" i="1"/>
  <c r="B10206" i="1"/>
  <c r="A10207" i="1"/>
  <c r="B10207" i="1"/>
  <c r="A10208" i="1"/>
  <c r="B10208" i="1"/>
  <c r="A10209" i="1"/>
  <c r="B10209" i="1"/>
  <c r="A10210" i="1"/>
  <c r="B10210" i="1"/>
  <c r="A10211" i="1"/>
  <c r="B10211" i="1"/>
  <c r="A10212" i="1"/>
  <c r="B10212" i="1"/>
  <c r="A10213" i="1"/>
  <c r="B10213" i="1"/>
  <c r="A10214" i="1"/>
  <c r="B10214" i="1"/>
  <c r="A10215" i="1"/>
  <c r="B10215" i="1"/>
  <c r="A10216" i="1"/>
  <c r="B10216" i="1"/>
  <c r="A10217" i="1"/>
  <c r="B10217" i="1"/>
  <c r="A10218" i="1"/>
  <c r="B10218" i="1"/>
  <c r="A10219" i="1"/>
  <c r="B10219" i="1"/>
  <c r="A10220" i="1"/>
  <c r="B10220" i="1"/>
  <c r="A10221" i="1"/>
  <c r="B10221" i="1"/>
  <c r="A10222" i="1"/>
  <c r="B10222" i="1"/>
  <c r="A10223" i="1"/>
  <c r="B10223" i="1"/>
  <c r="A10224" i="1"/>
  <c r="B10224" i="1"/>
  <c r="A10225" i="1"/>
  <c r="B10225" i="1"/>
  <c r="A10226" i="1"/>
  <c r="B10226" i="1"/>
  <c r="A10227" i="1"/>
  <c r="B10227" i="1"/>
  <c r="A10228" i="1"/>
  <c r="B10228" i="1"/>
  <c r="A10229" i="1"/>
  <c r="B10229" i="1"/>
  <c r="A10230" i="1"/>
  <c r="B10230" i="1"/>
  <c r="A10231" i="1"/>
  <c r="B10231" i="1"/>
  <c r="A10232" i="1"/>
  <c r="B10232" i="1"/>
  <c r="A10233" i="1"/>
  <c r="B10233" i="1"/>
  <c r="A10234" i="1"/>
  <c r="B10234" i="1"/>
  <c r="A10235" i="1"/>
  <c r="B10235" i="1"/>
  <c r="A10236" i="1"/>
  <c r="B10236" i="1"/>
  <c r="A10237" i="1"/>
  <c r="B10237" i="1"/>
  <c r="A10238" i="1"/>
  <c r="B10238" i="1"/>
  <c r="A10239" i="1"/>
  <c r="B10239" i="1"/>
  <c r="A10240" i="1"/>
  <c r="B10240" i="1"/>
  <c r="A10241" i="1"/>
  <c r="B10241" i="1"/>
  <c r="A10242" i="1"/>
  <c r="B10242" i="1"/>
  <c r="A10243" i="1"/>
  <c r="B10243" i="1"/>
  <c r="A10244" i="1"/>
  <c r="B10244" i="1"/>
  <c r="A10245" i="1"/>
  <c r="B10245" i="1"/>
  <c r="A10246" i="1"/>
  <c r="B10246" i="1"/>
  <c r="A10247" i="1"/>
  <c r="B10247" i="1"/>
  <c r="A10248" i="1"/>
  <c r="B10248" i="1"/>
  <c r="A10249" i="1"/>
  <c r="B10249" i="1"/>
  <c r="A10250" i="1"/>
  <c r="B10250" i="1"/>
  <c r="A10251" i="1"/>
  <c r="B10251" i="1"/>
  <c r="A10252" i="1"/>
  <c r="B10252" i="1"/>
  <c r="A10253" i="1"/>
  <c r="B10253" i="1"/>
  <c r="A10254" i="1"/>
  <c r="B10254" i="1"/>
  <c r="A10255" i="1"/>
  <c r="B10255" i="1"/>
  <c r="A10256" i="1"/>
  <c r="B10256" i="1"/>
  <c r="A10257" i="1"/>
  <c r="B10257" i="1"/>
  <c r="A10258" i="1"/>
  <c r="B10258" i="1"/>
  <c r="A10259" i="1"/>
  <c r="B10259" i="1"/>
  <c r="A10260" i="1"/>
  <c r="B10260" i="1"/>
  <c r="A10261" i="1"/>
  <c r="B10261" i="1"/>
  <c r="A10262" i="1"/>
  <c r="B10262" i="1"/>
  <c r="A10263" i="1"/>
  <c r="B10263" i="1"/>
  <c r="A10264" i="1"/>
  <c r="B10264" i="1"/>
  <c r="A10265" i="1"/>
  <c r="B10265" i="1"/>
  <c r="A10266" i="1"/>
  <c r="B10266" i="1"/>
  <c r="A10267" i="1"/>
  <c r="B10267" i="1"/>
  <c r="A10268" i="1"/>
  <c r="B10268" i="1"/>
  <c r="A10269" i="1"/>
  <c r="B10269" i="1"/>
  <c r="A10270" i="1"/>
  <c r="B10270" i="1"/>
  <c r="A10271" i="1"/>
  <c r="B10271" i="1"/>
  <c r="A10272" i="1"/>
  <c r="B10272" i="1"/>
  <c r="A10273" i="1"/>
  <c r="B10273" i="1"/>
  <c r="A10274" i="1"/>
  <c r="B10274" i="1"/>
  <c r="A10275" i="1"/>
  <c r="B10275" i="1"/>
  <c r="A10276" i="1"/>
  <c r="B10276" i="1"/>
  <c r="A10277" i="1"/>
  <c r="B10277" i="1"/>
  <c r="A10278" i="1"/>
  <c r="B10278" i="1"/>
  <c r="A10279" i="1"/>
  <c r="B10279" i="1"/>
  <c r="A10280" i="1"/>
  <c r="B10280" i="1"/>
  <c r="A10281" i="1"/>
  <c r="B10281" i="1"/>
  <c r="A10282" i="1"/>
  <c r="B10282" i="1"/>
  <c r="A10283" i="1"/>
  <c r="B10283" i="1"/>
  <c r="A10284" i="1"/>
  <c r="B10284" i="1"/>
  <c r="A10285" i="1"/>
  <c r="B10285" i="1"/>
  <c r="A10286" i="1"/>
  <c r="B10286" i="1"/>
  <c r="A10287" i="1"/>
  <c r="B10287" i="1"/>
  <c r="A10288" i="1"/>
  <c r="B10288" i="1"/>
  <c r="A10289" i="1"/>
  <c r="B10289" i="1"/>
  <c r="A10290" i="1"/>
  <c r="B10290" i="1"/>
  <c r="A10291" i="1"/>
  <c r="B10291" i="1"/>
  <c r="A10292" i="1"/>
  <c r="B10292" i="1"/>
  <c r="A10293" i="1"/>
  <c r="B10293" i="1"/>
  <c r="A10294" i="1"/>
  <c r="B10294" i="1"/>
  <c r="A10295" i="1"/>
  <c r="B10295" i="1"/>
  <c r="A10296" i="1"/>
  <c r="A10297" i="1"/>
  <c r="B10297" i="1"/>
  <c r="A10298" i="1"/>
  <c r="B10298" i="1"/>
  <c r="A10299" i="1"/>
  <c r="A10300" i="1"/>
  <c r="B10300" i="1"/>
  <c r="A10301" i="1"/>
  <c r="B10301" i="1"/>
  <c r="A10302" i="1"/>
  <c r="B10302" i="1"/>
  <c r="A10303" i="1"/>
  <c r="A10304" i="1"/>
  <c r="B10304" i="1"/>
  <c r="A10305" i="1"/>
  <c r="B10305" i="1"/>
  <c r="A10306" i="1"/>
  <c r="A10307" i="1"/>
  <c r="B10307" i="1"/>
  <c r="A10308" i="1"/>
  <c r="B10308" i="1"/>
  <c r="A10309" i="1"/>
  <c r="A10310" i="1"/>
  <c r="B10310" i="1"/>
  <c r="A10311" i="1"/>
  <c r="B10311" i="1"/>
  <c r="A10312" i="1"/>
  <c r="B10312" i="1"/>
  <c r="A10313" i="1"/>
  <c r="B10313" i="1"/>
  <c r="A10314" i="1"/>
  <c r="A10315" i="1"/>
  <c r="B10315" i="1"/>
  <c r="A10316" i="1"/>
  <c r="B10316" i="1"/>
  <c r="A10317" i="1"/>
  <c r="B10317" i="1"/>
  <c r="A10318" i="1"/>
  <c r="B10318" i="1"/>
  <c r="A10319" i="1"/>
  <c r="B10319" i="1"/>
  <c r="A10320" i="1"/>
  <c r="B10320" i="1"/>
  <c r="A10321" i="1"/>
  <c r="B10321" i="1"/>
  <c r="A10322" i="1"/>
  <c r="A10323" i="1"/>
  <c r="B10323" i="1"/>
  <c r="A10324" i="1"/>
  <c r="B10324" i="1"/>
  <c r="A10325" i="1"/>
  <c r="B10325" i="1"/>
  <c r="A10326" i="1"/>
  <c r="B10326" i="1"/>
  <c r="A10327" i="1"/>
  <c r="B10327" i="1"/>
  <c r="A10328" i="1"/>
  <c r="B10328" i="1"/>
  <c r="A10329" i="1"/>
  <c r="B10329" i="1"/>
  <c r="A10330" i="1"/>
  <c r="A10331" i="1"/>
  <c r="B10331" i="1"/>
  <c r="A10332" i="1"/>
  <c r="B10332" i="1"/>
  <c r="A10333" i="1"/>
  <c r="B10333" i="1"/>
  <c r="A10334" i="1"/>
  <c r="B10334" i="1"/>
  <c r="A10335" i="1"/>
  <c r="B10335" i="1"/>
  <c r="A10336" i="1"/>
  <c r="B10336" i="1"/>
  <c r="A10337" i="1"/>
  <c r="B10337" i="1"/>
  <c r="A10338" i="1"/>
  <c r="B10338" i="1"/>
  <c r="A10339" i="1"/>
  <c r="B10339" i="1"/>
  <c r="A10340" i="1"/>
  <c r="B10340" i="1"/>
  <c r="A10341" i="1"/>
  <c r="B10341" i="1"/>
  <c r="A10342" i="1"/>
  <c r="B10342" i="1"/>
  <c r="A10343" i="1"/>
  <c r="B10343" i="1"/>
  <c r="A10344" i="1"/>
  <c r="B10344" i="1"/>
  <c r="A10345" i="1"/>
  <c r="B10345" i="1"/>
  <c r="A10346" i="1"/>
  <c r="B10346" i="1"/>
  <c r="A10347" i="1"/>
  <c r="B10347" i="1"/>
  <c r="A10348" i="1"/>
  <c r="B10348" i="1"/>
  <c r="A10349" i="1"/>
  <c r="B10349" i="1"/>
  <c r="A10350" i="1"/>
  <c r="B10350" i="1"/>
  <c r="A10351" i="1"/>
  <c r="B10351" i="1"/>
  <c r="A10352" i="1"/>
  <c r="B10352" i="1"/>
  <c r="A10353" i="1"/>
  <c r="B10353" i="1"/>
  <c r="A10354" i="1"/>
  <c r="B10354" i="1"/>
  <c r="A10355" i="1"/>
  <c r="B10355" i="1"/>
  <c r="A10356" i="1"/>
  <c r="B10356" i="1"/>
  <c r="A10357" i="1"/>
  <c r="B10357" i="1"/>
  <c r="A10358" i="1"/>
  <c r="B10358" i="1"/>
  <c r="A10359" i="1"/>
  <c r="B10359" i="1"/>
  <c r="A10360" i="1"/>
  <c r="B10360" i="1"/>
  <c r="A10361" i="1"/>
  <c r="B10361" i="1"/>
  <c r="A10362" i="1"/>
  <c r="B10362" i="1"/>
  <c r="A10363" i="1"/>
  <c r="B10363" i="1"/>
  <c r="A10364" i="1"/>
  <c r="B10364" i="1"/>
  <c r="A10365" i="1"/>
  <c r="B10365" i="1"/>
  <c r="A10366" i="1"/>
  <c r="B10366" i="1"/>
  <c r="A10367" i="1"/>
  <c r="B10367" i="1"/>
  <c r="A10368" i="1"/>
  <c r="B10368" i="1"/>
  <c r="A10369" i="1"/>
  <c r="B10369" i="1"/>
  <c r="A10370" i="1"/>
  <c r="B10370" i="1"/>
  <c r="A10371" i="1"/>
  <c r="B10371" i="1"/>
  <c r="A10372" i="1"/>
  <c r="B10372" i="1"/>
  <c r="A10373" i="1"/>
  <c r="B10373" i="1"/>
  <c r="A10374" i="1"/>
  <c r="B10374" i="1"/>
  <c r="A10375" i="1"/>
  <c r="B10375" i="1"/>
  <c r="A10376" i="1"/>
  <c r="B10376" i="1"/>
  <c r="A10377" i="1"/>
  <c r="B10377" i="1"/>
  <c r="A10378" i="1"/>
  <c r="B10378" i="1"/>
  <c r="A10379" i="1"/>
  <c r="B10379" i="1"/>
  <c r="A10380" i="1"/>
  <c r="B10380" i="1"/>
  <c r="A10381" i="1"/>
  <c r="B10381" i="1"/>
  <c r="A10382" i="1"/>
  <c r="B10382" i="1"/>
  <c r="A10383" i="1"/>
  <c r="B10383" i="1"/>
  <c r="A10384" i="1"/>
  <c r="B10384" i="1"/>
  <c r="A10385" i="1"/>
  <c r="B10385" i="1"/>
  <c r="A10386" i="1"/>
  <c r="B10386" i="1"/>
  <c r="A10387" i="1"/>
  <c r="B10387" i="1"/>
  <c r="A10388" i="1"/>
  <c r="B10388" i="1"/>
  <c r="A10389" i="1"/>
  <c r="B10389" i="1"/>
  <c r="A10390" i="1"/>
  <c r="B10390" i="1"/>
  <c r="A10391" i="1"/>
  <c r="B10391" i="1"/>
  <c r="A10392" i="1"/>
  <c r="B10392" i="1"/>
  <c r="A10393" i="1"/>
  <c r="B10393" i="1"/>
  <c r="A10394" i="1"/>
  <c r="B10394" i="1"/>
  <c r="A10395" i="1"/>
  <c r="B10395" i="1"/>
  <c r="A10396" i="1"/>
  <c r="B10396" i="1"/>
  <c r="A10397" i="1"/>
  <c r="B10397" i="1"/>
  <c r="A10398" i="1"/>
  <c r="B10398" i="1"/>
  <c r="A10399" i="1"/>
  <c r="B10399" i="1"/>
  <c r="A10400" i="1"/>
  <c r="B10400" i="1"/>
  <c r="A10401" i="1"/>
  <c r="B10401" i="1"/>
  <c r="A10402" i="1"/>
  <c r="B10402" i="1"/>
  <c r="A10403" i="1"/>
  <c r="B10403" i="1"/>
  <c r="A10404" i="1"/>
  <c r="B10404" i="1"/>
  <c r="A10405" i="1"/>
  <c r="B10405" i="1"/>
  <c r="A10406" i="1"/>
  <c r="B10406" i="1"/>
  <c r="A10407" i="1"/>
  <c r="B10407" i="1"/>
  <c r="A10408" i="1"/>
  <c r="B10408" i="1"/>
  <c r="A10409" i="1"/>
  <c r="B10409" i="1"/>
  <c r="A10410" i="1"/>
  <c r="B10410" i="1"/>
  <c r="A10411" i="1"/>
  <c r="B10411" i="1"/>
  <c r="A10412" i="1"/>
  <c r="B10412" i="1"/>
  <c r="A10413" i="1"/>
  <c r="B10413" i="1"/>
  <c r="A10414" i="1"/>
  <c r="B10414" i="1"/>
  <c r="A10415" i="1"/>
  <c r="B10415" i="1"/>
  <c r="A10416" i="1"/>
  <c r="B10416" i="1"/>
  <c r="A10417" i="1"/>
  <c r="B10417" i="1"/>
  <c r="A10418" i="1"/>
  <c r="B10418" i="1"/>
  <c r="A10419" i="1"/>
  <c r="B10419" i="1"/>
  <c r="A10420" i="1"/>
  <c r="B10420" i="1"/>
  <c r="A10421" i="1"/>
  <c r="B10421" i="1"/>
  <c r="A10422" i="1"/>
  <c r="B10422" i="1"/>
  <c r="A10423" i="1"/>
  <c r="B10423" i="1"/>
  <c r="A10424" i="1"/>
  <c r="B10424" i="1"/>
  <c r="A10425" i="1"/>
  <c r="A10426" i="1"/>
  <c r="B10426" i="1"/>
  <c r="A10427" i="1"/>
  <c r="B10427" i="1"/>
  <c r="A10428" i="1"/>
  <c r="B10428" i="1"/>
  <c r="A10429" i="1"/>
  <c r="B10429" i="1"/>
  <c r="A10430" i="1"/>
  <c r="B10430" i="1"/>
  <c r="A10431" i="1"/>
  <c r="B10431" i="1"/>
  <c r="A10432" i="1"/>
  <c r="B10432" i="1"/>
  <c r="A10433" i="1"/>
  <c r="B10433" i="1"/>
  <c r="A10434" i="1"/>
  <c r="B10434" i="1"/>
  <c r="A10435" i="1"/>
  <c r="B10435" i="1"/>
  <c r="A10436" i="1"/>
  <c r="B10436" i="1"/>
  <c r="A10437" i="1"/>
  <c r="B10437" i="1"/>
  <c r="A10438" i="1"/>
  <c r="B10438" i="1"/>
  <c r="A10439" i="1"/>
  <c r="B10439" i="1"/>
  <c r="A10440" i="1"/>
  <c r="B10440" i="1"/>
  <c r="A10441" i="1"/>
  <c r="B10441" i="1"/>
  <c r="A10442" i="1"/>
  <c r="B10442" i="1"/>
  <c r="A10443" i="1"/>
  <c r="B10443" i="1"/>
  <c r="A10444" i="1"/>
  <c r="B10444" i="1"/>
  <c r="A10445" i="1"/>
  <c r="B10445" i="1"/>
  <c r="A10446" i="1"/>
  <c r="B10446" i="1"/>
  <c r="A10447" i="1"/>
  <c r="B10447" i="1"/>
  <c r="A10448" i="1"/>
  <c r="B10448" i="1"/>
  <c r="A10449" i="1"/>
  <c r="B10449" i="1"/>
  <c r="A10450" i="1"/>
  <c r="B10450" i="1"/>
  <c r="A10451" i="1"/>
  <c r="B10451" i="1"/>
  <c r="A10452" i="1"/>
  <c r="B10452" i="1"/>
  <c r="A10453" i="1"/>
  <c r="B10453" i="1"/>
  <c r="A10454" i="1"/>
  <c r="B10454" i="1"/>
  <c r="A10455" i="1"/>
  <c r="B10455" i="1"/>
  <c r="A10456" i="1"/>
  <c r="B10456" i="1"/>
  <c r="A10457" i="1"/>
  <c r="B10457" i="1"/>
  <c r="A10458" i="1"/>
  <c r="B10458" i="1"/>
  <c r="A10459" i="1"/>
  <c r="B10459" i="1"/>
  <c r="A10460" i="1"/>
  <c r="B10460" i="1"/>
  <c r="A10461" i="1"/>
  <c r="B10461" i="1"/>
  <c r="A10462" i="1"/>
  <c r="B10462" i="1"/>
  <c r="A10463" i="1"/>
  <c r="B10463" i="1"/>
  <c r="A10464" i="1"/>
  <c r="B10464" i="1"/>
  <c r="A10465" i="1"/>
  <c r="B10465" i="1"/>
  <c r="A10466" i="1"/>
  <c r="B10466" i="1"/>
  <c r="A10467" i="1"/>
  <c r="B10467" i="1"/>
  <c r="A10468" i="1"/>
  <c r="B10468" i="1"/>
  <c r="A10469" i="1"/>
  <c r="B10469" i="1"/>
  <c r="A10470" i="1"/>
  <c r="B10470" i="1"/>
  <c r="A10471" i="1"/>
  <c r="B10471" i="1"/>
  <c r="A10472" i="1"/>
  <c r="B10472" i="1"/>
  <c r="A10473" i="1"/>
  <c r="B10473" i="1"/>
  <c r="A10474" i="1"/>
  <c r="B10474" i="1"/>
  <c r="A10475" i="1"/>
  <c r="B10475" i="1"/>
  <c r="A10476" i="1"/>
  <c r="B10476" i="1"/>
  <c r="A10477" i="1"/>
  <c r="B10477" i="1"/>
  <c r="A10478" i="1"/>
  <c r="B10478" i="1"/>
  <c r="A10479" i="1"/>
  <c r="B10479" i="1"/>
  <c r="A10480" i="1"/>
  <c r="B10480" i="1"/>
  <c r="A10481" i="1"/>
  <c r="B10481" i="1"/>
  <c r="A10482" i="1"/>
  <c r="B10482" i="1"/>
  <c r="A10483" i="1"/>
  <c r="B10483" i="1"/>
  <c r="A10484" i="1"/>
  <c r="B10484" i="1"/>
  <c r="A10485" i="1"/>
  <c r="B10485" i="1"/>
  <c r="A10486" i="1"/>
  <c r="B10486" i="1"/>
  <c r="A10487" i="1"/>
  <c r="B10487" i="1"/>
  <c r="A10488" i="1"/>
  <c r="B10488" i="1"/>
  <c r="A10489" i="1"/>
  <c r="B10489" i="1"/>
  <c r="A10490" i="1"/>
  <c r="B10490" i="1"/>
  <c r="A10491" i="1"/>
  <c r="B10491" i="1"/>
  <c r="A10492" i="1"/>
  <c r="B10492" i="1"/>
  <c r="A10493" i="1"/>
  <c r="B10493" i="1"/>
  <c r="A10494" i="1"/>
  <c r="B10494" i="1"/>
  <c r="A10495" i="1"/>
  <c r="B10495" i="1"/>
  <c r="A10496" i="1"/>
  <c r="B10496" i="1"/>
  <c r="A10497" i="1"/>
  <c r="B10497" i="1"/>
  <c r="A10498" i="1"/>
  <c r="B10498" i="1"/>
  <c r="A10499" i="1"/>
  <c r="B10499" i="1"/>
  <c r="A10500" i="1"/>
  <c r="B10500" i="1"/>
  <c r="A10501" i="1"/>
  <c r="B10501" i="1"/>
  <c r="A10502" i="1"/>
  <c r="B10502" i="1"/>
  <c r="A10503" i="1"/>
  <c r="B10503" i="1"/>
  <c r="A10504" i="1"/>
  <c r="B10504" i="1"/>
  <c r="A10505" i="1"/>
  <c r="B10505" i="1"/>
  <c r="A10506" i="1"/>
  <c r="B10506" i="1"/>
  <c r="A10507" i="1"/>
  <c r="B10507" i="1"/>
  <c r="A10508" i="1"/>
  <c r="B10508" i="1"/>
  <c r="A10509" i="1"/>
  <c r="B10509" i="1"/>
  <c r="A10510" i="1"/>
  <c r="B10510" i="1"/>
  <c r="A10511" i="1"/>
  <c r="B10511" i="1"/>
  <c r="A10512" i="1"/>
  <c r="B10512" i="1"/>
  <c r="A10513" i="1"/>
  <c r="B10513" i="1"/>
  <c r="A10514" i="1"/>
  <c r="B10514" i="1"/>
  <c r="A10515" i="1"/>
  <c r="B10515" i="1"/>
  <c r="A10516" i="1"/>
  <c r="B10516" i="1"/>
  <c r="A10517" i="1"/>
  <c r="B10517" i="1"/>
  <c r="A10518" i="1"/>
  <c r="B10518" i="1"/>
  <c r="A10519" i="1"/>
  <c r="B10519" i="1"/>
  <c r="A10520" i="1"/>
  <c r="B10520" i="1"/>
  <c r="A10521" i="1"/>
  <c r="B10521" i="1"/>
  <c r="A10522" i="1"/>
  <c r="B10522" i="1"/>
  <c r="A10523" i="1"/>
  <c r="B10523" i="1"/>
  <c r="A10524" i="1"/>
  <c r="B10524" i="1"/>
  <c r="A10525" i="1"/>
  <c r="B10525" i="1"/>
  <c r="A10526" i="1"/>
  <c r="B10526" i="1"/>
  <c r="A10527" i="1"/>
  <c r="B10527" i="1"/>
  <c r="A10528" i="1"/>
  <c r="B10528" i="1"/>
  <c r="A10529" i="1"/>
  <c r="B10529" i="1"/>
  <c r="A10530" i="1"/>
  <c r="B10530" i="1"/>
  <c r="A10531" i="1"/>
  <c r="B10531" i="1"/>
  <c r="A10532" i="1"/>
  <c r="B10532" i="1"/>
  <c r="A10533" i="1"/>
  <c r="B10533" i="1"/>
  <c r="A10534" i="1"/>
  <c r="B10534" i="1"/>
  <c r="A10535" i="1"/>
  <c r="B10535" i="1"/>
  <c r="A10536" i="1"/>
  <c r="B10536" i="1"/>
  <c r="A10537" i="1"/>
  <c r="B10537" i="1"/>
  <c r="A10538" i="1"/>
  <c r="B10538" i="1"/>
  <c r="A10539" i="1"/>
  <c r="B10539" i="1"/>
  <c r="A10540" i="1"/>
  <c r="B10540" i="1"/>
  <c r="A10541" i="1"/>
  <c r="B10541" i="1"/>
  <c r="A10542" i="1"/>
  <c r="B10542" i="1"/>
  <c r="A10543" i="1"/>
  <c r="B10543" i="1"/>
  <c r="A10544" i="1"/>
  <c r="B10544" i="1"/>
  <c r="A10545" i="1"/>
  <c r="B10545" i="1"/>
  <c r="A10546" i="1"/>
  <c r="B10546" i="1"/>
  <c r="A10547" i="1"/>
  <c r="B10547" i="1"/>
  <c r="A10548" i="1"/>
  <c r="B10548" i="1"/>
  <c r="A10549" i="1"/>
  <c r="B10549" i="1"/>
  <c r="A10550" i="1"/>
  <c r="B10550" i="1"/>
  <c r="A10551" i="1"/>
  <c r="B10551" i="1"/>
  <c r="A10552" i="1"/>
  <c r="B10552" i="1"/>
  <c r="A10553" i="1"/>
  <c r="B10553" i="1"/>
  <c r="A10554" i="1"/>
  <c r="B10554" i="1"/>
  <c r="A10555" i="1"/>
  <c r="B10555" i="1"/>
  <c r="A10556" i="1"/>
  <c r="B10556" i="1"/>
  <c r="A10557" i="1"/>
  <c r="B10557" i="1"/>
  <c r="A10558" i="1"/>
  <c r="B10558" i="1"/>
  <c r="A10559" i="1"/>
  <c r="B10559" i="1"/>
  <c r="A10560" i="1"/>
  <c r="B10560" i="1"/>
  <c r="A10561" i="1"/>
  <c r="B10561" i="1"/>
  <c r="A10562" i="1"/>
  <c r="B10562" i="1"/>
  <c r="A10563" i="1"/>
  <c r="B10563" i="1"/>
  <c r="A10564" i="1"/>
  <c r="B10564" i="1"/>
  <c r="A10565" i="1"/>
  <c r="B10565" i="1"/>
  <c r="A10566" i="1"/>
  <c r="B10566" i="1"/>
  <c r="A10567" i="1"/>
  <c r="B10567" i="1"/>
  <c r="A10568" i="1"/>
  <c r="A10569" i="1"/>
  <c r="B10569" i="1"/>
  <c r="A10570" i="1"/>
  <c r="B10570" i="1"/>
  <c r="A10571" i="1"/>
  <c r="B10571" i="1"/>
  <c r="A10572" i="1"/>
  <c r="B10572" i="1"/>
  <c r="A10573" i="1"/>
  <c r="B10573" i="1"/>
  <c r="A10574" i="1"/>
  <c r="B10574" i="1"/>
  <c r="A10575" i="1"/>
  <c r="B10575" i="1"/>
  <c r="A10576" i="1"/>
  <c r="B10576" i="1"/>
  <c r="A10577" i="1"/>
  <c r="B10577" i="1"/>
  <c r="A10578" i="1"/>
  <c r="B10578" i="1"/>
  <c r="A10579" i="1"/>
  <c r="B10579" i="1"/>
  <c r="A10580" i="1"/>
  <c r="B10580" i="1"/>
  <c r="A10581" i="1"/>
  <c r="B10581" i="1"/>
  <c r="A10582" i="1"/>
  <c r="B10582" i="1"/>
  <c r="A10583" i="1"/>
  <c r="B10583" i="1"/>
  <c r="A10584" i="1"/>
  <c r="B10584" i="1"/>
  <c r="A10585" i="1"/>
  <c r="B10585" i="1"/>
  <c r="A10586" i="1"/>
  <c r="B10586" i="1"/>
  <c r="A10587" i="1"/>
  <c r="B10587" i="1"/>
  <c r="A10588" i="1"/>
  <c r="B10588" i="1"/>
  <c r="A10589" i="1"/>
  <c r="B10589" i="1"/>
  <c r="A10590" i="1"/>
  <c r="B10590" i="1"/>
  <c r="A10591" i="1"/>
  <c r="B10591" i="1"/>
  <c r="A10592" i="1"/>
  <c r="B10592" i="1"/>
  <c r="A10593" i="1"/>
  <c r="B10593" i="1"/>
  <c r="A10594" i="1"/>
  <c r="B10594" i="1"/>
  <c r="A10595" i="1"/>
  <c r="B10595" i="1"/>
  <c r="A10596" i="1"/>
  <c r="B10596" i="1"/>
  <c r="A10597" i="1"/>
  <c r="B10597" i="1"/>
  <c r="A10598" i="1"/>
  <c r="B10598" i="1"/>
  <c r="A10599" i="1"/>
  <c r="B10599" i="1"/>
  <c r="A10600" i="1"/>
  <c r="B10600" i="1"/>
  <c r="A10601" i="1"/>
  <c r="B10601" i="1"/>
  <c r="A10602" i="1"/>
  <c r="B10602" i="1"/>
  <c r="A10603" i="1"/>
  <c r="B10603" i="1"/>
  <c r="A10604" i="1"/>
  <c r="B10604" i="1"/>
  <c r="A10605" i="1"/>
  <c r="B10605" i="1"/>
  <c r="A10606" i="1"/>
  <c r="B10606" i="1"/>
  <c r="A10607" i="1"/>
  <c r="B10607" i="1"/>
  <c r="A10608" i="1"/>
  <c r="B10608" i="1"/>
  <c r="A10609" i="1"/>
  <c r="B10609" i="1"/>
  <c r="A10610" i="1"/>
  <c r="B10610" i="1"/>
  <c r="A10611" i="1"/>
  <c r="B10611" i="1"/>
  <c r="A10612" i="1"/>
  <c r="B10612" i="1"/>
  <c r="A10613" i="1"/>
  <c r="B10613" i="1"/>
  <c r="A10614" i="1"/>
  <c r="B10614" i="1"/>
  <c r="A10615" i="1"/>
  <c r="B10615" i="1"/>
  <c r="A10616" i="1"/>
  <c r="B10616" i="1"/>
  <c r="A10617" i="1"/>
  <c r="B10617" i="1"/>
  <c r="A10618" i="1"/>
  <c r="B10618" i="1"/>
  <c r="A10619" i="1"/>
  <c r="B10619" i="1"/>
  <c r="A10620" i="1"/>
  <c r="B10620" i="1"/>
  <c r="A10621" i="1"/>
  <c r="B10621" i="1"/>
  <c r="A10622" i="1"/>
  <c r="B10622" i="1"/>
  <c r="A10623" i="1"/>
  <c r="B10623" i="1"/>
  <c r="A10624" i="1"/>
  <c r="B10624" i="1"/>
  <c r="A10625" i="1"/>
  <c r="B10625" i="1"/>
  <c r="A10626" i="1"/>
  <c r="B10626" i="1"/>
  <c r="A10627" i="1"/>
  <c r="B10627" i="1"/>
  <c r="A10628" i="1"/>
  <c r="B10628" i="1"/>
  <c r="A10629" i="1"/>
  <c r="B10629" i="1"/>
  <c r="A10630" i="1"/>
  <c r="B10630" i="1"/>
  <c r="A10631" i="1"/>
  <c r="B10631" i="1"/>
  <c r="A10632" i="1"/>
  <c r="B10632" i="1"/>
  <c r="A10633" i="1"/>
  <c r="B10633" i="1"/>
  <c r="A10634" i="1"/>
  <c r="B10634" i="1"/>
  <c r="A10635" i="1"/>
  <c r="B10635" i="1"/>
  <c r="A10636" i="1"/>
  <c r="B10636" i="1"/>
  <c r="A10637" i="1"/>
  <c r="B10637" i="1"/>
  <c r="A10638" i="1"/>
  <c r="B10638" i="1"/>
  <c r="A10639" i="1"/>
  <c r="B10639" i="1"/>
  <c r="A10640" i="1"/>
  <c r="B10640" i="1"/>
  <c r="A10641" i="1"/>
  <c r="B10641" i="1"/>
  <c r="A10642" i="1"/>
  <c r="B10642" i="1"/>
  <c r="A10643" i="1"/>
  <c r="B10643" i="1"/>
  <c r="A10644" i="1"/>
  <c r="B10644" i="1"/>
  <c r="A10645" i="1"/>
  <c r="B10645" i="1"/>
  <c r="A10646" i="1"/>
  <c r="B10646" i="1"/>
  <c r="A10647" i="1"/>
  <c r="B10647" i="1"/>
  <c r="A10648" i="1"/>
  <c r="B10648" i="1"/>
  <c r="A10649" i="1"/>
  <c r="B10649" i="1"/>
  <c r="A10650" i="1"/>
  <c r="B10650" i="1"/>
  <c r="A10651" i="1"/>
  <c r="B10651" i="1"/>
  <c r="A10652" i="1"/>
  <c r="B10652" i="1"/>
  <c r="A10653" i="1"/>
  <c r="B10653" i="1"/>
  <c r="A10654" i="1"/>
  <c r="B10654" i="1"/>
  <c r="A10655" i="1"/>
  <c r="B10655" i="1"/>
  <c r="A10656" i="1"/>
  <c r="B10656" i="1"/>
  <c r="A10657" i="1"/>
  <c r="B10657" i="1"/>
  <c r="A10658" i="1"/>
  <c r="B10658" i="1"/>
  <c r="A10659" i="1"/>
  <c r="B10659" i="1"/>
  <c r="A10660" i="1"/>
  <c r="B10660" i="1"/>
  <c r="A10661" i="1"/>
  <c r="B10661" i="1"/>
  <c r="A10662" i="1"/>
  <c r="B10662" i="1"/>
  <c r="A10663" i="1"/>
  <c r="B10663" i="1"/>
  <c r="A10664" i="1"/>
  <c r="B10664" i="1"/>
  <c r="A10665" i="1"/>
  <c r="B10665" i="1"/>
  <c r="A10666" i="1"/>
  <c r="B10666" i="1"/>
  <c r="A10667" i="1"/>
  <c r="B10667" i="1"/>
  <c r="A10668" i="1"/>
  <c r="B10668" i="1"/>
  <c r="A10669" i="1"/>
  <c r="B10669" i="1"/>
  <c r="A10670" i="1"/>
  <c r="B10670" i="1"/>
  <c r="A10671" i="1"/>
  <c r="B10671" i="1"/>
  <c r="A10672" i="1"/>
  <c r="B10672" i="1"/>
  <c r="A10673" i="1"/>
  <c r="B10673" i="1"/>
  <c r="A10674" i="1"/>
  <c r="B10674" i="1"/>
  <c r="A10675" i="1"/>
  <c r="B10675" i="1"/>
  <c r="A10676" i="1"/>
  <c r="B10676" i="1"/>
  <c r="A10677" i="1"/>
  <c r="B10677" i="1"/>
  <c r="A10678" i="1"/>
  <c r="B10678" i="1"/>
  <c r="A10679" i="1"/>
  <c r="B10679" i="1"/>
  <c r="A10680" i="1"/>
  <c r="B10680" i="1"/>
  <c r="A10681" i="1"/>
  <c r="B10681" i="1"/>
  <c r="A10682" i="1"/>
  <c r="B10682" i="1"/>
  <c r="A10683" i="1"/>
  <c r="B10683" i="1"/>
  <c r="A10684" i="1"/>
  <c r="B10684" i="1"/>
  <c r="A10685" i="1"/>
  <c r="B10685" i="1"/>
  <c r="A10686" i="1"/>
  <c r="B10686" i="1"/>
  <c r="A10687" i="1"/>
  <c r="B10687" i="1"/>
  <c r="A10688" i="1"/>
  <c r="B10688" i="1"/>
  <c r="A10689" i="1"/>
  <c r="B10689" i="1"/>
  <c r="A10690" i="1"/>
  <c r="B10690" i="1"/>
  <c r="A10691" i="1"/>
  <c r="B10691" i="1"/>
  <c r="A10692" i="1"/>
  <c r="B10692" i="1"/>
  <c r="A10693" i="1"/>
  <c r="B10693" i="1"/>
  <c r="A10694" i="1"/>
  <c r="B10694" i="1"/>
  <c r="A10695" i="1"/>
  <c r="B10695" i="1"/>
  <c r="A10696" i="1"/>
  <c r="B10696" i="1"/>
  <c r="A10697" i="1"/>
  <c r="B10697" i="1"/>
  <c r="A10698" i="1"/>
  <c r="B10698" i="1"/>
  <c r="A10699" i="1"/>
  <c r="B10699" i="1"/>
  <c r="A10700" i="1"/>
  <c r="B10700" i="1"/>
  <c r="A10701" i="1"/>
  <c r="B10701" i="1"/>
  <c r="A10702" i="1"/>
  <c r="B10702" i="1"/>
  <c r="A10703" i="1"/>
  <c r="B10703" i="1"/>
  <c r="A10704" i="1"/>
  <c r="B10704" i="1"/>
  <c r="A10705" i="1"/>
  <c r="B10705" i="1"/>
  <c r="A10706" i="1"/>
  <c r="B10706" i="1"/>
  <c r="A10707" i="1"/>
  <c r="B10707" i="1"/>
  <c r="A10708" i="1"/>
  <c r="B10708" i="1"/>
  <c r="A10709" i="1"/>
  <c r="B10709" i="1"/>
  <c r="A10710" i="1"/>
  <c r="B10710" i="1"/>
  <c r="A10711" i="1"/>
  <c r="B10711" i="1"/>
  <c r="A10712" i="1"/>
  <c r="B10712" i="1"/>
  <c r="A10713" i="1"/>
  <c r="B10713" i="1"/>
  <c r="A10714" i="1"/>
  <c r="B10714" i="1"/>
  <c r="A10715" i="1"/>
  <c r="B10715" i="1"/>
  <c r="A10716" i="1"/>
  <c r="B10716" i="1"/>
  <c r="A10717" i="1"/>
  <c r="B10717" i="1"/>
  <c r="A10718" i="1"/>
  <c r="B10718" i="1"/>
  <c r="A10719" i="1"/>
  <c r="B10719" i="1"/>
  <c r="A10720" i="1"/>
  <c r="B10720" i="1"/>
  <c r="A10721" i="1"/>
  <c r="B10721" i="1"/>
  <c r="A10722" i="1"/>
  <c r="B10722" i="1"/>
  <c r="A10723" i="1"/>
  <c r="B10723" i="1"/>
  <c r="A10724" i="1"/>
  <c r="B10724" i="1"/>
  <c r="A10725" i="1"/>
  <c r="B10725" i="1"/>
  <c r="A10726" i="1"/>
  <c r="B10726" i="1"/>
  <c r="A10727" i="1"/>
  <c r="B10727" i="1"/>
  <c r="A10728" i="1"/>
  <c r="B10728" i="1"/>
  <c r="A10729" i="1"/>
  <c r="B10729" i="1"/>
  <c r="A10730" i="1"/>
  <c r="B10730" i="1"/>
  <c r="A10731" i="1"/>
  <c r="B10731" i="1"/>
  <c r="A10732" i="1"/>
  <c r="B10732" i="1"/>
  <c r="A10733" i="1"/>
  <c r="B10733" i="1"/>
  <c r="A10734" i="1"/>
  <c r="B10734" i="1"/>
  <c r="A10735" i="1"/>
  <c r="B10735" i="1"/>
  <c r="A10736" i="1"/>
  <c r="B10736" i="1"/>
  <c r="A10737" i="1"/>
  <c r="B10737" i="1"/>
  <c r="A10738" i="1"/>
  <c r="B10738" i="1"/>
  <c r="A10739" i="1"/>
  <c r="B10739" i="1"/>
  <c r="A10740" i="1"/>
  <c r="B10740" i="1"/>
  <c r="A10741" i="1"/>
  <c r="B10741" i="1"/>
  <c r="A10742" i="1"/>
  <c r="B10742" i="1"/>
  <c r="A10743" i="1"/>
  <c r="B10743" i="1"/>
  <c r="A10744" i="1"/>
  <c r="B10744" i="1"/>
  <c r="A10745" i="1"/>
  <c r="B10745" i="1"/>
  <c r="A10746" i="1"/>
  <c r="B10746" i="1"/>
  <c r="A10747" i="1"/>
  <c r="B10747" i="1"/>
  <c r="A10748" i="1"/>
  <c r="B10748" i="1"/>
  <c r="A10749" i="1"/>
  <c r="B10749" i="1"/>
  <c r="A10750" i="1"/>
  <c r="B10750" i="1"/>
  <c r="A10751" i="1"/>
  <c r="B10751" i="1"/>
  <c r="A10752" i="1"/>
  <c r="B10752" i="1"/>
  <c r="A10753" i="1"/>
  <c r="B10753" i="1"/>
  <c r="A10754" i="1"/>
  <c r="B10754" i="1"/>
  <c r="A10755" i="1"/>
  <c r="B10755" i="1"/>
  <c r="A10756" i="1"/>
  <c r="B10756" i="1"/>
  <c r="A10757" i="1"/>
  <c r="B10757" i="1"/>
  <c r="A10758" i="1"/>
  <c r="B10758" i="1"/>
  <c r="A10759" i="1"/>
  <c r="B10759" i="1"/>
  <c r="A10760" i="1"/>
  <c r="B10760" i="1"/>
  <c r="A10761" i="1"/>
  <c r="B10761" i="1"/>
  <c r="A10762" i="1"/>
  <c r="B10762" i="1"/>
  <c r="A10763" i="1"/>
  <c r="B10763" i="1"/>
  <c r="A10764" i="1"/>
  <c r="B10764" i="1"/>
  <c r="A10765" i="1"/>
  <c r="B10765" i="1"/>
  <c r="A10766" i="1"/>
  <c r="B10766" i="1"/>
  <c r="A10767" i="1"/>
  <c r="B10767" i="1"/>
  <c r="A10768" i="1"/>
  <c r="B10768" i="1"/>
  <c r="A10769" i="1"/>
  <c r="B10769" i="1"/>
  <c r="A10770" i="1"/>
  <c r="B10770" i="1"/>
  <c r="A10771" i="1"/>
  <c r="B10771" i="1"/>
  <c r="A10772" i="1"/>
  <c r="B10772" i="1"/>
  <c r="A10773" i="1"/>
  <c r="B10773" i="1"/>
  <c r="A10774" i="1"/>
  <c r="B10774" i="1"/>
  <c r="A10775" i="1"/>
  <c r="B10775" i="1"/>
  <c r="A10776" i="1"/>
  <c r="B10776" i="1"/>
  <c r="A10777" i="1"/>
  <c r="B10777" i="1"/>
  <c r="A10778" i="1"/>
  <c r="B10778" i="1"/>
  <c r="A10779" i="1"/>
  <c r="B10779" i="1"/>
  <c r="A10780" i="1"/>
  <c r="B10780" i="1"/>
  <c r="A10781" i="1"/>
  <c r="B10781" i="1"/>
  <c r="A10782" i="1"/>
  <c r="B10782" i="1"/>
  <c r="A10783" i="1"/>
  <c r="B10783" i="1"/>
  <c r="A10784" i="1"/>
  <c r="B10784" i="1"/>
  <c r="A10785" i="1"/>
  <c r="B10785" i="1"/>
  <c r="A10786" i="1"/>
  <c r="B10786" i="1"/>
  <c r="A10787" i="1"/>
  <c r="B10787" i="1"/>
  <c r="A10788" i="1"/>
  <c r="B10788" i="1"/>
  <c r="A10789" i="1"/>
  <c r="B10789" i="1"/>
  <c r="A10790" i="1"/>
  <c r="B10790" i="1"/>
  <c r="A10791" i="1"/>
  <c r="B10791" i="1"/>
  <c r="A10792" i="1"/>
  <c r="B10792" i="1"/>
  <c r="A10793" i="1"/>
  <c r="B10793" i="1"/>
  <c r="A10794" i="1"/>
  <c r="B10794" i="1"/>
  <c r="A10795" i="1"/>
  <c r="B10795" i="1"/>
  <c r="A10796" i="1"/>
  <c r="B10796" i="1"/>
  <c r="A10797" i="1"/>
  <c r="B10797" i="1"/>
  <c r="A10798" i="1"/>
  <c r="B10798" i="1"/>
  <c r="A10799" i="1"/>
  <c r="B10799" i="1"/>
  <c r="A10800" i="1"/>
  <c r="B10800" i="1"/>
  <c r="A10801" i="1"/>
  <c r="B10801" i="1"/>
  <c r="A10802" i="1"/>
  <c r="B10802" i="1"/>
  <c r="A10803" i="1"/>
  <c r="B10803" i="1"/>
  <c r="A10804" i="1"/>
  <c r="B10804" i="1"/>
  <c r="A10805" i="1"/>
  <c r="B10805" i="1"/>
  <c r="A10806" i="1"/>
  <c r="B10806" i="1"/>
  <c r="A10807" i="1"/>
  <c r="B10807" i="1"/>
  <c r="A10808" i="1"/>
  <c r="B10808" i="1"/>
  <c r="A10809" i="1"/>
  <c r="B10809" i="1"/>
  <c r="A10810" i="1"/>
  <c r="B10810" i="1"/>
  <c r="A10811" i="1"/>
  <c r="B10811" i="1"/>
  <c r="A10812" i="1"/>
  <c r="B10812" i="1"/>
  <c r="A10813" i="1"/>
  <c r="B10813" i="1"/>
  <c r="A10814" i="1"/>
  <c r="B10814" i="1"/>
  <c r="A10815" i="1"/>
  <c r="B10815" i="1"/>
  <c r="A10816" i="1"/>
  <c r="B10816" i="1"/>
  <c r="A10817" i="1"/>
  <c r="B10817" i="1"/>
  <c r="A10818" i="1"/>
  <c r="B10818" i="1"/>
  <c r="A10819" i="1"/>
  <c r="B10819" i="1"/>
  <c r="A10820" i="1"/>
  <c r="B10820" i="1"/>
  <c r="A10821" i="1"/>
  <c r="B10821" i="1"/>
  <c r="A10822" i="1"/>
  <c r="B10822" i="1"/>
  <c r="A10823" i="1"/>
  <c r="B10823" i="1"/>
  <c r="A10824" i="1"/>
  <c r="B10824" i="1"/>
  <c r="A10825" i="1"/>
  <c r="B10825" i="1"/>
  <c r="A10826" i="1"/>
  <c r="B10826" i="1"/>
  <c r="A10827" i="1"/>
  <c r="B10827" i="1"/>
  <c r="A10828" i="1"/>
  <c r="B10828" i="1"/>
  <c r="A10829" i="1"/>
  <c r="B10829" i="1"/>
  <c r="A10830" i="1"/>
  <c r="B10830" i="1"/>
  <c r="A10831" i="1"/>
  <c r="B10831" i="1"/>
  <c r="A10832" i="1"/>
  <c r="B10832" i="1"/>
  <c r="A10833" i="1"/>
  <c r="B10833" i="1"/>
  <c r="A10834" i="1"/>
  <c r="B10834" i="1"/>
  <c r="A10835" i="1"/>
  <c r="B10835" i="1"/>
  <c r="A10836" i="1"/>
  <c r="B10836" i="1"/>
  <c r="A10837" i="1"/>
  <c r="B10837" i="1"/>
  <c r="A10838" i="1"/>
  <c r="B10838" i="1"/>
  <c r="A10839" i="1"/>
  <c r="B10839" i="1"/>
  <c r="A10840" i="1"/>
  <c r="B10840" i="1"/>
  <c r="A10841" i="1"/>
  <c r="B10841" i="1"/>
  <c r="A10842" i="1"/>
  <c r="B10842" i="1"/>
  <c r="A10843" i="1"/>
  <c r="B10843" i="1"/>
  <c r="A10844" i="1"/>
  <c r="B10844" i="1"/>
  <c r="A10845" i="1"/>
  <c r="B10845" i="1"/>
  <c r="A10846" i="1"/>
  <c r="B10846" i="1"/>
  <c r="A10847" i="1"/>
  <c r="B10847" i="1"/>
  <c r="A10848" i="1"/>
  <c r="B10848" i="1"/>
  <c r="A10849" i="1"/>
  <c r="B10849" i="1"/>
  <c r="A10850" i="1"/>
  <c r="B10850" i="1"/>
  <c r="A10851" i="1"/>
  <c r="B10851" i="1"/>
  <c r="A10852" i="1"/>
  <c r="B10852" i="1"/>
  <c r="A10853" i="1"/>
  <c r="B10853" i="1"/>
  <c r="A10854" i="1"/>
  <c r="B10854" i="1"/>
  <c r="A10855" i="1"/>
  <c r="B10855" i="1"/>
  <c r="A10856" i="1"/>
  <c r="B10856" i="1"/>
  <c r="A10857" i="1"/>
  <c r="B10857" i="1"/>
  <c r="A10858" i="1"/>
  <c r="B10858" i="1"/>
  <c r="A10859" i="1"/>
  <c r="B10859" i="1"/>
  <c r="A10860" i="1"/>
  <c r="B10860" i="1"/>
  <c r="A10861" i="1"/>
  <c r="B10861" i="1"/>
  <c r="A10862" i="1"/>
  <c r="B10862" i="1"/>
  <c r="A10863" i="1"/>
  <c r="B10863" i="1"/>
  <c r="A10864" i="1"/>
  <c r="B10864" i="1"/>
  <c r="A10865" i="1"/>
  <c r="B10865" i="1"/>
  <c r="A10866" i="1"/>
  <c r="B10866" i="1"/>
  <c r="A10867" i="1"/>
  <c r="B10867" i="1"/>
  <c r="A10868" i="1"/>
  <c r="B10868" i="1"/>
  <c r="A10869" i="1"/>
  <c r="B10869" i="1"/>
  <c r="A10870" i="1"/>
  <c r="B10870" i="1"/>
  <c r="A10871" i="1"/>
  <c r="B10871" i="1"/>
  <c r="A10872" i="1"/>
  <c r="B10872" i="1"/>
  <c r="A10873" i="1"/>
  <c r="B10873" i="1"/>
  <c r="A10874" i="1"/>
  <c r="B10874" i="1"/>
  <c r="A10875" i="1"/>
  <c r="B10875" i="1"/>
  <c r="A10876" i="1"/>
  <c r="B10876" i="1"/>
  <c r="A10877" i="1"/>
  <c r="B10877" i="1"/>
  <c r="A10878" i="1"/>
  <c r="B10878" i="1"/>
  <c r="A10879" i="1"/>
  <c r="B10879" i="1"/>
  <c r="A10880" i="1"/>
  <c r="B10880" i="1"/>
  <c r="A10881" i="1"/>
  <c r="B10881" i="1"/>
  <c r="A10882" i="1"/>
  <c r="B10882" i="1"/>
  <c r="A10883" i="1"/>
  <c r="B10883" i="1"/>
  <c r="A10884" i="1"/>
  <c r="B10884" i="1"/>
  <c r="A10885" i="1"/>
  <c r="B10885" i="1"/>
  <c r="A10886" i="1"/>
  <c r="B10886" i="1"/>
  <c r="A10887" i="1"/>
  <c r="B10887" i="1"/>
  <c r="A10888" i="1"/>
  <c r="B10888" i="1"/>
  <c r="A10889" i="1"/>
  <c r="B10889" i="1"/>
  <c r="A10890" i="1"/>
  <c r="B10890" i="1"/>
  <c r="A10891" i="1"/>
  <c r="B10891" i="1"/>
  <c r="A10892" i="1"/>
  <c r="B10892" i="1"/>
  <c r="A10893" i="1"/>
  <c r="B10893" i="1"/>
  <c r="A10894" i="1"/>
  <c r="B10894" i="1"/>
  <c r="A10895" i="1"/>
  <c r="B10895" i="1"/>
  <c r="A10896" i="1"/>
  <c r="B10896" i="1"/>
  <c r="A10897" i="1"/>
  <c r="B10897" i="1"/>
  <c r="A10898" i="1"/>
  <c r="B10898" i="1"/>
  <c r="A10899" i="1"/>
  <c r="B10899" i="1"/>
  <c r="A10900" i="1"/>
  <c r="B10900" i="1"/>
  <c r="A10901" i="1"/>
  <c r="B10901" i="1"/>
  <c r="A10902" i="1"/>
  <c r="B10902" i="1"/>
  <c r="A10903" i="1"/>
  <c r="B10903" i="1"/>
  <c r="A10904" i="1"/>
  <c r="B10904" i="1"/>
  <c r="A10905" i="1"/>
  <c r="B10905" i="1"/>
  <c r="A10906" i="1"/>
  <c r="B10906" i="1"/>
  <c r="A10907" i="1"/>
  <c r="B10907" i="1"/>
  <c r="A10908" i="1"/>
  <c r="B10908" i="1"/>
  <c r="A10909" i="1"/>
  <c r="B10909" i="1"/>
  <c r="A10910" i="1"/>
  <c r="B10910" i="1"/>
  <c r="A10911" i="1"/>
  <c r="B10911" i="1"/>
  <c r="A10912" i="1"/>
  <c r="B10912" i="1"/>
  <c r="A10913" i="1"/>
  <c r="B10913" i="1"/>
  <c r="A10914" i="1"/>
  <c r="B10914" i="1"/>
  <c r="A10915" i="1"/>
  <c r="B10915" i="1"/>
  <c r="A10916" i="1"/>
  <c r="B10916" i="1"/>
  <c r="A10917" i="1"/>
  <c r="B10917" i="1"/>
  <c r="A10918" i="1"/>
  <c r="B10918" i="1"/>
  <c r="A10919" i="1"/>
  <c r="B10919" i="1"/>
  <c r="A10920" i="1"/>
  <c r="B10920" i="1"/>
  <c r="A10921" i="1"/>
  <c r="B10921" i="1"/>
  <c r="A10922" i="1"/>
  <c r="B10922" i="1"/>
  <c r="A10923" i="1"/>
  <c r="B10923" i="1"/>
  <c r="A10924" i="1"/>
  <c r="B10924" i="1"/>
  <c r="A10925" i="1"/>
  <c r="B10925" i="1"/>
  <c r="A10926" i="1"/>
  <c r="B10926" i="1"/>
  <c r="A10927" i="1"/>
  <c r="B10927" i="1"/>
  <c r="A10928" i="1"/>
  <c r="B10928" i="1"/>
  <c r="A10929" i="1"/>
  <c r="B10929" i="1"/>
  <c r="A10930" i="1"/>
  <c r="B10930" i="1"/>
  <c r="A10931" i="1"/>
  <c r="B10931" i="1"/>
  <c r="A10932" i="1"/>
  <c r="B10932" i="1"/>
  <c r="A10933" i="1"/>
  <c r="B10933" i="1"/>
  <c r="A10934" i="1"/>
  <c r="B10934" i="1"/>
  <c r="A10935" i="1"/>
  <c r="B10935" i="1"/>
  <c r="A10936" i="1"/>
  <c r="B10936" i="1"/>
  <c r="A10937" i="1"/>
  <c r="B10937" i="1"/>
  <c r="A10938" i="1"/>
  <c r="B10938" i="1"/>
  <c r="A10939" i="1"/>
  <c r="B10939" i="1"/>
  <c r="A10940" i="1"/>
  <c r="B10940" i="1"/>
  <c r="A10941" i="1"/>
  <c r="B10941" i="1"/>
  <c r="A10942" i="1"/>
  <c r="B10942" i="1"/>
  <c r="A10943" i="1"/>
  <c r="B10943" i="1"/>
  <c r="A10944" i="1"/>
  <c r="B10944" i="1"/>
  <c r="A10945" i="1"/>
  <c r="B10945" i="1"/>
  <c r="A10946" i="1"/>
  <c r="B10946" i="1"/>
  <c r="A10947" i="1"/>
  <c r="B10947" i="1"/>
  <c r="A10948" i="1"/>
  <c r="B10948" i="1"/>
  <c r="A10949" i="1"/>
  <c r="B10949" i="1"/>
  <c r="A10950" i="1"/>
  <c r="B10950" i="1"/>
  <c r="A10951" i="1"/>
  <c r="B10951" i="1"/>
  <c r="A10952" i="1"/>
  <c r="B10952" i="1"/>
  <c r="A10953" i="1"/>
  <c r="B10953" i="1"/>
  <c r="A10954" i="1"/>
  <c r="B10954" i="1"/>
  <c r="A10955" i="1"/>
  <c r="B10955" i="1"/>
  <c r="A10956" i="1"/>
  <c r="B10956" i="1"/>
  <c r="A10957" i="1"/>
  <c r="B10957" i="1"/>
  <c r="A10958" i="1"/>
  <c r="B10958" i="1"/>
  <c r="A10959" i="1"/>
  <c r="B10959" i="1"/>
  <c r="A10960" i="1"/>
  <c r="B10960" i="1"/>
  <c r="A10961" i="1"/>
  <c r="B10961" i="1"/>
  <c r="A10962" i="1"/>
  <c r="B10962" i="1"/>
  <c r="A10963" i="1"/>
  <c r="B10963" i="1"/>
  <c r="A10964" i="1"/>
  <c r="B10964" i="1"/>
  <c r="A10965" i="1"/>
  <c r="B10965" i="1"/>
  <c r="A10966" i="1"/>
  <c r="B10966" i="1"/>
  <c r="A10967" i="1"/>
  <c r="B10967" i="1"/>
  <c r="A10968" i="1"/>
  <c r="B10968" i="1"/>
  <c r="A10969" i="1"/>
  <c r="B10969" i="1"/>
  <c r="A10970" i="1"/>
  <c r="B10970" i="1"/>
  <c r="A10971" i="1"/>
  <c r="B10971" i="1"/>
  <c r="A10972" i="1"/>
  <c r="B10972" i="1"/>
  <c r="A10973" i="1"/>
  <c r="B10973" i="1"/>
  <c r="A10974" i="1"/>
  <c r="B10974" i="1"/>
  <c r="A10975" i="1"/>
  <c r="B10975" i="1"/>
  <c r="A10976" i="1"/>
  <c r="B10976" i="1"/>
  <c r="A10977" i="1"/>
  <c r="B10977" i="1"/>
  <c r="A10978" i="1"/>
  <c r="B10978" i="1"/>
  <c r="A10979" i="1"/>
  <c r="B10979" i="1"/>
  <c r="A10980" i="1"/>
  <c r="B10980" i="1"/>
  <c r="A10981" i="1"/>
  <c r="B10981" i="1"/>
  <c r="A10982" i="1"/>
  <c r="B10982" i="1"/>
  <c r="A10983" i="1"/>
  <c r="B10983" i="1"/>
  <c r="A10984" i="1"/>
  <c r="B10984" i="1"/>
  <c r="A10985" i="1"/>
  <c r="B10985" i="1"/>
  <c r="A10986" i="1"/>
  <c r="B10986" i="1"/>
  <c r="A10987" i="1"/>
  <c r="B10987" i="1"/>
  <c r="A10988" i="1"/>
  <c r="B10988" i="1"/>
  <c r="A10989" i="1"/>
  <c r="B10989" i="1"/>
  <c r="A10990" i="1"/>
  <c r="B10990" i="1"/>
  <c r="A10991" i="1"/>
  <c r="B10991" i="1"/>
  <c r="A10992" i="1"/>
  <c r="B10992" i="1"/>
  <c r="A10993" i="1"/>
  <c r="B10993" i="1"/>
  <c r="A10994" i="1"/>
  <c r="B10994" i="1"/>
  <c r="A10995" i="1"/>
  <c r="B10995" i="1"/>
  <c r="A10996" i="1"/>
  <c r="B10996" i="1"/>
  <c r="A10997" i="1"/>
  <c r="B10997" i="1"/>
  <c r="A10998" i="1"/>
  <c r="B10998" i="1"/>
  <c r="A10999" i="1"/>
  <c r="B10999" i="1"/>
  <c r="A11000" i="1"/>
  <c r="B11000" i="1"/>
  <c r="A11001" i="1"/>
  <c r="B11001" i="1"/>
  <c r="A11002" i="1"/>
  <c r="B11002" i="1"/>
  <c r="A11003" i="1"/>
  <c r="B11003" i="1"/>
  <c r="A11004" i="1"/>
  <c r="B11004" i="1"/>
  <c r="A11005" i="1"/>
  <c r="B11005" i="1"/>
  <c r="A11006" i="1"/>
  <c r="B11006" i="1"/>
  <c r="A11007" i="1"/>
  <c r="B11007" i="1"/>
  <c r="A11008" i="1"/>
  <c r="B11008" i="1"/>
  <c r="A11009" i="1"/>
  <c r="B11009" i="1"/>
  <c r="A11010" i="1"/>
  <c r="B11010" i="1"/>
  <c r="A11011" i="1"/>
  <c r="B11011" i="1"/>
  <c r="A11012" i="1"/>
  <c r="B11012" i="1"/>
  <c r="A11013" i="1"/>
  <c r="B11013" i="1"/>
  <c r="A11014" i="1"/>
  <c r="B11014" i="1"/>
  <c r="A11015" i="1"/>
  <c r="B11015" i="1"/>
  <c r="A11016" i="1"/>
  <c r="B11016" i="1"/>
  <c r="A11017" i="1"/>
  <c r="B11017" i="1"/>
  <c r="A11018" i="1"/>
  <c r="B11018" i="1"/>
  <c r="A11019" i="1"/>
  <c r="B11019" i="1"/>
  <c r="A11020" i="1"/>
  <c r="B11020" i="1"/>
  <c r="A11021" i="1"/>
  <c r="B11021" i="1"/>
  <c r="A11022" i="1"/>
  <c r="B11022" i="1"/>
  <c r="A11023" i="1"/>
  <c r="B11023" i="1"/>
  <c r="A11024" i="1"/>
  <c r="B11024" i="1"/>
  <c r="A11025" i="1"/>
  <c r="B11025" i="1"/>
  <c r="A11026" i="1"/>
  <c r="B11026" i="1"/>
  <c r="A11027" i="1"/>
  <c r="B11027" i="1"/>
  <c r="A11028" i="1"/>
  <c r="B11028" i="1"/>
  <c r="A11029" i="1"/>
  <c r="B11029" i="1"/>
  <c r="A11030" i="1"/>
  <c r="B11030" i="1"/>
  <c r="A11031" i="1"/>
  <c r="B11031" i="1"/>
  <c r="A11032" i="1"/>
  <c r="B11032" i="1"/>
  <c r="A11033" i="1"/>
  <c r="B11033" i="1"/>
  <c r="A11034" i="1"/>
  <c r="B11034" i="1"/>
  <c r="A11035" i="1"/>
  <c r="B11035" i="1"/>
  <c r="A11036" i="1"/>
  <c r="B11036" i="1"/>
  <c r="A11037" i="1"/>
  <c r="B11037" i="1"/>
  <c r="A11038" i="1"/>
  <c r="B11038" i="1"/>
  <c r="A11039" i="1"/>
  <c r="B11039" i="1"/>
  <c r="A11040" i="1"/>
  <c r="B11040" i="1"/>
  <c r="A11041" i="1"/>
  <c r="B11041" i="1"/>
  <c r="A11042" i="1"/>
  <c r="B11042" i="1"/>
  <c r="A11043" i="1"/>
  <c r="B11043" i="1"/>
  <c r="A11044" i="1"/>
  <c r="B11044" i="1"/>
  <c r="A11045" i="1"/>
  <c r="B11045" i="1"/>
  <c r="A11046" i="1"/>
  <c r="B11046" i="1"/>
  <c r="A11047" i="1"/>
  <c r="B11047" i="1"/>
  <c r="A11048" i="1"/>
  <c r="B11048" i="1"/>
  <c r="A11049" i="1"/>
  <c r="B11049" i="1"/>
  <c r="A11050" i="1"/>
  <c r="B11050" i="1"/>
  <c r="A11051" i="1"/>
  <c r="B11051" i="1"/>
  <c r="A11052" i="1"/>
  <c r="B11052" i="1"/>
  <c r="A11053" i="1"/>
  <c r="B11053" i="1"/>
  <c r="A11054" i="1"/>
  <c r="B11054" i="1"/>
  <c r="A11055" i="1"/>
  <c r="B11055" i="1"/>
  <c r="A11056" i="1"/>
  <c r="B11056" i="1"/>
  <c r="A11057" i="1"/>
  <c r="B11057" i="1"/>
  <c r="A11058" i="1"/>
  <c r="B11058" i="1"/>
  <c r="A11059" i="1"/>
  <c r="B11059" i="1"/>
  <c r="A11060" i="1"/>
  <c r="B11060" i="1"/>
  <c r="A11061" i="1"/>
  <c r="B11061" i="1"/>
  <c r="A11062" i="1"/>
  <c r="B11062" i="1"/>
  <c r="A11063" i="1"/>
  <c r="B11063" i="1"/>
  <c r="A11064" i="1"/>
  <c r="B11064" i="1"/>
  <c r="A11065" i="1"/>
  <c r="B11065" i="1"/>
  <c r="A11066" i="1"/>
  <c r="B11066" i="1"/>
  <c r="A11067" i="1"/>
  <c r="B11067" i="1"/>
  <c r="A11068" i="1"/>
  <c r="B11068" i="1"/>
  <c r="A11069" i="1"/>
  <c r="B11069" i="1"/>
  <c r="A11070" i="1"/>
  <c r="B11070" i="1"/>
  <c r="A11071" i="1"/>
  <c r="B11071" i="1"/>
  <c r="A11072" i="1"/>
  <c r="B11072" i="1"/>
  <c r="A11073" i="1"/>
  <c r="B11073" i="1"/>
  <c r="A11074" i="1"/>
  <c r="B11074" i="1"/>
  <c r="A11075" i="1"/>
  <c r="B11075" i="1"/>
  <c r="A11076" i="1"/>
  <c r="B11076" i="1"/>
  <c r="A11077" i="1"/>
  <c r="B11077" i="1"/>
  <c r="A11078" i="1"/>
  <c r="B11078" i="1"/>
  <c r="A11079" i="1"/>
  <c r="B11079" i="1"/>
  <c r="A11080" i="1"/>
  <c r="B11080" i="1"/>
  <c r="A11081" i="1"/>
  <c r="B11081" i="1"/>
  <c r="A11082" i="1"/>
  <c r="B11082" i="1"/>
  <c r="A11083" i="1"/>
  <c r="B11083" i="1"/>
  <c r="A11084" i="1"/>
  <c r="B11084" i="1"/>
  <c r="A11085" i="1"/>
  <c r="B11085" i="1"/>
  <c r="A11086" i="1"/>
  <c r="B11086" i="1"/>
  <c r="A11087" i="1"/>
  <c r="B11087" i="1"/>
  <c r="A11088" i="1"/>
  <c r="B11088" i="1"/>
  <c r="A11089" i="1"/>
  <c r="B11089" i="1"/>
  <c r="A11090" i="1"/>
  <c r="B11090" i="1"/>
  <c r="A11091" i="1"/>
  <c r="B11091" i="1"/>
  <c r="A11092" i="1"/>
  <c r="B11092" i="1"/>
  <c r="A11093" i="1"/>
  <c r="B11093" i="1"/>
  <c r="A11094" i="1"/>
  <c r="B11094" i="1"/>
  <c r="A11095" i="1"/>
  <c r="B11095" i="1"/>
  <c r="A11096" i="1"/>
  <c r="B11096" i="1"/>
  <c r="A11097" i="1"/>
  <c r="B11097" i="1"/>
  <c r="A11098" i="1"/>
  <c r="B11098" i="1"/>
  <c r="A11099" i="1"/>
  <c r="B11099" i="1"/>
  <c r="A11100" i="1"/>
  <c r="B11100" i="1"/>
  <c r="A11101" i="1"/>
  <c r="B11101" i="1"/>
  <c r="A11102" i="1"/>
  <c r="B11102" i="1"/>
  <c r="A11103" i="1"/>
  <c r="B11103" i="1"/>
  <c r="A11104" i="1"/>
  <c r="B11104" i="1"/>
  <c r="A11105" i="1"/>
  <c r="B11105" i="1"/>
  <c r="A11106" i="1"/>
  <c r="B11106" i="1"/>
  <c r="A11107" i="1"/>
  <c r="B11107" i="1"/>
  <c r="A11108" i="1"/>
  <c r="B11108" i="1"/>
  <c r="A11109" i="1"/>
  <c r="B11109" i="1"/>
  <c r="A11110" i="1"/>
  <c r="B11110" i="1"/>
  <c r="A11111" i="1"/>
  <c r="B11111" i="1"/>
  <c r="A11112" i="1"/>
  <c r="B11112" i="1"/>
  <c r="A11113" i="1"/>
  <c r="B11113" i="1"/>
  <c r="A11114" i="1"/>
  <c r="B11114" i="1"/>
  <c r="A11115" i="1"/>
  <c r="B11115" i="1"/>
  <c r="A11116" i="1"/>
  <c r="B11116" i="1"/>
  <c r="A11117" i="1"/>
  <c r="B11117" i="1"/>
  <c r="A11118" i="1"/>
  <c r="B11118" i="1"/>
  <c r="A11119" i="1"/>
  <c r="B11119" i="1"/>
  <c r="A11120" i="1"/>
  <c r="B11120" i="1"/>
  <c r="A11121" i="1"/>
  <c r="B11121" i="1"/>
  <c r="A11122" i="1"/>
  <c r="B11122" i="1"/>
  <c r="A11123" i="1"/>
  <c r="B11123" i="1"/>
  <c r="A11124" i="1"/>
  <c r="B11124" i="1"/>
  <c r="A11125" i="1"/>
  <c r="B11125" i="1"/>
  <c r="A11126" i="1"/>
  <c r="B11126" i="1"/>
  <c r="A11127" i="1"/>
  <c r="B11127" i="1"/>
  <c r="A11128" i="1"/>
  <c r="B11128" i="1"/>
  <c r="A11129" i="1"/>
  <c r="B11129" i="1"/>
  <c r="A11130" i="1"/>
  <c r="B11130" i="1"/>
  <c r="A11131" i="1"/>
  <c r="B11131" i="1"/>
  <c r="A11132" i="1"/>
  <c r="B11132" i="1"/>
  <c r="A11133" i="1"/>
  <c r="B11133" i="1"/>
  <c r="A11134" i="1"/>
  <c r="B11134" i="1"/>
  <c r="A11135" i="1"/>
  <c r="B11135" i="1"/>
  <c r="A11136" i="1"/>
  <c r="B11136" i="1"/>
  <c r="A11137" i="1"/>
  <c r="B11137" i="1"/>
  <c r="A11138" i="1"/>
  <c r="B11138" i="1"/>
  <c r="A11139" i="1"/>
  <c r="B11139" i="1"/>
  <c r="A11140" i="1"/>
  <c r="B11140" i="1"/>
  <c r="A11141" i="1"/>
  <c r="B11141" i="1"/>
  <c r="A11142" i="1"/>
  <c r="B11142" i="1"/>
  <c r="A11143" i="1"/>
  <c r="B11143" i="1"/>
  <c r="A11144" i="1"/>
  <c r="B11144" i="1"/>
  <c r="A11145" i="1"/>
  <c r="B11145" i="1"/>
  <c r="A11146" i="1"/>
  <c r="B11146" i="1"/>
  <c r="A11147" i="1"/>
  <c r="B11147" i="1"/>
  <c r="A11148" i="1"/>
  <c r="B11148" i="1"/>
  <c r="A11149" i="1"/>
  <c r="B11149" i="1"/>
  <c r="A11150" i="1"/>
  <c r="B11150" i="1"/>
  <c r="A11151" i="1"/>
  <c r="B11151" i="1"/>
  <c r="A11152" i="1"/>
  <c r="B11152" i="1"/>
  <c r="A11153" i="1"/>
  <c r="B11153" i="1"/>
  <c r="A11154" i="1"/>
  <c r="B11154" i="1"/>
  <c r="A11155" i="1"/>
  <c r="B11155" i="1"/>
  <c r="A11156" i="1"/>
  <c r="B11156" i="1"/>
  <c r="A11157" i="1"/>
  <c r="B11157" i="1"/>
  <c r="A11158" i="1"/>
  <c r="B11158" i="1"/>
  <c r="A11159" i="1"/>
  <c r="B11159" i="1"/>
  <c r="A11160" i="1"/>
  <c r="B11160" i="1"/>
  <c r="A11161" i="1"/>
  <c r="B11161" i="1"/>
  <c r="A11162" i="1"/>
  <c r="B11162" i="1"/>
  <c r="A11163" i="1"/>
  <c r="B11163" i="1"/>
  <c r="A11164" i="1"/>
  <c r="B11164" i="1"/>
  <c r="A11165" i="1"/>
  <c r="B11165" i="1"/>
  <c r="A11166" i="1"/>
  <c r="B11166" i="1"/>
  <c r="A11167" i="1"/>
  <c r="B11167" i="1"/>
  <c r="A11168" i="1"/>
  <c r="B11168" i="1"/>
  <c r="A11169" i="1"/>
  <c r="B11169" i="1"/>
  <c r="A11170" i="1"/>
  <c r="B11170" i="1"/>
  <c r="A11171" i="1"/>
  <c r="B11171" i="1"/>
  <c r="A11172" i="1"/>
  <c r="B11172" i="1"/>
  <c r="A11173" i="1"/>
  <c r="B11173" i="1"/>
  <c r="A11174" i="1"/>
  <c r="B11174" i="1"/>
  <c r="A11175" i="1"/>
  <c r="B11175" i="1"/>
  <c r="A11176" i="1"/>
  <c r="B11176" i="1"/>
  <c r="A11177" i="1"/>
  <c r="B11177" i="1"/>
  <c r="A11178" i="1"/>
  <c r="B11178" i="1"/>
  <c r="A11179" i="1"/>
  <c r="B11179" i="1"/>
  <c r="A11180" i="1"/>
  <c r="B11180" i="1"/>
  <c r="A11181" i="1"/>
  <c r="B11181" i="1"/>
  <c r="A11182" i="1"/>
  <c r="B11182" i="1"/>
  <c r="A11183" i="1"/>
  <c r="B11183" i="1"/>
  <c r="A11184" i="1"/>
  <c r="B11184" i="1"/>
  <c r="A11185" i="1"/>
  <c r="B11185" i="1"/>
  <c r="A11186" i="1"/>
  <c r="B11186" i="1"/>
  <c r="A11187" i="1"/>
  <c r="B11187" i="1"/>
  <c r="A11188" i="1"/>
  <c r="B11188" i="1"/>
  <c r="A11189" i="1"/>
  <c r="B11189" i="1"/>
  <c r="A11190" i="1"/>
  <c r="B11190" i="1"/>
  <c r="A11191" i="1"/>
  <c r="B11191" i="1"/>
  <c r="A11192" i="1"/>
  <c r="B11192" i="1"/>
  <c r="A11193" i="1"/>
  <c r="B11193" i="1"/>
  <c r="A11194" i="1"/>
  <c r="B11194" i="1"/>
  <c r="A11195" i="1"/>
  <c r="B11195" i="1"/>
  <c r="A11196" i="1"/>
  <c r="B11196" i="1"/>
  <c r="A11197" i="1"/>
  <c r="B11197" i="1"/>
  <c r="A11198" i="1"/>
  <c r="B11198" i="1"/>
  <c r="A11199" i="1"/>
  <c r="B11199" i="1"/>
  <c r="A11200" i="1"/>
  <c r="B11200" i="1"/>
  <c r="A11201" i="1"/>
  <c r="B11201" i="1"/>
  <c r="A11202" i="1"/>
  <c r="B11202" i="1"/>
  <c r="A11203" i="1"/>
  <c r="B11203" i="1"/>
  <c r="A11204" i="1"/>
  <c r="B11204" i="1"/>
  <c r="A11205" i="1"/>
  <c r="B11205" i="1"/>
  <c r="A11206" i="1"/>
  <c r="B11206" i="1"/>
  <c r="A11207" i="1"/>
  <c r="B11207" i="1"/>
  <c r="A11208" i="1"/>
  <c r="B11208" i="1"/>
  <c r="A11209" i="1"/>
  <c r="B11209" i="1"/>
  <c r="A11210" i="1"/>
  <c r="B11210" i="1"/>
  <c r="A11211" i="1"/>
  <c r="B11211" i="1"/>
  <c r="A11212" i="1"/>
  <c r="B11212" i="1"/>
  <c r="A11213" i="1"/>
  <c r="B11213" i="1"/>
  <c r="A11214" i="1"/>
  <c r="B11214" i="1"/>
  <c r="A11215" i="1"/>
  <c r="B11215" i="1"/>
  <c r="A11216" i="1"/>
  <c r="B11216" i="1"/>
  <c r="A11217" i="1"/>
  <c r="B11217" i="1"/>
  <c r="A11218" i="1"/>
  <c r="B11218" i="1"/>
  <c r="A11219" i="1"/>
  <c r="B11219" i="1"/>
  <c r="A11220" i="1"/>
  <c r="B11220" i="1"/>
  <c r="A11221" i="1"/>
  <c r="B11221" i="1"/>
  <c r="A11222" i="1"/>
  <c r="B11222" i="1"/>
  <c r="A11223" i="1"/>
  <c r="B11223" i="1"/>
  <c r="A11224" i="1"/>
  <c r="B11224" i="1"/>
  <c r="A11225" i="1"/>
  <c r="B11225" i="1"/>
  <c r="A11226" i="1"/>
  <c r="B11226" i="1"/>
  <c r="A11227" i="1"/>
  <c r="B11227" i="1"/>
  <c r="A11228" i="1"/>
  <c r="B11228" i="1"/>
  <c r="A11229" i="1"/>
  <c r="B11229" i="1"/>
  <c r="A11230" i="1"/>
  <c r="B11230" i="1"/>
  <c r="A11231" i="1"/>
  <c r="B11231" i="1"/>
  <c r="A11232" i="1"/>
  <c r="B11232" i="1"/>
  <c r="A11233" i="1"/>
  <c r="B11233" i="1"/>
  <c r="A11234" i="1"/>
  <c r="B11234" i="1"/>
  <c r="A11235" i="1"/>
  <c r="B11235" i="1"/>
  <c r="A11236" i="1"/>
  <c r="B11236" i="1"/>
  <c r="A11237" i="1"/>
  <c r="B11237" i="1"/>
  <c r="A11238" i="1"/>
  <c r="B11238" i="1"/>
  <c r="A11239" i="1"/>
  <c r="B11239" i="1"/>
  <c r="A11240" i="1"/>
  <c r="B11240" i="1"/>
  <c r="A11241" i="1"/>
  <c r="B11241" i="1"/>
  <c r="A11242" i="1"/>
  <c r="B11242" i="1"/>
  <c r="A11243" i="1"/>
  <c r="B11243" i="1"/>
  <c r="A11244" i="1"/>
  <c r="B11244" i="1"/>
  <c r="A11245" i="1"/>
  <c r="B11245" i="1"/>
  <c r="A11246" i="1"/>
  <c r="B11246" i="1"/>
  <c r="A11247" i="1"/>
  <c r="B11247" i="1"/>
  <c r="A11248" i="1"/>
  <c r="B11248" i="1"/>
  <c r="A11249" i="1"/>
  <c r="B11249" i="1"/>
  <c r="A11250" i="1"/>
  <c r="B11250" i="1"/>
  <c r="A11251" i="1"/>
  <c r="B11251" i="1"/>
  <c r="A11252" i="1"/>
  <c r="B11252" i="1"/>
  <c r="A11253" i="1"/>
  <c r="B11253" i="1"/>
  <c r="A11254" i="1"/>
  <c r="B11254" i="1"/>
  <c r="A11255" i="1"/>
  <c r="B11255" i="1"/>
  <c r="A11256" i="1"/>
  <c r="B11256" i="1"/>
  <c r="A11257" i="1"/>
  <c r="B11257" i="1"/>
  <c r="A11258" i="1"/>
  <c r="B11258" i="1"/>
  <c r="A11259" i="1"/>
  <c r="B11259" i="1"/>
  <c r="A11260" i="1"/>
  <c r="B11260" i="1"/>
  <c r="A11261" i="1"/>
  <c r="B11261" i="1"/>
  <c r="A11262" i="1"/>
  <c r="B11262" i="1"/>
  <c r="A11263" i="1"/>
  <c r="B11263" i="1"/>
  <c r="A11264" i="1"/>
  <c r="B11264" i="1"/>
  <c r="A11265" i="1"/>
  <c r="B11265" i="1"/>
  <c r="A11266" i="1"/>
  <c r="B11266" i="1"/>
  <c r="A11267" i="1"/>
  <c r="B11267" i="1"/>
  <c r="A11268" i="1"/>
  <c r="B11268" i="1"/>
  <c r="A11269" i="1"/>
  <c r="B11269" i="1"/>
  <c r="A11270" i="1"/>
  <c r="B11270" i="1"/>
  <c r="A11271" i="1"/>
  <c r="B11271" i="1"/>
  <c r="A11272" i="1"/>
  <c r="B11272" i="1"/>
  <c r="A11273" i="1"/>
  <c r="B11273" i="1"/>
  <c r="A11274" i="1"/>
  <c r="B11274" i="1"/>
  <c r="A11275" i="1"/>
  <c r="B11275" i="1"/>
  <c r="A11276" i="1"/>
  <c r="B11276" i="1"/>
  <c r="A11277" i="1"/>
  <c r="B11277" i="1"/>
  <c r="A11278" i="1"/>
  <c r="B11278" i="1"/>
  <c r="A11279" i="1"/>
  <c r="B11279" i="1"/>
  <c r="A11280" i="1"/>
  <c r="B11280" i="1"/>
  <c r="A11281" i="1"/>
  <c r="B11281" i="1"/>
  <c r="A11282" i="1"/>
  <c r="B11282" i="1"/>
  <c r="A11283" i="1"/>
  <c r="B11283" i="1"/>
  <c r="A11284" i="1"/>
  <c r="B11284" i="1"/>
  <c r="A11285" i="1"/>
  <c r="B11285" i="1"/>
  <c r="A11286" i="1"/>
  <c r="B11286" i="1"/>
  <c r="A11287" i="1"/>
  <c r="B11287" i="1"/>
  <c r="A11288" i="1"/>
  <c r="B11288" i="1"/>
  <c r="A11289" i="1"/>
  <c r="B11289" i="1"/>
  <c r="A11290" i="1"/>
  <c r="B11290" i="1"/>
  <c r="A11291" i="1"/>
  <c r="B11291" i="1"/>
  <c r="A11292" i="1"/>
  <c r="B11292" i="1"/>
  <c r="A11293" i="1"/>
  <c r="B11293" i="1"/>
  <c r="A11294" i="1"/>
  <c r="B11294" i="1"/>
  <c r="A11295" i="1"/>
  <c r="B11295" i="1"/>
  <c r="A11296" i="1"/>
  <c r="B11296" i="1"/>
  <c r="A11297" i="1"/>
  <c r="B11297" i="1"/>
  <c r="A11298" i="1"/>
  <c r="B11298" i="1"/>
  <c r="A11299" i="1"/>
  <c r="B11299" i="1"/>
  <c r="A11300" i="1"/>
  <c r="B11300" i="1"/>
  <c r="A11301" i="1"/>
  <c r="B11301" i="1"/>
  <c r="A11302" i="1"/>
  <c r="B11302" i="1"/>
  <c r="A11303" i="1"/>
  <c r="B11303" i="1"/>
  <c r="A11304" i="1"/>
  <c r="B11304" i="1"/>
  <c r="A11305" i="1"/>
  <c r="B11305" i="1"/>
  <c r="A11306" i="1"/>
  <c r="B11306" i="1"/>
  <c r="A11307" i="1"/>
  <c r="B11307" i="1"/>
  <c r="A11308" i="1"/>
  <c r="B11308" i="1"/>
  <c r="A11309" i="1"/>
  <c r="B11309" i="1"/>
  <c r="A11310" i="1"/>
  <c r="B11310" i="1"/>
  <c r="A11311" i="1"/>
  <c r="B11311" i="1"/>
  <c r="A11312" i="1"/>
  <c r="B11312" i="1"/>
  <c r="A11313" i="1"/>
  <c r="B11313" i="1"/>
  <c r="A11314" i="1"/>
  <c r="B11314" i="1"/>
  <c r="A11315" i="1"/>
  <c r="B11315" i="1"/>
  <c r="A11316" i="1"/>
  <c r="B11316" i="1"/>
  <c r="A11317" i="1"/>
  <c r="B11317" i="1"/>
  <c r="A11318" i="1"/>
  <c r="B11318" i="1"/>
  <c r="A11319" i="1"/>
  <c r="B11319" i="1"/>
  <c r="A11320" i="1"/>
  <c r="B11320" i="1"/>
  <c r="A11321" i="1"/>
  <c r="B11321" i="1"/>
  <c r="A11322" i="1"/>
  <c r="B11322" i="1"/>
  <c r="A11323" i="1"/>
  <c r="B11323" i="1"/>
  <c r="A11324" i="1"/>
  <c r="B11324" i="1"/>
  <c r="A11325" i="1"/>
  <c r="B11325" i="1"/>
  <c r="A11326" i="1"/>
  <c r="B11326" i="1"/>
  <c r="A11327" i="1"/>
  <c r="B11327" i="1"/>
  <c r="A11328" i="1"/>
  <c r="B11328" i="1"/>
  <c r="A11329" i="1"/>
  <c r="B11329" i="1"/>
  <c r="A11330" i="1"/>
  <c r="B11330" i="1"/>
  <c r="A11331" i="1"/>
  <c r="B11331" i="1"/>
  <c r="A11332" i="1"/>
  <c r="B11332" i="1"/>
  <c r="A11333" i="1"/>
  <c r="B11333" i="1"/>
  <c r="A11334" i="1"/>
  <c r="B11334" i="1"/>
  <c r="A11335" i="1"/>
  <c r="B11335" i="1"/>
  <c r="A11336" i="1"/>
  <c r="B11336" i="1"/>
  <c r="A11337" i="1"/>
  <c r="B11337" i="1"/>
  <c r="A11338" i="1"/>
  <c r="B11338" i="1"/>
  <c r="A11339" i="1"/>
  <c r="B11339" i="1"/>
  <c r="A11340" i="1"/>
  <c r="B11340" i="1"/>
  <c r="A11341" i="1"/>
  <c r="B11341" i="1"/>
  <c r="A11342" i="1"/>
  <c r="B11342" i="1"/>
  <c r="A11343" i="1"/>
  <c r="B11343" i="1"/>
  <c r="A11344" i="1"/>
  <c r="B11344" i="1"/>
  <c r="A11345" i="1"/>
  <c r="B11345" i="1"/>
  <c r="A11346" i="1"/>
  <c r="B11346" i="1"/>
  <c r="A11347" i="1"/>
  <c r="B11347" i="1"/>
  <c r="A11348" i="1"/>
  <c r="B11348" i="1"/>
  <c r="A11349" i="1"/>
  <c r="B11349" i="1"/>
  <c r="A11350" i="1"/>
  <c r="B11350" i="1"/>
  <c r="A11351" i="1"/>
  <c r="B11351" i="1"/>
  <c r="A11352" i="1"/>
  <c r="B11352" i="1"/>
  <c r="A11353" i="1"/>
  <c r="B11353" i="1"/>
  <c r="A11354" i="1"/>
  <c r="B11354" i="1"/>
  <c r="A11355" i="1"/>
  <c r="B11355" i="1"/>
  <c r="A11356" i="1"/>
  <c r="B11356" i="1"/>
  <c r="A11357" i="1"/>
  <c r="B11357" i="1"/>
  <c r="A11358" i="1"/>
  <c r="B11358" i="1"/>
  <c r="A11359" i="1"/>
  <c r="B11359" i="1"/>
  <c r="A11360" i="1"/>
  <c r="B11360" i="1"/>
  <c r="A11361" i="1"/>
  <c r="B11361" i="1"/>
  <c r="A11362" i="1"/>
  <c r="B11362" i="1"/>
  <c r="A11363" i="1"/>
  <c r="B11363" i="1"/>
  <c r="A11364" i="1"/>
  <c r="B11364" i="1"/>
  <c r="A11365" i="1"/>
  <c r="B11365" i="1"/>
  <c r="A11366" i="1"/>
  <c r="B11366" i="1"/>
  <c r="A11367" i="1"/>
  <c r="B11367" i="1"/>
  <c r="A11368" i="1"/>
  <c r="B11368" i="1"/>
  <c r="A11369" i="1"/>
  <c r="B11369" i="1"/>
  <c r="A11370" i="1"/>
  <c r="B11370" i="1"/>
  <c r="A11371" i="1"/>
  <c r="B11371" i="1"/>
  <c r="A11372" i="1"/>
  <c r="B11372" i="1"/>
  <c r="A11373" i="1"/>
  <c r="B11373" i="1"/>
  <c r="A11374" i="1"/>
  <c r="B11374" i="1"/>
  <c r="A11375" i="1"/>
  <c r="B11375" i="1"/>
  <c r="A11376" i="1"/>
  <c r="B11376" i="1"/>
  <c r="A11377" i="1"/>
  <c r="B11377" i="1"/>
  <c r="A11378" i="1"/>
  <c r="B11378" i="1"/>
  <c r="A11379" i="1"/>
  <c r="B11379" i="1"/>
  <c r="A11380" i="1"/>
  <c r="B11380" i="1"/>
  <c r="A11381" i="1"/>
  <c r="B11381" i="1"/>
  <c r="A11382" i="1"/>
  <c r="B11382" i="1"/>
  <c r="A11383" i="1"/>
  <c r="B11383" i="1"/>
  <c r="A11384" i="1"/>
  <c r="B11384" i="1"/>
  <c r="A11385" i="1"/>
  <c r="B11385" i="1"/>
  <c r="A11386" i="1"/>
  <c r="B11386" i="1"/>
  <c r="A11387" i="1"/>
  <c r="B11387" i="1"/>
  <c r="A11388" i="1"/>
  <c r="B11388" i="1"/>
  <c r="A11389" i="1"/>
  <c r="B11389" i="1"/>
  <c r="A11390" i="1"/>
  <c r="B11390" i="1"/>
  <c r="A11391" i="1"/>
  <c r="B11391" i="1"/>
  <c r="A11392" i="1"/>
  <c r="B11392" i="1"/>
  <c r="A11393" i="1"/>
  <c r="B11393" i="1"/>
  <c r="A11394" i="1"/>
  <c r="B11394" i="1"/>
  <c r="A11395" i="1"/>
  <c r="B11395" i="1"/>
  <c r="A11396" i="1"/>
  <c r="B11396" i="1"/>
  <c r="A11397" i="1"/>
  <c r="B11397" i="1"/>
  <c r="A11398" i="1"/>
  <c r="B11398" i="1"/>
  <c r="A11399" i="1"/>
  <c r="B11399" i="1"/>
  <c r="A11400" i="1"/>
  <c r="B11400" i="1"/>
  <c r="A11401" i="1"/>
  <c r="B11401" i="1"/>
  <c r="A11402" i="1"/>
  <c r="B11402" i="1"/>
  <c r="A11403" i="1"/>
  <c r="B11403" i="1"/>
  <c r="A11404" i="1"/>
  <c r="B11404" i="1"/>
  <c r="A11405" i="1"/>
  <c r="B11405" i="1"/>
  <c r="A11406" i="1"/>
  <c r="B11406" i="1"/>
  <c r="A11407" i="1"/>
  <c r="B11407" i="1"/>
  <c r="A11408" i="1"/>
  <c r="B11408" i="1"/>
  <c r="A11409" i="1"/>
  <c r="B11409" i="1"/>
  <c r="A11410" i="1"/>
  <c r="B11410" i="1"/>
  <c r="A11411" i="1"/>
  <c r="B11411" i="1"/>
  <c r="A11412" i="1"/>
  <c r="B11412" i="1"/>
  <c r="A11413" i="1"/>
  <c r="B11413" i="1"/>
  <c r="A11414" i="1"/>
  <c r="B11414" i="1"/>
  <c r="A11415" i="1"/>
  <c r="B11415" i="1"/>
  <c r="A11416" i="1"/>
  <c r="B11416" i="1"/>
  <c r="A11417" i="1"/>
  <c r="B11417" i="1"/>
  <c r="A11418" i="1"/>
  <c r="B11418" i="1"/>
  <c r="A11419" i="1"/>
  <c r="B11419" i="1"/>
  <c r="A11420" i="1"/>
  <c r="B11420" i="1"/>
  <c r="A11421" i="1"/>
  <c r="B11421" i="1"/>
  <c r="A11422" i="1"/>
  <c r="B11422" i="1"/>
  <c r="A11423" i="1"/>
  <c r="B11423" i="1"/>
  <c r="A11424" i="1"/>
  <c r="B11424" i="1"/>
  <c r="A11425" i="1"/>
  <c r="B11425" i="1"/>
  <c r="A11426" i="1"/>
  <c r="B11426" i="1"/>
  <c r="A11427" i="1"/>
  <c r="B11427" i="1"/>
  <c r="A11428" i="1"/>
  <c r="B11428" i="1"/>
  <c r="A11429" i="1"/>
  <c r="B11429" i="1"/>
  <c r="A11430" i="1"/>
  <c r="B11430" i="1"/>
  <c r="A11431" i="1"/>
  <c r="B11431" i="1"/>
  <c r="A11432" i="1"/>
  <c r="B11432" i="1"/>
  <c r="A11433" i="1"/>
  <c r="B11433" i="1"/>
  <c r="A11434" i="1"/>
  <c r="B11434" i="1"/>
  <c r="A11435" i="1"/>
  <c r="B11435" i="1"/>
  <c r="A11436" i="1"/>
  <c r="B11436" i="1"/>
  <c r="A11437" i="1"/>
  <c r="B11437" i="1"/>
  <c r="A11438" i="1"/>
  <c r="B11438" i="1"/>
  <c r="A11439" i="1"/>
  <c r="B11439" i="1"/>
  <c r="A11440" i="1"/>
  <c r="B11440" i="1"/>
  <c r="A11441" i="1"/>
  <c r="B11441" i="1"/>
  <c r="A11442" i="1"/>
  <c r="B11442" i="1"/>
  <c r="A11443" i="1"/>
  <c r="B11443" i="1"/>
  <c r="A11444" i="1"/>
  <c r="B11444" i="1"/>
  <c r="A11445" i="1"/>
  <c r="B11445" i="1"/>
  <c r="A11446" i="1"/>
  <c r="B11446" i="1"/>
  <c r="A11447" i="1"/>
  <c r="B11447" i="1"/>
  <c r="A11448" i="1"/>
  <c r="B11448" i="1"/>
  <c r="A11449" i="1"/>
  <c r="B11449" i="1"/>
  <c r="A11450" i="1"/>
  <c r="B11450" i="1"/>
  <c r="A11451" i="1"/>
  <c r="B11451" i="1"/>
  <c r="A11452" i="1"/>
  <c r="B11452" i="1"/>
  <c r="A11453" i="1"/>
  <c r="B11453" i="1"/>
  <c r="A11454" i="1"/>
  <c r="B11454" i="1"/>
  <c r="A11455" i="1"/>
  <c r="B11455" i="1"/>
  <c r="A11456" i="1"/>
  <c r="B11456" i="1"/>
  <c r="A11457" i="1"/>
  <c r="B11457" i="1"/>
  <c r="A11458" i="1"/>
  <c r="B11458" i="1"/>
  <c r="A11459" i="1"/>
  <c r="B11459" i="1"/>
  <c r="A11460" i="1"/>
  <c r="B11460" i="1"/>
  <c r="A11461" i="1"/>
  <c r="B11461" i="1"/>
  <c r="A11462" i="1"/>
  <c r="B11462" i="1"/>
  <c r="A11463" i="1"/>
  <c r="B11463" i="1"/>
  <c r="A11464" i="1"/>
  <c r="B11464" i="1"/>
  <c r="A11465" i="1"/>
  <c r="B11465" i="1"/>
  <c r="A11466" i="1"/>
  <c r="B11466" i="1"/>
  <c r="A11467" i="1"/>
  <c r="B11467" i="1"/>
  <c r="A11468" i="1"/>
  <c r="B11468" i="1"/>
  <c r="A11469" i="1"/>
  <c r="B11469" i="1"/>
  <c r="A11470" i="1"/>
  <c r="B11470" i="1"/>
  <c r="A11471" i="1"/>
  <c r="B11471" i="1"/>
  <c r="A11472" i="1"/>
  <c r="B11472" i="1"/>
  <c r="A11473" i="1"/>
  <c r="B11473" i="1"/>
  <c r="A11474" i="1"/>
  <c r="B11474" i="1"/>
  <c r="A11475" i="1"/>
  <c r="B11475" i="1"/>
  <c r="A11476" i="1"/>
  <c r="B11476" i="1"/>
  <c r="A11477" i="1"/>
  <c r="B11477" i="1"/>
  <c r="A11478" i="1"/>
  <c r="B11478" i="1"/>
  <c r="A11479" i="1"/>
  <c r="B11479" i="1"/>
  <c r="A11480" i="1"/>
  <c r="B11480" i="1"/>
  <c r="A11481" i="1"/>
  <c r="B11481" i="1"/>
  <c r="A11482" i="1"/>
  <c r="B11482" i="1"/>
  <c r="A11483" i="1"/>
  <c r="B11483" i="1"/>
  <c r="A11484" i="1"/>
  <c r="B11484" i="1"/>
  <c r="A11485" i="1"/>
  <c r="B11485" i="1"/>
  <c r="A11486" i="1"/>
  <c r="B11486" i="1"/>
  <c r="A11487" i="1"/>
  <c r="B11487" i="1"/>
  <c r="A11488" i="1"/>
  <c r="B11488" i="1"/>
  <c r="A11489" i="1"/>
  <c r="B11489" i="1"/>
  <c r="A11490" i="1"/>
  <c r="B11490" i="1"/>
  <c r="A11491" i="1"/>
  <c r="B11491" i="1"/>
  <c r="A11492" i="1"/>
  <c r="B11492" i="1"/>
  <c r="A11493" i="1"/>
  <c r="B11493" i="1"/>
  <c r="A11494" i="1"/>
  <c r="B11494" i="1"/>
  <c r="A11495" i="1"/>
  <c r="B11495" i="1"/>
  <c r="A11496" i="1"/>
  <c r="B11496" i="1"/>
  <c r="A11497" i="1"/>
  <c r="B11497" i="1"/>
  <c r="A11498" i="1"/>
  <c r="B11498" i="1"/>
  <c r="A11499" i="1"/>
  <c r="B11499" i="1"/>
  <c r="A11500" i="1"/>
  <c r="B11500" i="1"/>
  <c r="A11501" i="1"/>
  <c r="B11501" i="1"/>
  <c r="A11502" i="1"/>
  <c r="B11502" i="1"/>
  <c r="A11503" i="1"/>
  <c r="B11503" i="1"/>
  <c r="A11504" i="1"/>
  <c r="B11504" i="1"/>
  <c r="A11505" i="1"/>
  <c r="B11505" i="1"/>
  <c r="A11506" i="1"/>
  <c r="B11506" i="1"/>
  <c r="A11507" i="1"/>
  <c r="B11507" i="1"/>
  <c r="A11508" i="1"/>
  <c r="B11508" i="1"/>
  <c r="A11509" i="1"/>
  <c r="B11509" i="1"/>
  <c r="A11510" i="1"/>
  <c r="B11510" i="1"/>
  <c r="A11511" i="1"/>
  <c r="B11511" i="1"/>
  <c r="A11512" i="1"/>
  <c r="B11512" i="1"/>
  <c r="A11513" i="1"/>
  <c r="B11513" i="1"/>
  <c r="A11514" i="1"/>
  <c r="B11514" i="1"/>
  <c r="A11515" i="1"/>
  <c r="B11515" i="1"/>
  <c r="A11516" i="1"/>
  <c r="B11516" i="1"/>
  <c r="A11517" i="1"/>
  <c r="B11517" i="1"/>
  <c r="A11518" i="1"/>
  <c r="B11518" i="1"/>
  <c r="A11519" i="1"/>
  <c r="B11519" i="1"/>
  <c r="A11520" i="1"/>
  <c r="B11520" i="1"/>
  <c r="A11521" i="1"/>
  <c r="B11521" i="1"/>
  <c r="A11522" i="1"/>
  <c r="B11522" i="1"/>
  <c r="A11523" i="1"/>
  <c r="B11523" i="1"/>
  <c r="A11524" i="1"/>
  <c r="B11524" i="1"/>
  <c r="A11525" i="1"/>
  <c r="B11525" i="1"/>
  <c r="A11526" i="1"/>
  <c r="B11526" i="1"/>
  <c r="A11527" i="1"/>
  <c r="B11527" i="1"/>
  <c r="A11528" i="1"/>
  <c r="B11528" i="1"/>
  <c r="A11529" i="1"/>
  <c r="B11529" i="1"/>
  <c r="A11530" i="1"/>
  <c r="B11530" i="1"/>
  <c r="A11531" i="1"/>
  <c r="B11531" i="1"/>
  <c r="A11532" i="1"/>
  <c r="B11532" i="1"/>
  <c r="A11533" i="1"/>
  <c r="B11533" i="1"/>
  <c r="A11534" i="1"/>
  <c r="B11534" i="1"/>
  <c r="A11535" i="1"/>
  <c r="B11535" i="1"/>
  <c r="A11536" i="1"/>
  <c r="B11536" i="1"/>
  <c r="A11537" i="1"/>
  <c r="B11537" i="1"/>
  <c r="A11538" i="1"/>
  <c r="B11538" i="1"/>
  <c r="A11539" i="1"/>
  <c r="B11539" i="1"/>
  <c r="A11540" i="1"/>
  <c r="B11540" i="1"/>
  <c r="A11541" i="1"/>
  <c r="B11541" i="1"/>
  <c r="A11542" i="1"/>
  <c r="B11542" i="1"/>
  <c r="A11543" i="1"/>
  <c r="B11543" i="1"/>
  <c r="A11544" i="1"/>
  <c r="B11544" i="1"/>
  <c r="A11545" i="1"/>
  <c r="B11545" i="1"/>
  <c r="A11546" i="1"/>
  <c r="B11546" i="1"/>
  <c r="A11547" i="1"/>
  <c r="B11547" i="1"/>
  <c r="A11548" i="1"/>
  <c r="B11548" i="1"/>
  <c r="A11549" i="1"/>
  <c r="B11549" i="1"/>
  <c r="A11550" i="1"/>
  <c r="B11550" i="1"/>
  <c r="A11551" i="1"/>
  <c r="B11551" i="1"/>
  <c r="A11552" i="1"/>
  <c r="B11552" i="1"/>
  <c r="A11553" i="1"/>
  <c r="B11553" i="1"/>
  <c r="A11554" i="1"/>
  <c r="B11554" i="1"/>
  <c r="A11555" i="1"/>
  <c r="B11555" i="1"/>
  <c r="A11556" i="1"/>
  <c r="B11556" i="1"/>
  <c r="A11557" i="1"/>
  <c r="B11557" i="1"/>
  <c r="A11558" i="1"/>
  <c r="B11558" i="1"/>
  <c r="A11559" i="1"/>
  <c r="B11559" i="1"/>
  <c r="A11560" i="1"/>
  <c r="B11560" i="1"/>
  <c r="A11561" i="1"/>
  <c r="B11561" i="1"/>
  <c r="A11562" i="1"/>
  <c r="B11562" i="1"/>
  <c r="A11563" i="1"/>
  <c r="B11563" i="1"/>
  <c r="A11564" i="1"/>
  <c r="B11564" i="1"/>
  <c r="A11565" i="1"/>
  <c r="B11565" i="1"/>
  <c r="A11566" i="1"/>
  <c r="B11566" i="1"/>
  <c r="A11567" i="1"/>
  <c r="B11567" i="1"/>
  <c r="A11568" i="1"/>
  <c r="B11568" i="1"/>
  <c r="A11569" i="1"/>
  <c r="B11569" i="1"/>
  <c r="A11570" i="1"/>
  <c r="B11570" i="1"/>
  <c r="A11571" i="1"/>
  <c r="B11571" i="1"/>
  <c r="A11572" i="1"/>
  <c r="B11572" i="1"/>
  <c r="A11573" i="1"/>
  <c r="B11573" i="1"/>
  <c r="A11574" i="1"/>
  <c r="B11574" i="1"/>
  <c r="A11575" i="1"/>
  <c r="B11575" i="1"/>
  <c r="A11576" i="1"/>
  <c r="B11576" i="1"/>
  <c r="A11577" i="1"/>
  <c r="B11577" i="1"/>
  <c r="A11578" i="1"/>
  <c r="B11578" i="1"/>
  <c r="A11579" i="1"/>
  <c r="B11579" i="1"/>
  <c r="A11580" i="1"/>
  <c r="B11580" i="1"/>
  <c r="A11581" i="1"/>
  <c r="B11581" i="1"/>
  <c r="A11582" i="1"/>
  <c r="B11582" i="1"/>
  <c r="A11583" i="1"/>
  <c r="B11583" i="1"/>
  <c r="A11584" i="1"/>
  <c r="B11584" i="1"/>
  <c r="A11585" i="1"/>
  <c r="B11585" i="1"/>
  <c r="A11586" i="1"/>
  <c r="B11586" i="1"/>
  <c r="A11587" i="1"/>
  <c r="B11587" i="1"/>
  <c r="A11588" i="1"/>
  <c r="B11588" i="1"/>
  <c r="A11589" i="1"/>
  <c r="B11589" i="1"/>
  <c r="A11590" i="1"/>
  <c r="B11590" i="1"/>
  <c r="A11591" i="1"/>
  <c r="B11591" i="1"/>
  <c r="A11592" i="1"/>
  <c r="B11592" i="1"/>
  <c r="A11593" i="1"/>
  <c r="B11593" i="1"/>
  <c r="A11594" i="1"/>
  <c r="B11594" i="1"/>
  <c r="A11595" i="1"/>
  <c r="B11595" i="1"/>
  <c r="A11596" i="1"/>
  <c r="B11596" i="1"/>
  <c r="A11597" i="1"/>
  <c r="B11597" i="1"/>
  <c r="A11598" i="1"/>
  <c r="B11598" i="1"/>
  <c r="A11599" i="1"/>
  <c r="B11599" i="1"/>
  <c r="A11600" i="1"/>
  <c r="B11600" i="1"/>
  <c r="A11601" i="1"/>
  <c r="B11601" i="1"/>
  <c r="A11602" i="1"/>
  <c r="B11602" i="1"/>
  <c r="A11603" i="1"/>
  <c r="B11603" i="1"/>
  <c r="A11604" i="1"/>
  <c r="B11604" i="1"/>
  <c r="A11605" i="1"/>
  <c r="B11605" i="1"/>
  <c r="A11606" i="1"/>
  <c r="B11606" i="1"/>
  <c r="A11607" i="1"/>
  <c r="B11607" i="1"/>
  <c r="A11608" i="1"/>
  <c r="B11608" i="1"/>
  <c r="A11609" i="1"/>
  <c r="B11609" i="1"/>
  <c r="A11610" i="1"/>
  <c r="B11610" i="1"/>
  <c r="A11611" i="1"/>
  <c r="B11611" i="1"/>
  <c r="A11612" i="1"/>
  <c r="B11612" i="1"/>
  <c r="A11613" i="1"/>
  <c r="B11613" i="1"/>
  <c r="A11614" i="1"/>
  <c r="B11614" i="1"/>
  <c r="A11615" i="1"/>
  <c r="B11615" i="1"/>
  <c r="A11616" i="1"/>
  <c r="B11616" i="1"/>
  <c r="A11617" i="1"/>
  <c r="B11617" i="1"/>
  <c r="A11618" i="1"/>
  <c r="B11618" i="1"/>
  <c r="A11619" i="1"/>
  <c r="B11619" i="1"/>
  <c r="A11620" i="1"/>
  <c r="B11620" i="1"/>
  <c r="A11621" i="1"/>
  <c r="B11621" i="1"/>
  <c r="A11622" i="1"/>
  <c r="B11622" i="1"/>
  <c r="A11623" i="1"/>
  <c r="B11623" i="1"/>
  <c r="A11624" i="1"/>
  <c r="B11624" i="1"/>
  <c r="A11625" i="1"/>
  <c r="B11625" i="1"/>
  <c r="A11626" i="1"/>
  <c r="B11626" i="1"/>
  <c r="A11627" i="1"/>
  <c r="B11627" i="1"/>
  <c r="A11628" i="1"/>
  <c r="B11628" i="1"/>
  <c r="A11629" i="1"/>
  <c r="B11629" i="1"/>
  <c r="A11630" i="1"/>
  <c r="B11630" i="1"/>
  <c r="A11631" i="1"/>
  <c r="B11631" i="1"/>
  <c r="A11632" i="1"/>
  <c r="B11632" i="1"/>
  <c r="A11633" i="1"/>
  <c r="B11633" i="1"/>
  <c r="A11634" i="1"/>
  <c r="B11634" i="1"/>
  <c r="A11635" i="1"/>
  <c r="B11635" i="1"/>
  <c r="A11636" i="1"/>
  <c r="B11636" i="1"/>
  <c r="A11637" i="1"/>
  <c r="B11637" i="1"/>
  <c r="A11638" i="1"/>
  <c r="B11638" i="1"/>
  <c r="A11639" i="1"/>
  <c r="B11639" i="1"/>
  <c r="A11640" i="1"/>
  <c r="B11640" i="1"/>
  <c r="A11641" i="1"/>
  <c r="B11641" i="1"/>
  <c r="A11642" i="1"/>
  <c r="B11642" i="1"/>
  <c r="A11643" i="1"/>
  <c r="B11643" i="1"/>
  <c r="A11644" i="1"/>
  <c r="B11644" i="1"/>
  <c r="A11645" i="1"/>
  <c r="B11645" i="1"/>
  <c r="A11646" i="1"/>
  <c r="B11646" i="1"/>
  <c r="A11647" i="1"/>
  <c r="B11647" i="1"/>
  <c r="A11648" i="1"/>
  <c r="B11648" i="1"/>
  <c r="A11649" i="1"/>
  <c r="B11649" i="1"/>
  <c r="A11650" i="1"/>
  <c r="B11650" i="1"/>
  <c r="A11651" i="1"/>
  <c r="B11651" i="1"/>
  <c r="A11652" i="1"/>
  <c r="B11652" i="1"/>
  <c r="A11653" i="1"/>
  <c r="B11653" i="1"/>
  <c r="A11654" i="1"/>
  <c r="B11654" i="1"/>
  <c r="A11655" i="1"/>
  <c r="B11655" i="1"/>
  <c r="A11656" i="1"/>
  <c r="B11656" i="1"/>
  <c r="A11657" i="1"/>
  <c r="B11657" i="1"/>
  <c r="A11658" i="1"/>
  <c r="B11658" i="1"/>
  <c r="A11659" i="1"/>
  <c r="B11659" i="1"/>
  <c r="A11660" i="1"/>
  <c r="B11660" i="1"/>
  <c r="A11661" i="1"/>
  <c r="B11661" i="1"/>
  <c r="A11662" i="1"/>
  <c r="B11662" i="1"/>
  <c r="A11663" i="1"/>
  <c r="B11663" i="1"/>
  <c r="A11664" i="1"/>
  <c r="B11664" i="1"/>
  <c r="A11665" i="1"/>
  <c r="B11665" i="1"/>
  <c r="A11666" i="1"/>
  <c r="B11666" i="1"/>
  <c r="A11667" i="1"/>
  <c r="B11667" i="1"/>
  <c r="A11668" i="1"/>
  <c r="B11668" i="1"/>
  <c r="A11669" i="1"/>
  <c r="B11669" i="1"/>
  <c r="A11670" i="1"/>
  <c r="B11670" i="1"/>
  <c r="A11671" i="1"/>
  <c r="B11671" i="1"/>
  <c r="A11672" i="1"/>
  <c r="B11672" i="1"/>
  <c r="A11673" i="1"/>
  <c r="B11673" i="1"/>
  <c r="A11674" i="1"/>
  <c r="B11674" i="1"/>
  <c r="A11675" i="1"/>
  <c r="B11675" i="1"/>
  <c r="A11676" i="1"/>
  <c r="B11676" i="1"/>
  <c r="A11677" i="1"/>
  <c r="B11677" i="1"/>
  <c r="A11678" i="1"/>
  <c r="B11678" i="1"/>
  <c r="A11679" i="1"/>
  <c r="B11679" i="1"/>
  <c r="A11680" i="1"/>
  <c r="B11680" i="1"/>
  <c r="A11681" i="1"/>
  <c r="B11681" i="1"/>
  <c r="A11682" i="1"/>
  <c r="B11682" i="1"/>
  <c r="A11683" i="1"/>
  <c r="B11683" i="1"/>
  <c r="A11684" i="1"/>
  <c r="B11684" i="1"/>
  <c r="A11685" i="1"/>
  <c r="B11685" i="1"/>
  <c r="A11686" i="1"/>
  <c r="B11686" i="1"/>
  <c r="A11687" i="1"/>
  <c r="B11687" i="1"/>
  <c r="A11688" i="1"/>
  <c r="B11688" i="1"/>
  <c r="A11689" i="1"/>
  <c r="B11689" i="1"/>
  <c r="A11690" i="1"/>
  <c r="B11690" i="1"/>
  <c r="A11691" i="1"/>
  <c r="B11691" i="1"/>
  <c r="A11692" i="1"/>
  <c r="B11692" i="1"/>
  <c r="A11693" i="1"/>
  <c r="B11693" i="1"/>
  <c r="A11694" i="1"/>
  <c r="B11694" i="1"/>
  <c r="A11695" i="1"/>
  <c r="B11695" i="1"/>
  <c r="A11696" i="1"/>
  <c r="B11696" i="1"/>
  <c r="A11697" i="1"/>
  <c r="B11697" i="1"/>
  <c r="A11698" i="1"/>
  <c r="B11698" i="1"/>
  <c r="A11699" i="1"/>
  <c r="B11699" i="1"/>
  <c r="A11700" i="1"/>
  <c r="B11700" i="1"/>
  <c r="A11701" i="1"/>
  <c r="B11701" i="1"/>
  <c r="A11702" i="1"/>
  <c r="B11702" i="1"/>
  <c r="A11703" i="1"/>
  <c r="B11703" i="1"/>
  <c r="A11704" i="1"/>
  <c r="B11704" i="1"/>
  <c r="A11705" i="1"/>
  <c r="B11705" i="1"/>
  <c r="A11706" i="1"/>
  <c r="B11706" i="1"/>
  <c r="A11707" i="1"/>
  <c r="B11707" i="1"/>
  <c r="A11708" i="1"/>
  <c r="B11708" i="1"/>
  <c r="A11709" i="1"/>
  <c r="B11709" i="1"/>
  <c r="A11710" i="1"/>
  <c r="B11710" i="1"/>
  <c r="A11711" i="1"/>
  <c r="B11711" i="1"/>
  <c r="A11712" i="1"/>
  <c r="B11712" i="1"/>
  <c r="A11713" i="1"/>
  <c r="B11713" i="1"/>
  <c r="A11714" i="1"/>
  <c r="B11714" i="1"/>
  <c r="A11715" i="1"/>
  <c r="B11715" i="1"/>
  <c r="A11716" i="1"/>
  <c r="B11716" i="1"/>
  <c r="A11717" i="1"/>
  <c r="B11717" i="1"/>
  <c r="A11718" i="1"/>
  <c r="B11718" i="1"/>
  <c r="A11719" i="1"/>
  <c r="B11719" i="1"/>
  <c r="A11720" i="1"/>
  <c r="B11720" i="1"/>
  <c r="A11721" i="1"/>
  <c r="B11721" i="1"/>
  <c r="A11722" i="1"/>
  <c r="B11722" i="1"/>
  <c r="A11723" i="1"/>
  <c r="B11723" i="1"/>
  <c r="A11724" i="1"/>
  <c r="B11724" i="1"/>
  <c r="A11725" i="1"/>
  <c r="B11725" i="1"/>
  <c r="A11726" i="1"/>
  <c r="B11726" i="1"/>
  <c r="A11727" i="1"/>
  <c r="B11727" i="1"/>
  <c r="A11728" i="1"/>
  <c r="B11728" i="1"/>
  <c r="A11729" i="1"/>
  <c r="B11729" i="1"/>
  <c r="A11730" i="1"/>
  <c r="B11730" i="1"/>
  <c r="A11731" i="1"/>
  <c r="B11731" i="1"/>
  <c r="A11732" i="1"/>
  <c r="B11732" i="1"/>
  <c r="A11733" i="1"/>
  <c r="B11733" i="1"/>
  <c r="A11734" i="1"/>
  <c r="B11734" i="1"/>
  <c r="A11735" i="1"/>
  <c r="B11735" i="1"/>
  <c r="A11736" i="1"/>
  <c r="B11736" i="1"/>
  <c r="A11737" i="1"/>
  <c r="B11737" i="1"/>
  <c r="A11738" i="1"/>
  <c r="B11738" i="1"/>
  <c r="A11739" i="1"/>
  <c r="B11739" i="1"/>
  <c r="A11740" i="1"/>
  <c r="B11740" i="1"/>
  <c r="A11741" i="1"/>
  <c r="B11741" i="1"/>
  <c r="A11742" i="1"/>
  <c r="B11742" i="1"/>
  <c r="A11743" i="1"/>
  <c r="B11743" i="1"/>
  <c r="A11744" i="1"/>
  <c r="B11744" i="1"/>
  <c r="A11745" i="1"/>
  <c r="B11745" i="1"/>
  <c r="A11746" i="1"/>
  <c r="B11746" i="1"/>
  <c r="A11747" i="1"/>
  <c r="B11747" i="1"/>
  <c r="A11748" i="1"/>
  <c r="B11748" i="1"/>
  <c r="A11749" i="1"/>
  <c r="B11749" i="1"/>
  <c r="A11750" i="1"/>
  <c r="B11750" i="1"/>
  <c r="A11751" i="1"/>
  <c r="B11751" i="1"/>
  <c r="A11752" i="1"/>
  <c r="B11752" i="1"/>
  <c r="A11753" i="1"/>
  <c r="B11753" i="1"/>
  <c r="A11754" i="1"/>
  <c r="B11754" i="1"/>
  <c r="A11755" i="1"/>
  <c r="B11755" i="1"/>
  <c r="A11756" i="1"/>
  <c r="B11756" i="1"/>
  <c r="A11757" i="1"/>
  <c r="B11757" i="1"/>
  <c r="A11758" i="1"/>
  <c r="B11758" i="1"/>
  <c r="A11759" i="1"/>
  <c r="B11759" i="1"/>
  <c r="A11760" i="1"/>
  <c r="B11760" i="1"/>
  <c r="A11761" i="1"/>
  <c r="B11761" i="1"/>
  <c r="A11762" i="1"/>
  <c r="B11762" i="1"/>
  <c r="A11763" i="1"/>
  <c r="B11763" i="1"/>
  <c r="A11764" i="1"/>
  <c r="B11764" i="1"/>
  <c r="A11765" i="1"/>
  <c r="B11765" i="1"/>
  <c r="A11766" i="1"/>
  <c r="B11766" i="1"/>
  <c r="A11767" i="1"/>
  <c r="B11767" i="1"/>
  <c r="A11768" i="1"/>
  <c r="B11768" i="1"/>
  <c r="A11769" i="1"/>
  <c r="B11769" i="1"/>
  <c r="A11770" i="1"/>
  <c r="B11770" i="1"/>
  <c r="A11771" i="1"/>
  <c r="B11771" i="1"/>
  <c r="A11772" i="1"/>
  <c r="B11772" i="1"/>
  <c r="A11773" i="1"/>
  <c r="B11773" i="1"/>
  <c r="A11774" i="1"/>
  <c r="B11774" i="1"/>
  <c r="A11775" i="1"/>
  <c r="B11775" i="1"/>
  <c r="A11776" i="1"/>
  <c r="B11776" i="1"/>
  <c r="A11777" i="1"/>
  <c r="B11777" i="1"/>
  <c r="A11778" i="1"/>
  <c r="B11778" i="1"/>
  <c r="A11779" i="1"/>
  <c r="B11779" i="1"/>
  <c r="A11780" i="1"/>
  <c r="B11780" i="1"/>
  <c r="A11781" i="1"/>
  <c r="B11781" i="1"/>
  <c r="A11782" i="1"/>
  <c r="B11782" i="1"/>
  <c r="A11783" i="1"/>
  <c r="B11783" i="1"/>
  <c r="A11784" i="1"/>
  <c r="B11784" i="1"/>
  <c r="A11785" i="1"/>
  <c r="B11785" i="1"/>
  <c r="A11786" i="1"/>
  <c r="B11786" i="1"/>
  <c r="A11787" i="1"/>
  <c r="B11787" i="1"/>
  <c r="A11788" i="1"/>
  <c r="B11788" i="1"/>
  <c r="A11789" i="1"/>
  <c r="B11789" i="1"/>
  <c r="A11790" i="1"/>
  <c r="B11790" i="1"/>
  <c r="A11791" i="1"/>
  <c r="B11791" i="1"/>
  <c r="A11792" i="1"/>
  <c r="B11792" i="1"/>
  <c r="A11793" i="1"/>
  <c r="B11793" i="1"/>
  <c r="A11794" i="1"/>
  <c r="B11794" i="1"/>
  <c r="A11795" i="1"/>
  <c r="B11795" i="1"/>
  <c r="A11796" i="1"/>
  <c r="B11796" i="1"/>
  <c r="A11797" i="1"/>
  <c r="B11797" i="1"/>
  <c r="A11798" i="1"/>
  <c r="B11798" i="1"/>
  <c r="A11799" i="1"/>
  <c r="B11799" i="1"/>
  <c r="A11800" i="1"/>
  <c r="B11800" i="1"/>
  <c r="A11801" i="1"/>
  <c r="B11801" i="1"/>
  <c r="A11802" i="1"/>
  <c r="B11802" i="1"/>
  <c r="A11803" i="1"/>
  <c r="B11803" i="1"/>
  <c r="A11804" i="1"/>
  <c r="B11804" i="1"/>
  <c r="A11805" i="1"/>
  <c r="B11805" i="1"/>
  <c r="A11806" i="1"/>
  <c r="B11806" i="1"/>
  <c r="A11807" i="1"/>
  <c r="B11807" i="1"/>
  <c r="A11808" i="1"/>
  <c r="B11808" i="1"/>
  <c r="A11809" i="1"/>
  <c r="B11809" i="1"/>
  <c r="A11810" i="1"/>
  <c r="B11810" i="1"/>
  <c r="A11811" i="1"/>
  <c r="B11811" i="1"/>
  <c r="A11812" i="1"/>
  <c r="B11812" i="1"/>
  <c r="A11813" i="1"/>
  <c r="B11813" i="1"/>
  <c r="A11814" i="1"/>
  <c r="B11814" i="1"/>
  <c r="A11815" i="1"/>
  <c r="B11815" i="1"/>
  <c r="A11816" i="1"/>
  <c r="B11816" i="1"/>
  <c r="A11817" i="1"/>
  <c r="B11817" i="1"/>
  <c r="A11818" i="1"/>
  <c r="B11818" i="1"/>
  <c r="A11819" i="1"/>
  <c r="B11819" i="1"/>
  <c r="A11820" i="1"/>
  <c r="B11820" i="1"/>
  <c r="A11821" i="1"/>
  <c r="B11821" i="1"/>
  <c r="A11822" i="1"/>
  <c r="B11822" i="1"/>
  <c r="A11823" i="1"/>
  <c r="B11823" i="1"/>
  <c r="A11824" i="1"/>
  <c r="B11824" i="1"/>
  <c r="A11825" i="1"/>
  <c r="B11825" i="1"/>
  <c r="A11826" i="1"/>
  <c r="B11826" i="1"/>
  <c r="A11827" i="1"/>
  <c r="B11827" i="1"/>
  <c r="A11828" i="1"/>
  <c r="B11828" i="1"/>
  <c r="A11829" i="1"/>
  <c r="B11829" i="1"/>
  <c r="A11830" i="1"/>
  <c r="B11830" i="1"/>
  <c r="A11831" i="1"/>
  <c r="B11831" i="1"/>
  <c r="A11832" i="1"/>
  <c r="B11832" i="1"/>
  <c r="A11833" i="1"/>
  <c r="B11833" i="1"/>
  <c r="A11834" i="1"/>
  <c r="B11834" i="1"/>
  <c r="A11835" i="1"/>
  <c r="B11835" i="1"/>
  <c r="A11836" i="1"/>
  <c r="B11836" i="1"/>
  <c r="A11837" i="1"/>
  <c r="B11837" i="1"/>
  <c r="A11838" i="1"/>
  <c r="B11838" i="1"/>
  <c r="A11839" i="1"/>
  <c r="B11839" i="1"/>
  <c r="A11840" i="1"/>
  <c r="B11840" i="1"/>
  <c r="A11841" i="1"/>
  <c r="B11841" i="1"/>
  <c r="A11842" i="1"/>
  <c r="B11842" i="1"/>
  <c r="A11843" i="1"/>
  <c r="B11843" i="1"/>
  <c r="A11844" i="1"/>
  <c r="B11844" i="1"/>
  <c r="A11845" i="1"/>
  <c r="B11845" i="1"/>
  <c r="A11846" i="1"/>
  <c r="B11846" i="1"/>
  <c r="A11847" i="1"/>
  <c r="B11847" i="1"/>
  <c r="A11848" i="1"/>
  <c r="B11848" i="1"/>
  <c r="A11849" i="1"/>
  <c r="B11849" i="1"/>
  <c r="A11850" i="1"/>
  <c r="B11850" i="1"/>
  <c r="A11851" i="1"/>
  <c r="B11851" i="1"/>
  <c r="A11852" i="1"/>
  <c r="B11852" i="1"/>
  <c r="A11853" i="1"/>
  <c r="B11853" i="1"/>
  <c r="A11854" i="1"/>
  <c r="B11854" i="1"/>
  <c r="A11855" i="1"/>
  <c r="B11855" i="1"/>
  <c r="A11856" i="1"/>
  <c r="B11856" i="1"/>
  <c r="A11857" i="1"/>
  <c r="B11857" i="1"/>
  <c r="A11858" i="1"/>
  <c r="B11858" i="1"/>
  <c r="A11859" i="1"/>
  <c r="B11859" i="1"/>
  <c r="A11860" i="1"/>
  <c r="B11860" i="1"/>
  <c r="A11861" i="1"/>
  <c r="B11861" i="1"/>
  <c r="A11862" i="1"/>
  <c r="B11862" i="1"/>
  <c r="A11863" i="1"/>
  <c r="B11863" i="1"/>
  <c r="A11864" i="1"/>
  <c r="B11864" i="1"/>
  <c r="A11865" i="1"/>
  <c r="B11865" i="1"/>
  <c r="A11866" i="1"/>
  <c r="B11866" i="1"/>
  <c r="A11867" i="1"/>
  <c r="B11867" i="1"/>
  <c r="A11868" i="1"/>
  <c r="B11868" i="1"/>
  <c r="A11869" i="1"/>
  <c r="B11869" i="1"/>
  <c r="A11870" i="1"/>
  <c r="B11870" i="1"/>
  <c r="A11871" i="1"/>
  <c r="B11871" i="1"/>
  <c r="A11872" i="1"/>
  <c r="B11872" i="1"/>
  <c r="A11873" i="1"/>
  <c r="B11873" i="1"/>
  <c r="A11874" i="1"/>
  <c r="B11874" i="1"/>
  <c r="A11875" i="1"/>
  <c r="B11875" i="1"/>
  <c r="A11876" i="1"/>
  <c r="B11876" i="1"/>
  <c r="A11877" i="1"/>
  <c r="B11877" i="1"/>
  <c r="A11878" i="1"/>
  <c r="B11878" i="1"/>
  <c r="A11879" i="1"/>
  <c r="B11879" i="1"/>
  <c r="A11880" i="1"/>
  <c r="B11880" i="1"/>
  <c r="A11881" i="1"/>
  <c r="B11881" i="1"/>
  <c r="A11882" i="1"/>
  <c r="B11882" i="1"/>
  <c r="A11883" i="1"/>
  <c r="B11883" i="1"/>
  <c r="A11884" i="1"/>
  <c r="B11884" i="1"/>
  <c r="A11885" i="1"/>
  <c r="B11885" i="1"/>
  <c r="A11886" i="1"/>
  <c r="B11886" i="1"/>
  <c r="A11887" i="1"/>
  <c r="B11887" i="1"/>
  <c r="A11888" i="1"/>
  <c r="B11888" i="1"/>
  <c r="A11889" i="1"/>
  <c r="B11889" i="1"/>
  <c r="A11890" i="1"/>
  <c r="B11890" i="1"/>
  <c r="A11891" i="1"/>
  <c r="B11891" i="1"/>
  <c r="A11892" i="1"/>
  <c r="B11892" i="1"/>
  <c r="A11893" i="1"/>
  <c r="B11893" i="1"/>
  <c r="A11894" i="1"/>
  <c r="B11894" i="1"/>
  <c r="A11895" i="1"/>
  <c r="B11895" i="1"/>
  <c r="A11896" i="1"/>
  <c r="B11896" i="1"/>
  <c r="A11897" i="1"/>
  <c r="B11897" i="1"/>
  <c r="A11898" i="1"/>
  <c r="B11898" i="1"/>
  <c r="A11899" i="1"/>
  <c r="B11899" i="1"/>
  <c r="A11900" i="1"/>
  <c r="B11900" i="1"/>
  <c r="A11901" i="1"/>
  <c r="B11901" i="1"/>
  <c r="A11902" i="1"/>
  <c r="B11902" i="1"/>
  <c r="A11903" i="1"/>
  <c r="B11903" i="1"/>
  <c r="A11904" i="1"/>
  <c r="B11904" i="1"/>
  <c r="A11905" i="1"/>
  <c r="B11905" i="1"/>
  <c r="A11906" i="1"/>
  <c r="B11906" i="1"/>
  <c r="A11907" i="1"/>
  <c r="B11907" i="1"/>
  <c r="A11908" i="1"/>
  <c r="B11908" i="1"/>
  <c r="A11909" i="1"/>
  <c r="B11909" i="1"/>
  <c r="A11910" i="1"/>
  <c r="B11910" i="1"/>
  <c r="A11911" i="1"/>
  <c r="B11911" i="1"/>
  <c r="A11912" i="1"/>
  <c r="B11912" i="1"/>
  <c r="A11913" i="1"/>
  <c r="B11913" i="1"/>
  <c r="A11914" i="1"/>
  <c r="B11914" i="1"/>
  <c r="A11915" i="1"/>
  <c r="B11915" i="1"/>
  <c r="A11916" i="1"/>
  <c r="B11916" i="1"/>
  <c r="A11917" i="1"/>
  <c r="B11917" i="1"/>
  <c r="A11918" i="1"/>
  <c r="B11918" i="1"/>
  <c r="A11919" i="1"/>
  <c r="B11919" i="1"/>
  <c r="A11920" i="1"/>
  <c r="B11920" i="1"/>
  <c r="A11921" i="1"/>
  <c r="B11921" i="1"/>
  <c r="A11922" i="1"/>
  <c r="B11922" i="1"/>
  <c r="A11923" i="1"/>
  <c r="B11923" i="1"/>
  <c r="A11924" i="1"/>
  <c r="B11924" i="1"/>
  <c r="A11925" i="1"/>
  <c r="B11925" i="1"/>
  <c r="A11926" i="1"/>
  <c r="B11926" i="1"/>
  <c r="A11927" i="1"/>
  <c r="B11927" i="1"/>
  <c r="A11928" i="1"/>
  <c r="B11928" i="1"/>
  <c r="A11929" i="1"/>
  <c r="B11929" i="1"/>
  <c r="A11930" i="1"/>
  <c r="B11930" i="1"/>
  <c r="A11931" i="1"/>
  <c r="B11931" i="1"/>
  <c r="A11932" i="1"/>
  <c r="B11932" i="1"/>
  <c r="A11933" i="1"/>
  <c r="B11933" i="1"/>
  <c r="A11934" i="1"/>
  <c r="B11934" i="1"/>
  <c r="A11935" i="1"/>
  <c r="B11935" i="1"/>
  <c r="A11936" i="1"/>
  <c r="B11936" i="1"/>
  <c r="A11937" i="1"/>
  <c r="B11937" i="1"/>
  <c r="A11938" i="1"/>
  <c r="B11938" i="1"/>
  <c r="A11939" i="1"/>
  <c r="B11939" i="1"/>
  <c r="A11940" i="1"/>
  <c r="B11940" i="1"/>
  <c r="A11941" i="1"/>
  <c r="B11941" i="1"/>
  <c r="A11942" i="1"/>
  <c r="B11942" i="1"/>
  <c r="A11943" i="1"/>
  <c r="B11943" i="1"/>
  <c r="A11944" i="1"/>
  <c r="B11944" i="1"/>
  <c r="A11945" i="1"/>
  <c r="B11945" i="1"/>
  <c r="A11946" i="1"/>
  <c r="B11946" i="1"/>
  <c r="A11947" i="1"/>
  <c r="B11947" i="1"/>
  <c r="A11948" i="1"/>
  <c r="B11948" i="1"/>
  <c r="A11949" i="1"/>
  <c r="B11949" i="1"/>
  <c r="A11950" i="1"/>
  <c r="B11950" i="1"/>
  <c r="A11951" i="1"/>
  <c r="B11951" i="1"/>
  <c r="A11952" i="1"/>
  <c r="B11952" i="1"/>
  <c r="A11953" i="1"/>
  <c r="B11953" i="1"/>
  <c r="A11954" i="1"/>
  <c r="B11954" i="1"/>
  <c r="A11955" i="1"/>
  <c r="B11955" i="1"/>
  <c r="A11956" i="1"/>
  <c r="B11956" i="1"/>
  <c r="A11957" i="1"/>
  <c r="B11957" i="1"/>
  <c r="A11958" i="1"/>
  <c r="B11958" i="1"/>
  <c r="A11959" i="1"/>
  <c r="B11959" i="1"/>
  <c r="A11960" i="1"/>
  <c r="B11960" i="1"/>
  <c r="A11961" i="1"/>
  <c r="B11961" i="1"/>
  <c r="A11962" i="1"/>
  <c r="B11962" i="1"/>
  <c r="A11963" i="1"/>
  <c r="B11963" i="1"/>
  <c r="A11964" i="1"/>
  <c r="B11964" i="1"/>
  <c r="A11965" i="1"/>
  <c r="B11965" i="1"/>
  <c r="A11966" i="1"/>
  <c r="B11966" i="1"/>
  <c r="A11967" i="1"/>
  <c r="B11967" i="1"/>
  <c r="A11968" i="1"/>
  <c r="B11968" i="1"/>
  <c r="A11969" i="1"/>
  <c r="B11969" i="1"/>
  <c r="A11970" i="1"/>
  <c r="B11970" i="1"/>
  <c r="A11971" i="1"/>
  <c r="B11971" i="1"/>
  <c r="A11972" i="1"/>
  <c r="B11972" i="1"/>
  <c r="A11973" i="1"/>
  <c r="B11973" i="1"/>
  <c r="A11974" i="1"/>
  <c r="B11974" i="1"/>
  <c r="A11975" i="1"/>
  <c r="B11975" i="1"/>
  <c r="A11976" i="1"/>
  <c r="B11976" i="1"/>
  <c r="A11977" i="1"/>
  <c r="B11977" i="1"/>
  <c r="A11978" i="1"/>
  <c r="B11978" i="1"/>
  <c r="A11979" i="1"/>
  <c r="B11979" i="1"/>
  <c r="A11980" i="1"/>
  <c r="B11980" i="1"/>
  <c r="A11981" i="1"/>
  <c r="B11981" i="1"/>
  <c r="A11982" i="1"/>
  <c r="B11982" i="1"/>
  <c r="A11983" i="1"/>
  <c r="B11983" i="1"/>
  <c r="A11984" i="1"/>
  <c r="B11984" i="1"/>
  <c r="A11985" i="1"/>
  <c r="B11985" i="1"/>
  <c r="A11986" i="1"/>
  <c r="B11986" i="1"/>
  <c r="A11987" i="1"/>
  <c r="B11987" i="1"/>
  <c r="A11988" i="1"/>
  <c r="B11988" i="1"/>
  <c r="A11989" i="1"/>
  <c r="B11989" i="1"/>
  <c r="A11990" i="1"/>
  <c r="B11990" i="1"/>
  <c r="A11991" i="1"/>
  <c r="B11991" i="1"/>
  <c r="A11992" i="1"/>
  <c r="B11992" i="1"/>
  <c r="A11993" i="1"/>
  <c r="B11993" i="1"/>
  <c r="A11994" i="1"/>
  <c r="B11994" i="1"/>
  <c r="A11995" i="1"/>
  <c r="B11995" i="1"/>
  <c r="A11996" i="1"/>
  <c r="B11996" i="1"/>
  <c r="A11997" i="1"/>
  <c r="B11997" i="1"/>
  <c r="A11998" i="1"/>
  <c r="B11998" i="1"/>
  <c r="A11999" i="1"/>
  <c r="B11999" i="1"/>
  <c r="A12000" i="1"/>
  <c r="B12000" i="1"/>
  <c r="A12001" i="1"/>
  <c r="B12001" i="1"/>
  <c r="A12002" i="1"/>
  <c r="B12002" i="1"/>
  <c r="A12003" i="1"/>
  <c r="B12003" i="1"/>
  <c r="A12004" i="1"/>
  <c r="B12004" i="1"/>
  <c r="A12005" i="1"/>
  <c r="B12005" i="1"/>
  <c r="A12006" i="1"/>
  <c r="B12006" i="1"/>
  <c r="A12007" i="1"/>
  <c r="B12007" i="1"/>
  <c r="A12008" i="1"/>
  <c r="B12008" i="1"/>
  <c r="A12009" i="1"/>
  <c r="B12009" i="1"/>
  <c r="A12010" i="1"/>
  <c r="B12010" i="1"/>
  <c r="A12011" i="1"/>
  <c r="B12011" i="1"/>
  <c r="A12012" i="1"/>
  <c r="B12012" i="1"/>
  <c r="A12013" i="1"/>
  <c r="B12013" i="1"/>
  <c r="A12014" i="1"/>
  <c r="B12014" i="1"/>
  <c r="A12015" i="1"/>
  <c r="B12015" i="1"/>
  <c r="A12016" i="1"/>
  <c r="B12016" i="1"/>
  <c r="A12017" i="1"/>
  <c r="B12017" i="1"/>
  <c r="A12018" i="1"/>
  <c r="B12018" i="1"/>
  <c r="A12019" i="1"/>
  <c r="B12019" i="1"/>
  <c r="A12020" i="1"/>
  <c r="B12020" i="1"/>
  <c r="A12021" i="1"/>
  <c r="B12021" i="1"/>
  <c r="A12022" i="1"/>
  <c r="B12022" i="1"/>
  <c r="A12023" i="1"/>
  <c r="B12023" i="1"/>
  <c r="A12024" i="1"/>
  <c r="B12024" i="1"/>
  <c r="A12025" i="1"/>
  <c r="B12025" i="1"/>
  <c r="A12026" i="1"/>
  <c r="B12026" i="1"/>
  <c r="A12027" i="1"/>
  <c r="B12027" i="1"/>
  <c r="A12028" i="1"/>
  <c r="B12028" i="1"/>
  <c r="A12029" i="1"/>
  <c r="B12029" i="1"/>
  <c r="A12030" i="1"/>
  <c r="B12030" i="1"/>
  <c r="A12031" i="1"/>
  <c r="B12031" i="1"/>
  <c r="A12032" i="1"/>
  <c r="B12032" i="1"/>
  <c r="A12033" i="1"/>
  <c r="B12033" i="1"/>
  <c r="A12034" i="1"/>
  <c r="B12034" i="1"/>
  <c r="A12035" i="1"/>
  <c r="B12035" i="1"/>
  <c r="A12036" i="1"/>
  <c r="B12036" i="1"/>
  <c r="A12037" i="1"/>
  <c r="B12037" i="1"/>
  <c r="A12038" i="1"/>
  <c r="B12038" i="1"/>
  <c r="A12039" i="1"/>
  <c r="B12039" i="1"/>
  <c r="A12040" i="1"/>
  <c r="B12040" i="1"/>
  <c r="A12041" i="1"/>
  <c r="B12041" i="1"/>
  <c r="A12042" i="1"/>
  <c r="B12042" i="1"/>
  <c r="A12043" i="1"/>
  <c r="B12043" i="1"/>
  <c r="A12044" i="1"/>
  <c r="B12044" i="1"/>
  <c r="A12045" i="1"/>
  <c r="B12045" i="1"/>
  <c r="A12046" i="1"/>
  <c r="B12046" i="1"/>
  <c r="A12047" i="1"/>
  <c r="B12047" i="1"/>
  <c r="A12048" i="1"/>
  <c r="B12048" i="1"/>
  <c r="A12049" i="1"/>
  <c r="B12049" i="1"/>
  <c r="A12050" i="1"/>
  <c r="B12050" i="1"/>
  <c r="A12051" i="1"/>
  <c r="B12051" i="1"/>
  <c r="A12052" i="1"/>
  <c r="B12052" i="1"/>
  <c r="A12053" i="1"/>
  <c r="B12053" i="1"/>
  <c r="A12054" i="1"/>
  <c r="B12054" i="1"/>
  <c r="A12055" i="1"/>
  <c r="B12055" i="1"/>
  <c r="A12056" i="1"/>
  <c r="B12056" i="1"/>
  <c r="A12057" i="1"/>
  <c r="B12057" i="1"/>
  <c r="A12058" i="1"/>
  <c r="B12058" i="1"/>
  <c r="A12059" i="1"/>
  <c r="B12059" i="1"/>
  <c r="A12060" i="1"/>
  <c r="B12060" i="1"/>
  <c r="A12061" i="1"/>
  <c r="B12061" i="1"/>
  <c r="A12062" i="1"/>
  <c r="B12062" i="1"/>
  <c r="A12063" i="1"/>
  <c r="B12063" i="1"/>
  <c r="A12064" i="1"/>
  <c r="B12064" i="1"/>
  <c r="A12065" i="1"/>
  <c r="B12065" i="1"/>
  <c r="A12066" i="1"/>
  <c r="B12066" i="1"/>
  <c r="A12067" i="1"/>
  <c r="B12067" i="1"/>
  <c r="A12068" i="1"/>
  <c r="B12068" i="1"/>
  <c r="A12069" i="1"/>
  <c r="B12069" i="1"/>
  <c r="A12070" i="1"/>
  <c r="B12070" i="1"/>
  <c r="A12071" i="1"/>
  <c r="B12071" i="1"/>
  <c r="A12072" i="1"/>
  <c r="B12072" i="1"/>
  <c r="A12073" i="1"/>
  <c r="B12073" i="1"/>
  <c r="A12074" i="1"/>
  <c r="B12074" i="1"/>
  <c r="A12075" i="1"/>
  <c r="B12075" i="1"/>
  <c r="A12076" i="1"/>
  <c r="B12076" i="1"/>
  <c r="A12077" i="1"/>
  <c r="B12077" i="1"/>
  <c r="A12078" i="1"/>
  <c r="B12078" i="1"/>
  <c r="A12079" i="1"/>
  <c r="B12079" i="1"/>
  <c r="A12080" i="1"/>
  <c r="B12080" i="1"/>
  <c r="A12081" i="1"/>
  <c r="B12081" i="1"/>
  <c r="A12082" i="1"/>
  <c r="B12082" i="1"/>
  <c r="A12083" i="1"/>
  <c r="B12083" i="1"/>
  <c r="A12084" i="1"/>
  <c r="B12084" i="1"/>
  <c r="A12085" i="1"/>
  <c r="B12085" i="1"/>
  <c r="A12086" i="1"/>
  <c r="B12086" i="1"/>
  <c r="A12087" i="1"/>
  <c r="B12087" i="1"/>
  <c r="A12088" i="1"/>
  <c r="B12088" i="1"/>
  <c r="A12089" i="1"/>
  <c r="B12089" i="1"/>
  <c r="A12090" i="1"/>
  <c r="B12090" i="1"/>
  <c r="A12091" i="1"/>
  <c r="B12091" i="1"/>
  <c r="A12092" i="1"/>
  <c r="B12092" i="1"/>
  <c r="A12093" i="1"/>
  <c r="B12093" i="1"/>
  <c r="A12094" i="1"/>
  <c r="B12094" i="1"/>
  <c r="A12095" i="1"/>
  <c r="B12095" i="1"/>
  <c r="A12096" i="1"/>
  <c r="B12096" i="1"/>
  <c r="A12097" i="1"/>
  <c r="B12097" i="1"/>
  <c r="A12098" i="1"/>
  <c r="B12098" i="1"/>
  <c r="A12099" i="1"/>
  <c r="B12099" i="1"/>
  <c r="A12100" i="1"/>
  <c r="B12100" i="1"/>
  <c r="A12101" i="1"/>
  <c r="B12101" i="1"/>
  <c r="A12102" i="1"/>
  <c r="B12102" i="1"/>
  <c r="A12103" i="1"/>
  <c r="B12103" i="1"/>
  <c r="A12104" i="1"/>
  <c r="B12104" i="1"/>
  <c r="A12105" i="1"/>
  <c r="B12105" i="1"/>
  <c r="A12106" i="1"/>
  <c r="B12106" i="1"/>
  <c r="A12107" i="1"/>
  <c r="B12107" i="1"/>
  <c r="A12108" i="1"/>
  <c r="B12108" i="1"/>
  <c r="A12109" i="1"/>
  <c r="B12109" i="1"/>
  <c r="A12110" i="1"/>
  <c r="B12110" i="1"/>
  <c r="A12111" i="1"/>
  <c r="B12111" i="1"/>
  <c r="A12112" i="1"/>
  <c r="B12112" i="1"/>
  <c r="A12113" i="1"/>
  <c r="B12113" i="1"/>
  <c r="A12114" i="1"/>
  <c r="B12114" i="1"/>
  <c r="A12115" i="1"/>
  <c r="B12115" i="1"/>
  <c r="A12116" i="1"/>
  <c r="B12116" i="1"/>
  <c r="A12117" i="1"/>
  <c r="B12117" i="1"/>
  <c r="A12118" i="1"/>
  <c r="B12118" i="1"/>
  <c r="A12119" i="1"/>
  <c r="B12119" i="1"/>
  <c r="A12120" i="1"/>
  <c r="B12120" i="1"/>
  <c r="A12121" i="1"/>
  <c r="B12121" i="1"/>
  <c r="A12122" i="1"/>
  <c r="B12122" i="1"/>
  <c r="A12123" i="1"/>
  <c r="B12123" i="1"/>
  <c r="A12124" i="1"/>
  <c r="B12124" i="1"/>
  <c r="A12125" i="1"/>
  <c r="B12125" i="1"/>
  <c r="A12126" i="1"/>
  <c r="B12126" i="1"/>
  <c r="A12127" i="1"/>
  <c r="B12127" i="1"/>
  <c r="A12128" i="1"/>
  <c r="B12128" i="1"/>
  <c r="A12129" i="1"/>
  <c r="B12129" i="1"/>
  <c r="A12130" i="1"/>
  <c r="B12130" i="1"/>
  <c r="A12131" i="1"/>
  <c r="B12131" i="1"/>
  <c r="A12132" i="1"/>
  <c r="B12132" i="1"/>
  <c r="A12133" i="1"/>
  <c r="B12133" i="1"/>
  <c r="A12134" i="1"/>
  <c r="B12134" i="1"/>
  <c r="A12135" i="1"/>
  <c r="B12135" i="1"/>
  <c r="A12136" i="1"/>
  <c r="B12136" i="1"/>
  <c r="A12137" i="1"/>
  <c r="B12137" i="1"/>
  <c r="A12138" i="1"/>
  <c r="B12138" i="1"/>
  <c r="A12139" i="1"/>
  <c r="B12139" i="1"/>
  <c r="A12140" i="1"/>
  <c r="B12140" i="1"/>
  <c r="A12141" i="1"/>
  <c r="B12141" i="1"/>
  <c r="A12142" i="1"/>
  <c r="B12142" i="1"/>
  <c r="A12143" i="1"/>
  <c r="B12143" i="1"/>
  <c r="A12144" i="1"/>
  <c r="B12144" i="1"/>
  <c r="A12145" i="1"/>
  <c r="B12145" i="1"/>
  <c r="A12146" i="1"/>
  <c r="B12146" i="1"/>
  <c r="A12147" i="1"/>
  <c r="B12147" i="1"/>
  <c r="A12148" i="1"/>
  <c r="B12148" i="1"/>
  <c r="A12149" i="1"/>
  <c r="B12149" i="1"/>
  <c r="A12150" i="1"/>
  <c r="B12150" i="1"/>
  <c r="A12151" i="1"/>
  <c r="B12151" i="1"/>
  <c r="A12152" i="1"/>
  <c r="B12152" i="1"/>
  <c r="A12153" i="1"/>
  <c r="B12153" i="1"/>
  <c r="A12154" i="1"/>
  <c r="B12154" i="1"/>
  <c r="A12155" i="1"/>
  <c r="B12155" i="1"/>
  <c r="A12156" i="1"/>
  <c r="B12156" i="1"/>
  <c r="A12157" i="1"/>
  <c r="B12157" i="1"/>
  <c r="A12158" i="1"/>
  <c r="B12158" i="1"/>
  <c r="A12159" i="1"/>
  <c r="B12159" i="1"/>
  <c r="A12160" i="1"/>
  <c r="B12160" i="1"/>
  <c r="A12161" i="1"/>
  <c r="B12161" i="1"/>
  <c r="A12162" i="1"/>
  <c r="B12162" i="1"/>
  <c r="A12163" i="1"/>
  <c r="B12163" i="1"/>
  <c r="A12164" i="1"/>
  <c r="B12164" i="1"/>
  <c r="A12165" i="1"/>
  <c r="B12165" i="1"/>
  <c r="A12166" i="1"/>
  <c r="B12166" i="1"/>
  <c r="A12167" i="1"/>
  <c r="B12167" i="1"/>
  <c r="A12168" i="1"/>
  <c r="B12168" i="1"/>
  <c r="A12169" i="1"/>
  <c r="B12169" i="1"/>
  <c r="A12170" i="1"/>
  <c r="B12170" i="1"/>
  <c r="A12171" i="1"/>
  <c r="B12171" i="1"/>
  <c r="A12172" i="1"/>
  <c r="B12172" i="1"/>
  <c r="A12173" i="1"/>
  <c r="B12173" i="1"/>
  <c r="A12174" i="1"/>
  <c r="B12174" i="1"/>
  <c r="A12175" i="1"/>
  <c r="B12175" i="1"/>
  <c r="A12176" i="1"/>
  <c r="B12176" i="1"/>
  <c r="A12177" i="1"/>
  <c r="B12177" i="1"/>
  <c r="A12178" i="1"/>
  <c r="B12178" i="1"/>
  <c r="A12179" i="1"/>
  <c r="B12179" i="1"/>
  <c r="A12180" i="1"/>
  <c r="B12180" i="1"/>
  <c r="A12181" i="1"/>
  <c r="B12181" i="1"/>
  <c r="A12182" i="1"/>
  <c r="B12182" i="1"/>
  <c r="A12183" i="1"/>
  <c r="B12183" i="1"/>
  <c r="A12184" i="1"/>
  <c r="B12184" i="1"/>
  <c r="A12185" i="1"/>
  <c r="B12185" i="1"/>
  <c r="A12186" i="1"/>
  <c r="B12186" i="1"/>
  <c r="A12187" i="1"/>
  <c r="B12187" i="1"/>
  <c r="A12188" i="1"/>
  <c r="B12188" i="1"/>
  <c r="A12189" i="1"/>
  <c r="B12189" i="1"/>
  <c r="A12190" i="1"/>
  <c r="B12190" i="1"/>
  <c r="A12191" i="1"/>
  <c r="B12191" i="1"/>
  <c r="A12192" i="1"/>
  <c r="B12192" i="1"/>
  <c r="A12193" i="1"/>
  <c r="B12193" i="1"/>
  <c r="A12194" i="1"/>
  <c r="B12194" i="1"/>
  <c r="A12195" i="1"/>
  <c r="B12195" i="1"/>
  <c r="A12196" i="1"/>
  <c r="B12196" i="1"/>
  <c r="A12197" i="1"/>
  <c r="B12197" i="1"/>
  <c r="A12198" i="1"/>
  <c r="B12198" i="1"/>
  <c r="A12199" i="1"/>
  <c r="B12199" i="1"/>
  <c r="A12200" i="1"/>
  <c r="B12200" i="1"/>
  <c r="A12201" i="1"/>
  <c r="B12201" i="1"/>
  <c r="A12202" i="1"/>
  <c r="B12202" i="1"/>
  <c r="A12203" i="1"/>
  <c r="B12203" i="1"/>
  <c r="A12204" i="1"/>
  <c r="B12204" i="1"/>
  <c r="A12205" i="1"/>
  <c r="B12205" i="1"/>
  <c r="A12206" i="1"/>
  <c r="B12206" i="1"/>
  <c r="A12207" i="1"/>
  <c r="B12207" i="1"/>
  <c r="A12208" i="1"/>
  <c r="B12208" i="1"/>
  <c r="A12209" i="1"/>
  <c r="B12209" i="1"/>
  <c r="A12210" i="1"/>
  <c r="B12210" i="1"/>
  <c r="A12211" i="1"/>
  <c r="B12211" i="1"/>
  <c r="A12212" i="1"/>
  <c r="B12212" i="1"/>
  <c r="A12213" i="1"/>
  <c r="B12213" i="1"/>
  <c r="A12214" i="1"/>
  <c r="B12214" i="1"/>
  <c r="A12215" i="1"/>
  <c r="B12215" i="1"/>
  <c r="A12216" i="1"/>
  <c r="B12216" i="1"/>
  <c r="A12217" i="1"/>
  <c r="B12217" i="1"/>
  <c r="A12218" i="1"/>
  <c r="B12218" i="1"/>
  <c r="A12219" i="1"/>
  <c r="B12219" i="1"/>
  <c r="A12220" i="1"/>
  <c r="B12220" i="1"/>
  <c r="A12221" i="1"/>
  <c r="B12221" i="1"/>
  <c r="A12222" i="1"/>
  <c r="B12222" i="1"/>
  <c r="A12223" i="1"/>
  <c r="B12223" i="1"/>
  <c r="A12224" i="1"/>
  <c r="B12224" i="1"/>
  <c r="A12225" i="1"/>
  <c r="B12225" i="1"/>
  <c r="A12226" i="1"/>
  <c r="B12226" i="1"/>
  <c r="A12227" i="1"/>
  <c r="B12227" i="1"/>
  <c r="A12228" i="1"/>
  <c r="B12228" i="1"/>
  <c r="A12229" i="1"/>
  <c r="B12229" i="1"/>
  <c r="A12230" i="1"/>
  <c r="B12230" i="1"/>
  <c r="A12231" i="1"/>
  <c r="B12231" i="1"/>
  <c r="A12232" i="1"/>
  <c r="B12232" i="1"/>
  <c r="A12233" i="1"/>
  <c r="B12233" i="1"/>
  <c r="A12234" i="1"/>
  <c r="B12234" i="1"/>
  <c r="A12235" i="1"/>
  <c r="B12235" i="1"/>
  <c r="A12236" i="1"/>
  <c r="B12236" i="1"/>
  <c r="A12237" i="1"/>
  <c r="B12237" i="1"/>
  <c r="A12238" i="1"/>
  <c r="B12238" i="1"/>
  <c r="A12239" i="1"/>
  <c r="B12239" i="1"/>
  <c r="A12240" i="1"/>
  <c r="B12240" i="1"/>
  <c r="A12241" i="1"/>
  <c r="B12241" i="1"/>
  <c r="A12242" i="1"/>
  <c r="B12242" i="1"/>
  <c r="A12243" i="1"/>
  <c r="B12243" i="1"/>
  <c r="A12244" i="1"/>
  <c r="B12244" i="1"/>
  <c r="A12245" i="1"/>
  <c r="B12245" i="1"/>
  <c r="A12246" i="1"/>
  <c r="B12246" i="1"/>
  <c r="A12247" i="1"/>
  <c r="B12247" i="1"/>
  <c r="A12248" i="1"/>
  <c r="B12248" i="1"/>
  <c r="A12249" i="1"/>
  <c r="B12249" i="1"/>
  <c r="A12250" i="1"/>
  <c r="B12250" i="1"/>
  <c r="A12251" i="1"/>
  <c r="B12251" i="1"/>
  <c r="A12252" i="1"/>
  <c r="B12252" i="1"/>
  <c r="A12253" i="1"/>
  <c r="B12253" i="1"/>
  <c r="A12254" i="1"/>
  <c r="B12254" i="1"/>
  <c r="A12255" i="1"/>
  <c r="B12255" i="1"/>
  <c r="A12256" i="1"/>
  <c r="B12256" i="1"/>
  <c r="A12257" i="1"/>
  <c r="B12257" i="1"/>
  <c r="A12258" i="1"/>
  <c r="B12258" i="1"/>
  <c r="A12259" i="1"/>
  <c r="B12259" i="1"/>
  <c r="A12260" i="1"/>
  <c r="B12260" i="1"/>
  <c r="A12261" i="1"/>
  <c r="B12261" i="1"/>
  <c r="A12262" i="1"/>
  <c r="B12262" i="1"/>
  <c r="A12263" i="1"/>
  <c r="B12263" i="1"/>
  <c r="A12264" i="1"/>
  <c r="B12264" i="1"/>
  <c r="A12265" i="1"/>
  <c r="B12265" i="1"/>
  <c r="A12266" i="1"/>
  <c r="B12266" i="1"/>
  <c r="A12267" i="1"/>
  <c r="B12267" i="1"/>
  <c r="A12268" i="1"/>
  <c r="B12268" i="1"/>
  <c r="A12269" i="1"/>
  <c r="B12269" i="1"/>
  <c r="A12270" i="1"/>
  <c r="B12270" i="1"/>
  <c r="A12271" i="1"/>
  <c r="B12271" i="1"/>
  <c r="A12272" i="1"/>
  <c r="B12272" i="1"/>
  <c r="A12273" i="1"/>
  <c r="B12273" i="1"/>
  <c r="A12274" i="1"/>
  <c r="B12274" i="1"/>
  <c r="A12275" i="1"/>
  <c r="B12275" i="1"/>
  <c r="A12276" i="1"/>
  <c r="B12276" i="1"/>
  <c r="A12277" i="1"/>
  <c r="B12277" i="1"/>
  <c r="A12278" i="1"/>
  <c r="B12278" i="1"/>
  <c r="A12279" i="1"/>
  <c r="B12279" i="1"/>
  <c r="A12280" i="1"/>
  <c r="B12280" i="1"/>
  <c r="A12281" i="1"/>
  <c r="B12281" i="1"/>
  <c r="A12282" i="1"/>
  <c r="B12282" i="1"/>
  <c r="A12283" i="1"/>
  <c r="B12283" i="1"/>
  <c r="A12284" i="1"/>
  <c r="B12284" i="1"/>
  <c r="A12285" i="1"/>
  <c r="B12285" i="1"/>
  <c r="A12286" i="1"/>
  <c r="B12286" i="1"/>
  <c r="A12287" i="1"/>
  <c r="B12287" i="1"/>
  <c r="A12288" i="1"/>
  <c r="B12288" i="1"/>
  <c r="A12289" i="1"/>
  <c r="B12289" i="1"/>
  <c r="A12290" i="1"/>
  <c r="B12290" i="1"/>
  <c r="A12291" i="1"/>
  <c r="B12291" i="1"/>
  <c r="A12292" i="1"/>
  <c r="B12292" i="1"/>
  <c r="A12293" i="1"/>
  <c r="B12293" i="1"/>
  <c r="A12294" i="1"/>
  <c r="B12294" i="1"/>
  <c r="A12295" i="1"/>
  <c r="B12295" i="1"/>
  <c r="A12296" i="1"/>
  <c r="B12296" i="1"/>
  <c r="A12297" i="1"/>
  <c r="B12297" i="1"/>
  <c r="A12298" i="1"/>
  <c r="B12298" i="1"/>
  <c r="A12299" i="1"/>
  <c r="B12299" i="1"/>
  <c r="A12300" i="1"/>
  <c r="B12300" i="1"/>
  <c r="A12301" i="1"/>
  <c r="B12301" i="1"/>
  <c r="A12302" i="1"/>
  <c r="B12302" i="1"/>
  <c r="A12303" i="1"/>
  <c r="B12303" i="1"/>
  <c r="A12304" i="1"/>
  <c r="B12304" i="1"/>
  <c r="A12305" i="1"/>
  <c r="B12305" i="1"/>
  <c r="A12306" i="1"/>
  <c r="B12306" i="1"/>
  <c r="A12307" i="1"/>
  <c r="B12307" i="1"/>
  <c r="A12308" i="1"/>
  <c r="B12308" i="1"/>
  <c r="A12309" i="1"/>
  <c r="B12309" i="1"/>
  <c r="A12310" i="1"/>
  <c r="B12310" i="1"/>
  <c r="A12311" i="1"/>
  <c r="B12311" i="1"/>
  <c r="A12312" i="1"/>
  <c r="B12312" i="1"/>
  <c r="A12313" i="1"/>
  <c r="B12313" i="1"/>
  <c r="A12314" i="1"/>
  <c r="B12314" i="1"/>
  <c r="A12315" i="1"/>
  <c r="B12315" i="1"/>
  <c r="A12316" i="1"/>
  <c r="B12316" i="1"/>
  <c r="A12317" i="1"/>
  <c r="B12317" i="1"/>
  <c r="A12318" i="1"/>
  <c r="B12318" i="1"/>
  <c r="A12319" i="1"/>
  <c r="B12319" i="1"/>
  <c r="A12320" i="1"/>
  <c r="B12320" i="1"/>
  <c r="A12321" i="1"/>
  <c r="B12321" i="1"/>
  <c r="A12322" i="1"/>
  <c r="B12322" i="1"/>
  <c r="A12323" i="1"/>
  <c r="B12323" i="1"/>
  <c r="A12324" i="1"/>
  <c r="B12324" i="1"/>
  <c r="A12325" i="1"/>
  <c r="B12325" i="1"/>
  <c r="A12326" i="1"/>
  <c r="B12326" i="1"/>
  <c r="A12327" i="1"/>
  <c r="B12327" i="1"/>
  <c r="A12328" i="1"/>
  <c r="B12328" i="1"/>
  <c r="A12329" i="1"/>
  <c r="B12329" i="1"/>
  <c r="A12330" i="1"/>
  <c r="B12330" i="1"/>
  <c r="A12331" i="1"/>
  <c r="B12331" i="1"/>
  <c r="A12332" i="1"/>
  <c r="B12332" i="1"/>
  <c r="A12333" i="1"/>
  <c r="B12333" i="1"/>
  <c r="A12334" i="1"/>
  <c r="B12334" i="1"/>
  <c r="A12335" i="1"/>
  <c r="B12335" i="1"/>
  <c r="A12336" i="1"/>
  <c r="B12336" i="1"/>
  <c r="A12337" i="1"/>
  <c r="B12337" i="1"/>
  <c r="A12338" i="1"/>
  <c r="B12338" i="1"/>
  <c r="A12339" i="1"/>
  <c r="B12339" i="1"/>
  <c r="A12340" i="1"/>
  <c r="B12340" i="1"/>
  <c r="A12341" i="1"/>
  <c r="B12341" i="1"/>
  <c r="A12342" i="1"/>
  <c r="B12342" i="1"/>
  <c r="A12343" i="1"/>
  <c r="B12343" i="1"/>
  <c r="A12344" i="1"/>
  <c r="B12344" i="1"/>
  <c r="A12345" i="1"/>
  <c r="B12345" i="1"/>
  <c r="A12346" i="1"/>
  <c r="B12346" i="1"/>
  <c r="A12347" i="1"/>
  <c r="B12347" i="1"/>
  <c r="A12348" i="1"/>
  <c r="B12348" i="1"/>
  <c r="A12349" i="1"/>
  <c r="B12349" i="1"/>
  <c r="A12350" i="1"/>
  <c r="B12350" i="1"/>
  <c r="A12351" i="1"/>
  <c r="B12351" i="1"/>
  <c r="A12352" i="1"/>
  <c r="B12352" i="1"/>
  <c r="A12353" i="1"/>
  <c r="B12353" i="1"/>
  <c r="A12354" i="1"/>
  <c r="B12354" i="1"/>
  <c r="A12355" i="1"/>
  <c r="B12355" i="1"/>
  <c r="A12356" i="1"/>
  <c r="B12356" i="1"/>
  <c r="A12357" i="1"/>
  <c r="B12357" i="1"/>
  <c r="A12358" i="1"/>
  <c r="B12358" i="1"/>
  <c r="A12359" i="1"/>
  <c r="B12359" i="1"/>
  <c r="A12360" i="1"/>
  <c r="B12360" i="1"/>
  <c r="A12361" i="1"/>
  <c r="B12361" i="1"/>
  <c r="A12362" i="1"/>
  <c r="B12362" i="1"/>
  <c r="A12363" i="1"/>
  <c r="B12363" i="1"/>
  <c r="A12364" i="1"/>
  <c r="B12364" i="1"/>
  <c r="A12365" i="1"/>
  <c r="B12365" i="1"/>
  <c r="A12366" i="1"/>
  <c r="B12366" i="1"/>
  <c r="A12367" i="1"/>
  <c r="B12367" i="1"/>
  <c r="A12368" i="1"/>
  <c r="B12368" i="1"/>
  <c r="A12369" i="1"/>
  <c r="B12369" i="1"/>
  <c r="A12370" i="1"/>
  <c r="B12370" i="1"/>
  <c r="A12371" i="1"/>
  <c r="B12371" i="1"/>
  <c r="A12372" i="1"/>
  <c r="B12372" i="1"/>
  <c r="A12373" i="1"/>
  <c r="B12373" i="1"/>
  <c r="A12374" i="1"/>
  <c r="B12374" i="1"/>
  <c r="A12375" i="1"/>
  <c r="B12375" i="1"/>
  <c r="A12376" i="1"/>
  <c r="B12376" i="1"/>
  <c r="A12377" i="1"/>
  <c r="B12377" i="1"/>
  <c r="A12378" i="1"/>
  <c r="B12378" i="1"/>
  <c r="A12379" i="1"/>
  <c r="B12379" i="1"/>
  <c r="A12380" i="1"/>
  <c r="B12380" i="1"/>
  <c r="A12381" i="1"/>
  <c r="B12381" i="1"/>
  <c r="A12382" i="1"/>
  <c r="B12382" i="1"/>
  <c r="A12383" i="1"/>
  <c r="B12383" i="1"/>
  <c r="A12384" i="1"/>
  <c r="B12384" i="1"/>
  <c r="A12385" i="1"/>
  <c r="B12385" i="1"/>
  <c r="A12386" i="1"/>
  <c r="B12386" i="1"/>
  <c r="A12387" i="1"/>
  <c r="B12387" i="1"/>
  <c r="A12388" i="1"/>
  <c r="B12388" i="1"/>
  <c r="A12389" i="1"/>
  <c r="B12389" i="1"/>
  <c r="A12390" i="1"/>
  <c r="B12390" i="1"/>
  <c r="A12391" i="1"/>
  <c r="B12391" i="1"/>
  <c r="A12392" i="1"/>
  <c r="B12392" i="1"/>
  <c r="A12393" i="1"/>
  <c r="B12393" i="1"/>
  <c r="A12394" i="1"/>
  <c r="B12394" i="1"/>
  <c r="A12395" i="1"/>
  <c r="B12395" i="1"/>
  <c r="A12396" i="1"/>
  <c r="B12396" i="1"/>
  <c r="A12397" i="1"/>
  <c r="B12397" i="1"/>
  <c r="A12398" i="1"/>
  <c r="B12398" i="1"/>
  <c r="A12399" i="1"/>
  <c r="B12399" i="1"/>
  <c r="A12400" i="1"/>
  <c r="B12400" i="1"/>
  <c r="A12401" i="1"/>
  <c r="B12401" i="1"/>
  <c r="A12402" i="1"/>
  <c r="B12402" i="1"/>
  <c r="A12403" i="1"/>
  <c r="B12403" i="1"/>
  <c r="A12404" i="1"/>
  <c r="B12404" i="1"/>
  <c r="A12405" i="1"/>
  <c r="B12405" i="1"/>
  <c r="A12406" i="1"/>
  <c r="B12406" i="1"/>
  <c r="A12407" i="1"/>
  <c r="B12407" i="1"/>
  <c r="A12408" i="1"/>
  <c r="B12408" i="1"/>
  <c r="A12409" i="1"/>
  <c r="B12409" i="1"/>
  <c r="A12410" i="1"/>
  <c r="B12410" i="1"/>
  <c r="A12411" i="1"/>
  <c r="B12411" i="1"/>
  <c r="A12412" i="1"/>
  <c r="B12412" i="1"/>
  <c r="A12413" i="1"/>
  <c r="B12413" i="1"/>
  <c r="A12414" i="1"/>
  <c r="B12414" i="1"/>
  <c r="A12415" i="1"/>
  <c r="B12415" i="1"/>
  <c r="A12416" i="1"/>
  <c r="B12416" i="1"/>
  <c r="A12417" i="1"/>
  <c r="B12417" i="1"/>
  <c r="A12418" i="1"/>
  <c r="B12418" i="1"/>
  <c r="A12419" i="1"/>
  <c r="B12419" i="1"/>
  <c r="A12420" i="1"/>
  <c r="B12420" i="1"/>
  <c r="A12421" i="1"/>
  <c r="B12421" i="1"/>
  <c r="A12422" i="1"/>
  <c r="B12422" i="1"/>
  <c r="A12423" i="1"/>
  <c r="B12423" i="1"/>
  <c r="A12424" i="1"/>
  <c r="B12424" i="1"/>
  <c r="A12425" i="1"/>
  <c r="B12425" i="1"/>
  <c r="A12426" i="1"/>
  <c r="B12426" i="1"/>
  <c r="A12427" i="1"/>
  <c r="B12427" i="1"/>
  <c r="A12428" i="1"/>
  <c r="B12428" i="1"/>
  <c r="A12429" i="1"/>
  <c r="B12429" i="1"/>
  <c r="A12430" i="1"/>
  <c r="B12430" i="1"/>
  <c r="A12431" i="1"/>
  <c r="B12431" i="1"/>
  <c r="A12432" i="1"/>
  <c r="B12432" i="1"/>
  <c r="A12433" i="1"/>
  <c r="B12433" i="1"/>
  <c r="A12434" i="1"/>
  <c r="B12434" i="1"/>
  <c r="A12435" i="1"/>
  <c r="B12435" i="1"/>
  <c r="A12436" i="1"/>
  <c r="B12436" i="1"/>
  <c r="A12437" i="1"/>
  <c r="B12437" i="1"/>
  <c r="A12438" i="1"/>
  <c r="B12438" i="1"/>
  <c r="A12439" i="1"/>
  <c r="B12439" i="1"/>
  <c r="A12440" i="1"/>
  <c r="B12440" i="1"/>
  <c r="A12441" i="1"/>
  <c r="B12441" i="1"/>
  <c r="A12442" i="1"/>
  <c r="B12442" i="1"/>
  <c r="A12443" i="1"/>
  <c r="B12443" i="1"/>
  <c r="A12444" i="1"/>
  <c r="B12444" i="1"/>
  <c r="A12445" i="1"/>
  <c r="B12445" i="1"/>
  <c r="A12446" i="1"/>
  <c r="B12446" i="1"/>
  <c r="A12447" i="1"/>
  <c r="B12447" i="1"/>
  <c r="A12448" i="1"/>
  <c r="B12448" i="1"/>
  <c r="A12449" i="1"/>
  <c r="B12449" i="1"/>
  <c r="A12450" i="1"/>
  <c r="B12450" i="1"/>
  <c r="A12451" i="1"/>
  <c r="B12451" i="1"/>
  <c r="A12452" i="1"/>
  <c r="B12452" i="1"/>
  <c r="A12453" i="1"/>
  <c r="B12453" i="1"/>
  <c r="A12454" i="1"/>
  <c r="B12454" i="1"/>
  <c r="A12455" i="1"/>
  <c r="B12455" i="1"/>
  <c r="A12456" i="1"/>
  <c r="B12456" i="1"/>
  <c r="A12457" i="1"/>
  <c r="B12457" i="1"/>
  <c r="A12458" i="1"/>
  <c r="B12458" i="1"/>
  <c r="A12459" i="1"/>
  <c r="B12459" i="1"/>
  <c r="A12460" i="1"/>
  <c r="B12460" i="1"/>
  <c r="A12461" i="1"/>
  <c r="B12461" i="1"/>
  <c r="A12462" i="1"/>
  <c r="B12462" i="1"/>
  <c r="A12463" i="1"/>
  <c r="B12463" i="1"/>
  <c r="A12464" i="1"/>
  <c r="B12464" i="1"/>
  <c r="A12465" i="1"/>
  <c r="B12465" i="1"/>
  <c r="A12466" i="1"/>
  <c r="B12466" i="1"/>
  <c r="A12467" i="1"/>
  <c r="B12467" i="1"/>
  <c r="A12468" i="1"/>
  <c r="B12468" i="1"/>
  <c r="A12469" i="1"/>
  <c r="B12469" i="1"/>
  <c r="A12470" i="1"/>
  <c r="B12470" i="1"/>
  <c r="A12471" i="1"/>
  <c r="B12471" i="1"/>
  <c r="A12472" i="1"/>
  <c r="B12472" i="1"/>
  <c r="A12473" i="1"/>
  <c r="B12473" i="1"/>
  <c r="A12474" i="1"/>
  <c r="B12474" i="1"/>
  <c r="A12475" i="1"/>
  <c r="B12475" i="1"/>
  <c r="A12476" i="1"/>
  <c r="B12476" i="1"/>
  <c r="A12477" i="1"/>
  <c r="B12477" i="1"/>
  <c r="A12478" i="1"/>
  <c r="B12478" i="1"/>
  <c r="A12479" i="1"/>
  <c r="B12479" i="1"/>
  <c r="A12480" i="1"/>
  <c r="B12480" i="1"/>
  <c r="A12481" i="1"/>
  <c r="B12481" i="1"/>
  <c r="A12482" i="1"/>
  <c r="B12482" i="1"/>
  <c r="A12483" i="1"/>
  <c r="B12483" i="1"/>
  <c r="A12484" i="1"/>
  <c r="B12484" i="1"/>
  <c r="A12485" i="1"/>
  <c r="B12485" i="1"/>
  <c r="A12486" i="1"/>
  <c r="B12486" i="1"/>
  <c r="A12487" i="1"/>
  <c r="B12487" i="1"/>
  <c r="A12488" i="1"/>
  <c r="B12488" i="1"/>
  <c r="A12489" i="1"/>
  <c r="B12489" i="1"/>
  <c r="A12490" i="1"/>
  <c r="B12490" i="1"/>
  <c r="A12491" i="1"/>
  <c r="B12491" i="1"/>
  <c r="A12492" i="1"/>
  <c r="B12492" i="1"/>
  <c r="A12493" i="1"/>
  <c r="B12493" i="1"/>
  <c r="A12494" i="1"/>
  <c r="B12494" i="1"/>
  <c r="A12495" i="1"/>
  <c r="B12495" i="1"/>
  <c r="A12496" i="1"/>
  <c r="B12496" i="1"/>
  <c r="A12497" i="1"/>
  <c r="B12497" i="1"/>
  <c r="A12498" i="1"/>
  <c r="B12498" i="1"/>
  <c r="A12499" i="1"/>
  <c r="A12500" i="1"/>
  <c r="B12500" i="1"/>
  <c r="A12501" i="1"/>
  <c r="B12501" i="1"/>
  <c r="A12502" i="1"/>
  <c r="B12502" i="1"/>
  <c r="A12503" i="1"/>
  <c r="B12503" i="1"/>
  <c r="A12504" i="1"/>
  <c r="B12504" i="1"/>
  <c r="A12505" i="1"/>
  <c r="B12505" i="1"/>
  <c r="A12506" i="1"/>
  <c r="B12506" i="1"/>
  <c r="A12507" i="1"/>
  <c r="B12507" i="1"/>
  <c r="A12508" i="1"/>
  <c r="B12508" i="1"/>
  <c r="A12509" i="1"/>
  <c r="B12509" i="1"/>
  <c r="A12510" i="1"/>
  <c r="B12510" i="1"/>
  <c r="A12511" i="1"/>
  <c r="B12511" i="1"/>
  <c r="A12512" i="1"/>
  <c r="B12512" i="1"/>
  <c r="A12513" i="1"/>
  <c r="B12513" i="1"/>
  <c r="A12514" i="1"/>
  <c r="B12514" i="1"/>
  <c r="A12515" i="1"/>
  <c r="B12515" i="1"/>
  <c r="A12516" i="1"/>
  <c r="B12516" i="1"/>
  <c r="A12517" i="1"/>
  <c r="B12517" i="1"/>
  <c r="A12518" i="1"/>
  <c r="B12518" i="1"/>
  <c r="A12519" i="1"/>
  <c r="B12519" i="1"/>
  <c r="A12520" i="1"/>
  <c r="B12520" i="1"/>
  <c r="A12521" i="1"/>
  <c r="B12521" i="1"/>
  <c r="A12522" i="1"/>
  <c r="B12522" i="1"/>
  <c r="A12523" i="1"/>
  <c r="B12523" i="1"/>
  <c r="A12524" i="1"/>
  <c r="B12524" i="1"/>
  <c r="A12525" i="1"/>
  <c r="B12525" i="1"/>
  <c r="A12526" i="1"/>
  <c r="A12527" i="1"/>
  <c r="B12527" i="1"/>
  <c r="A12528" i="1"/>
  <c r="B12528" i="1"/>
  <c r="A12529" i="1"/>
  <c r="B12529" i="1"/>
  <c r="A12530" i="1"/>
  <c r="B12530" i="1"/>
  <c r="A12531" i="1"/>
  <c r="B12531" i="1"/>
  <c r="A12532" i="1"/>
  <c r="B12532" i="1"/>
  <c r="A12533" i="1"/>
  <c r="B12533" i="1"/>
  <c r="A12534" i="1"/>
  <c r="A12535" i="1"/>
  <c r="B12535" i="1"/>
  <c r="A12536" i="1"/>
  <c r="B12536" i="1"/>
  <c r="A12537" i="1"/>
  <c r="B12537" i="1"/>
  <c r="A12538" i="1"/>
  <c r="B12538" i="1"/>
  <c r="A12539" i="1"/>
  <c r="B12539" i="1"/>
  <c r="A12540" i="1"/>
  <c r="B12540" i="1"/>
  <c r="A12541" i="1"/>
  <c r="B12541" i="1"/>
  <c r="A12542" i="1"/>
  <c r="B12542" i="1"/>
  <c r="A12543" i="1"/>
  <c r="B12543" i="1"/>
  <c r="A12544" i="1"/>
  <c r="B12544" i="1"/>
  <c r="A12545" i="1"/>
  <c r="B12545" i="1"/>
  <c r="A12546" i="1"/>
  <c r="B12546" i="1"/>
  <c r="A12547" i="1"/>
  <c r="B12547" i="1"/>
  <c r="A12548" i="1"/>
  <c r="B12548" i="1"/>
  <c r="A12549" i="1"/>
  <c r="B12549" i="1"/>
  <c r="A12550" i="1"/>
  <c r="B12550" i="1"/>
  <c r="A12551" i="1"/>
  <c r="B12551" i="1"/>
  <c r="A12552" i="1"/>
  <c r="B12552" i="1"/>
  <c r="A12553" i="1"/>
  <c r="B12553" i="1"/>
  <c r="A12554" i="1"/>
  <c r="B12554" i="1"/>
  <c r="A12555" i="1"/>
  <c r="B12555" i="1"/>
  <c r="A12556" i="1"/>
  <c r="B12556" i="1"/>
  <c r="A12557" i="1"/>
  <c r="B12557" i="1"/>
  <c r="A12558" i="1"/>
  <c r="B12558" i="1"/>
  <c r="A12559" i="1"/>
  <c r="B12559" i="1"/>
  <c r="A12560" i="1"/>
  <c r="B12560" i="1"/>
  <c r="A12561" i="1"/>
  <c r="B12561" i="1"/>
  <c r="A12562" i="1"/>
  <c r="B12562" i="1"/>
  <c r="A12563" i="1"/>
  <c r="B12563" i="1"/>
  <c r="A12564" i="1"/>
  <c r="B12564" i="1"/>
  <c r="A12565" i="1"/>
  <c r="B12565" i="1"/>
  <c r="A12566" i="1"/>
  <c r="B12566" i="1"/>
  <c r="A12567" i="1"/>
  <c r="B12567" i="1"/>
  <c r="A12568" i="1"/>
  <c r="B12568" i="1"/>
  <c r="A12569" i="1"/>
  <c r="B12569" i="1"/>
  <c r="A12570" i="1"/>
  <c r="B12570" i="1"/>
  <c r="A12571" i="1"/>
  <c r="B12571" i="1"/>
  <c r="A12572" i="1"/>
  <c r="B12572" i="1"/>
  <c r="A12573" i="1"/>
  <c r="B12573" i="1"/>
  <c r="A12574" i="1"/>
  <c r="B12574" i="1"/>
  <c r="A12575" i="1"/>
  <c r="B12575" i="1"/>
  <c r="A12576" i="1"/>
  <c r="B12576" i="1"/>
  <c r="A12577" i="1"/>
  <c r="B12577" i="1"/>
  <c r="A12578" i="1"/>
  <c r="B12578" i="1"/>
  <c r="A12579" i="1"/>
  <c r="B12579" i="1"/>
  <c r="A12580" i="1"/>
  <c r="B12580" i="1"/>
  <c r="A12581" i="1"/>
  <c r="B12581" i="1"/>
  <c r="A12582" i="1"/>
  <c r="B12582" i="1"/>
  <c r="A12583" i="1"/>
  <c r="B12583" i="1"/>
  <c r="A12584" i="1"/>
  <c r="B12584" i="1"/>
  <c r="A12585" i="1"/>
  <c r="B12585" i="1"/>
  <c r="A12586" i="1"/>
  <c r="B12586" i="1"/>
  <c r="A12587" i="1"/>
  <c r="B12587" i="1"/>
  <c r="A12588" i="1"/>
  <c r="B12588" i="1"/>
  <c r="A12589" i="1"/>
  <c r="B12589" i="1"/>
  <c r="A12590" i="1"/>
  <c r="B12590" i="1"/>
  <c r="A12591" i="1"/>
  <c r="B12591" i="1"/>
  <c r="A12592" i="1"/>
  <c r="B12592" i="1"/>
  <c r="A12593" i="1"/>
  <c r="B12593" i="1"/>
  <c r="A12594" i="1"/>
  <c r="B12594" i="1"/>
  <c r="A12595" i="1"/>
  <c r="B12595" i="1"/>
  <c r="A12596" i="1"/>
  <c r="B12596" i="1"/>
  <c r="A12597" i="1"/>
  <c r="B12597" i="1"/>
  <c r="A12598" i="1"/>
  <c r="B12598" i="1"/>
  <c r="A12599" i="1"/>
  <c r="B12599" i="1"/>
  <c r="A12600" i="1"/>
  <c r="B12600" i="1"/>
  <c r="A12601" i="1"/>
  <c r="B12601" i="1"/>
  <c r="A12602" i="1"/>
  <c r="B12602" i="1"/>
  <c r="A12603" i="1"/>
  <c r="B12603" i="1"/>
  <c r="A12604" i="1"/>
  <c r="B12604" i="1"/>
  <c r="A12605" i="1"/>
  <c r="B12605" i="1"/>
  <c r="A12606" i="1"/>
  <c r="B12606" i="1"/>
  <c r="A12607" i="1"/>
  <c r="B12607" i="1"/>
  <c r="A12608" i="1"/>
  <c r="B12608" i="1"/>
  <c r="A12609" i="1"/>
  <c r="B12609" i="1"/>
  <c r="A12610" i="1"/>
  <c r="B12610" i="1"/>
  <c r="A12611" i="1"/>
  <c r="B12611" i="1"/>
  <c r="A12612" i="1"/>
  <c r="B12612" i="1"/>
  <c r="A12613" i="1"/>
  <c r="B12613" i="1"/>
  <c r="A12614" i="1"/>
  <c r="B12614" i="1"/>
  <c r="A12615" i="1"/>
  <c r="B12615" i="1"/>
  <c r="A12616" i="1"/>
  <c r="B12616" i="1"/>
  <c r="A12617" i="1"/>
  <c r="B12617" i="1"/>
  <c r="A12618" i="1"/>
  <c r="B12618" i="1"/>
  <c r="A12619" i="1"/>
  <c r="B12619" i="1"/>
  <c r="A12620" i="1"/>
  <c r="B12620" i="1"/>
  <c r="A12621" i="1"/>
  <c r="B12621" i="1"/>
  <c r="A12622" i="1"/>
  <c r="B12622" i="1"/>
  <c r="A12623" i="1"/>
  <c r="B12623" i="1"/>
  <c r="A12624" i="1"/>
  <c r="B12624" i="1"/>
  <c r="A12625" i="1"/>
  <c r="B12625" i="1"/>
  <c r="A12626" i="1"/>
  <c r="B12626" i="1"/>
  <c r="A12627" i="1"/>
  <c r="B12627" i="1"/>
  <c r="A12628" i="1"/>
  <c r="B12628" i="1"/>
  <c r="A12629" i="1"/>
  <c r="B12629" i="1"/>
  <c r="A12630" i="1"/>
  <c r="B12630" i="1"/>
  <c r="A12631" i="1"/>
  <c r="B12631" i="1"/>
  <c r="A12632" i="1"/>
  <c r="B12632" i="1"/>
  <c r="A12633" i="1"/>
  <c r="B12633" i="1"/>
  <c r="A12634" i="1"/>
  <c r="B12634" i="1"/>
  <c r="A12635" i="1"/>
  <c r="B12635" i="1"/>
  <c r="A12636" i="1"/>
  <c r="B12636" i="1"/>
  <c r="A12637" i="1"/>
  <c r="B12637" i="1"/>
  <c r="A12638" i="1"/>
  <c r="B12638" i="1"/>
  <c r="A12639" i="1"/>
  <c r="B12639" i="1"/>
  <c r="A12640" i="1"/>
  <c r="B12640" i="1"/>
  <c r="A12641" i="1"/>
  <c r="B12641" i="1"/>
  <c r="A12642" i="1"/>
  <c r="B12642" i="1"/>
  <c r="A12643" i="1"/>
  <c r="B12643" i="1"/>
  <c r="A12644" i="1"/>
  <c r="B12644" i="1"/>
  <c r="A12645" i="1"/>
  <c r="B12645" i="1"/>
  <c r="A12646" i="1"/>
  <c r="B12646" i="1"/>
  <c r="A12647" i="1"/>
  <c r="B12647" i="1"/>
  <c r="A12648" i="1"/>
  <c r="B12648" i="1"/>
  <c r="A12649" i="1"/>
  <c r="B12649" i="1"/>
  <c r="A12650" i="1"/>
  <c r="B12650" i="1"/>
  <c r="A12651" i="1"/>
  <c r="B12651" i="1"/>
  <c r="A12652" i="1"/>
  <c r="B12652" i="1"/>
  <c r="A12653" i="1"/>
  <c r="B12653" i="1"/>
  <c r="A12654" i="1"/>
  <c r="B12654" i="1"/>
  <c r="A12655" i="1"/>
  <c r="B12655" i="1"/>
  <c r="A12656" i="1"/>
  <c r="B12656" i="1"/>
  <c r="A12657" i="1"/>
  <c r="B12657" i="1"/>
  <c r="A12658" i="1"/>
  <c r="B12658" i="1"/>
  <c r="A12659" i="1"/>
  <c r="B12659" i="1"/>
  <c r="A12660" i="1"/>
  <c r="B12660" i="1"/>
  <c r="A12661" i="1"/>
  <c r="B12661" i="1"/>
  <c r="A12662" i="1"/>
  <c r="B12662" i="1"/>
  <c r="A12663" i="1"/>
  <c r="B12663" i="1"/>
  <c r="A12664" i="1"/>
  <c r="B12664" i="1"/>
  <c r="A12665" i="1"/>
  <c r="B12665" i="1"/>
  <c r="A12666" i="1"/>
  <c r="B12666" i="1"/>
  <c r="A12667" i="1"/>
  <c r="B12667" i="1"/>
  <c r="A12668" i="1"/>
  <c r="B12668" i="1"/>
  <c r="A12669" i="1"/>
  <c r="B12669" i="1"/>
  <c r="A12670" i="1"/>
  <c r="B12670" i="1"/>
  <c r="A12671" i="1"/>
  <c r="B12671" i="1"/>
  <c r="A12672" i="1"/>
  <c r="B12672" i="1"/>
  <c r="A12673" i="1"/>
  <c r="B12673" i="1"/>
  <c r="A12674" i="1"/>
  <c r="B12674" i="1"/>
  <c r="A12675" i="1"/>
  <c r="B12675" i="1"/>
  <c r="A12676" i="1"/>
  <c r="B12676" i="1"/>
  <c r="A12677" i="1"/>
  <c r="B12677" i="1"/>
  <c r="A12678" i="1"/>
  <c r="B12678" i="1"/>
  <c r="A12679" i="1"/>
  <c r="B12679" i="1"/>
  <c r="A12680" i="1"/>
  <c r="B12680" i="1"/>
  <c r="A12681" i="1"/>
  <c r="B12681" i="1"/>
  <c r="A12682" i="1"/>
  <c r="B12682" i="1"/>
  <c r="A12683" i="1"/>
  <c r="B12683" i="1"/>
  <c r="A12684" i="1"/>
  <c r="B12684" i="1"/>
  <c r="A12685" i="1"/>
  <c r="B12685" i="1"/>
  <c r="A12686" i="1"/>
  <c r="B12686" i="1"/>
  <c r="A12687" i="1"/>
  <c r="B12687" i="1"/>
  <c r="A12688" i="1"/>
  <c r="B12688" i="1"/>
  <c r="A12689" i="1"/>
  <c r="B12689" i="1"/>
  <c r="A12690" i="1"/>
  <c r="B12690" i="1"/>
  <c r="A12691" i="1"/>
  <c r="B12691" i="1"/>
  <c r="A12692" i="1"/>
  <c r="B12692" i="1"/>
  <c r="A12693" i="1"/>
  <c r="B12693" i="1"/>
  <c r="A12694" i="1"/>
  <c r="B12694" i="1"/>
  <c r="A12695" i="1"/>
  <c r="B12695" i="1"/>
  <c r="A12696" i="1"/>
  <c r="B12696" i="1"/>
  <c r="A12697" i="1"/>
  <c r="B12697" i="1"/>
  <c r="A12698" i="1"/>
  <c r="B12698" i="1"/>
  <c r="A12699" i="1"/>
  <c r="B12699" i="1"/>
  <c r="A12700" i="1"/>
  <c r="B12700" i="1"/>
  <c r="A12701" i="1"/>
  <c r="B12701" i="1"/>
  <c r="A12702" i="1"/>
  <c r="B12702" i="1"/>
  <c r="A12703" i="1"/>
  <c r="B12703" i="1"/>
  <c r="A12704" i="1"/>
  <c r="B12704" i="1"/>
  <c r="A12705" i="1"/>
  <c r="B12705" i="1"/>
  <c r="A12706" i="1"/>
  <c r="B12706" i="1"/>
  <c r="A12707" i="1"/>
  <c r="B12707" i="1"/>
  <c r="A12708" i="1"/>
  <c r="B12708" i="1"/>
  <c r="A12709" i="1"/>
  <c r="B12709" i="1"/>
  <c r="A12710" i="1"/>
  <c r="B12710" i="1"/>
  <c r="A12711" i="1"/>
  <c r="B12711" i="1"/>
  <c r="A12712" i="1"/>
  <c r="B12712" i="1"/>
  <c r="A12713" i="1"/>
  <c r="B12713" i="1"/>
  <c r="A12714" i="1"/>
  <c r="B12714" i="1"/>
  <c r="A12715" i="1"/>
  <c r="B12715" i="1"/>
  <c r="A12716" i="1"/>
  <c r="B12716" i="1"/>
  <c r="A12717" i="1"/>
  <c r="B12717" i="1"/>
  <c r="A12718" i="1"/>
  <c r="B12718" i="1"/>
  <c r="A12719" i="1"/>
  <c r="B12719" i="1"/>
  <c r="A12720" i="1"/>
  <c r="B12720" i="1"/>
  <c r="A12721" i="1"/>
  <c r="B12721" i="1"/>
  <c r="A12722" i="1"/>
  <c r="B12722" i="1"/>
  <c r="A12723" i="1"/>
  <c r="B12723" i="1"/>
  <c r="A12724" i="1"/>
  <c r="B12724" i="1"/>
  <c r="A12725" i="1"/>
  <c r="B12725" i="1"/>
  <c r="A12726" i="1"/>
  <c r="B12726" i="1"/>
  <c r="A12727" i="1"/>
  <c r="B12727" i="1"/>
  <c r="A12728" i="1"/>
  <c r="B12728" i="1"/>
  <c r="A12729" i="1"/>
  <c r="B12729" i="1"/>
  <c r="A12730" i="1"/>
  <c r="B12730" i="1"/>
  <c r="A12731" i="1"/>
  <c r="B12731" i="1"/>
  <c r="A12732" i="1"/>
  <c r="B12732" i="1"/>
  <c r="A12733" i="1"/>
  <c r="B12733" i="1"/>
  <c r="A12734" i="1"/>
  <c r="B12734" i="1"/>
  <c r="A12735" i="1"/>
  <c r="B12735" i="1"/>
  <c r="A12736" i="1"/>
  <c r="B12736" i="1"/>
  <c r="A12737" i="1"/>
  <c r="B12737" i="1"/>
  <c r="A12738" i="1"/>
  <c r="B12738" i="1"/>
  <c r="A12739" i="1"/>
  <c r="B12739" i="1"/>
  <c r="A12740" i="1"/>
  <c r="B12740" i="1"/>
  <c r="A12741" i="1"/>
  <c r="B12741" i="1"/>
  <c r="A12742" i="1"/>
  <c r="B12742" i="1"/>
  <c r="A12743" i="1"/>
  <c r="B12743" i="1"/>
  <c r="A12744" i="1"/>
  <c r="B12744" i="1"/>
  <c r="A12745" i="1"/>
  <c r="B12745" i="1"/>
  <c r="A12746" i="1"/>
  <c r="B12746" i="1"/>
  <c r="A12747" i="1"/>
  <c r="B12747" i="1"/>
  <c r="A12748" i="1"/>
  <c r="B12748" i="1"/>
  <c r="A12749" i="1"/>
  <c r="B12749" i="1"/>
  <c r="A12750" i="1"/>
  <c r="B12750" i="1"/>
  <c r="A12751" i="1"/>
  <c r="B12751" i="1"/>
  <c r="A12752" i="1"/>
  <c r="B12752" i="1"/>
  <c r="A12753" i="1"/>
  <c r="B12753" i="1"/>
  <c r="A12754" i="1"/>
  <c r="B12754" i="1"/>
  <c r="A12755" i="1"/>
  <c r="B12755" i="1"/>
  <c r="A12756" i="1"/>
  <c r="B12756" i="1"/>
  <c r="A12757" i="1"/>
  <c r="B12757" i="1"/>
  <c r="A12758" i="1"/>
  <c r="B12758" i="1"/>
  <c r="A12759" i="1"/>
  <c r="B12759" i="1"/>
  <c r="A12760" i="1"/>
  <c r="B12760" i="1"/>
  <c r="A12761" i="1"/>
  <c r="B12761" i="1"/>
  <c r="A12762" i="1"/>
  <c r="B12762" i="1"/>
  <c r="A12763" i="1"/>
  <c r="B12763" i="1"/>
  <c r="A12764" i="1"/>
  <c r="B12764" i="1"/>
  <c r="A12765" i="1"/>
  <c r="B12765" i="1"/>
  <c r="A12766" i="1"/>
  <c r="B12766" i="1"/>
  <c r="A12767" i="1"/>
  <c r="B12767" i="1"/>
  <c r="A12768" i="1"/>
  <c r="B12768" i="1"/>
  <c r="A12769" i="1"/>
  <c r="B12769" i="1"/>
  <c r="A12770" i="1"/>
  <c r="B12770" i="1"/>
  <c r="A12771" i="1"/>
  <c r="B12771" i="1"/>
  <c r="A12772" i="1"/>
  <c r="B12772" i="1"/>
  <c r="A12773" i="1"/>
  <c r="B12773" i="1"/>
  <c r="A12774" i="1"/>
  <c r="B12774" i="1"/>
  <c r="A12775" i="1"/>
  <c r="B12775" i="1"/>
  <c r="A12776" i="1"/>
  <c r="B12776" i="1"/>
  <c r="A12777" i="1"/>
  <c r="B12777" i="1"/>
  <c r="A12778" i="1"/>
  <c r="B12778" i="1"/>
  <c r="A12779" i="1"/>
  <c r="B12779" i="1"/>
  <c r="A12780" i="1"/>
  <c r="B12780" i="1"/>
  <c r="A12781" i="1"/>
  <c r="B12781" i="1"/>
  <c r="A12782" i="1"/>
  <c r="B12782" i="1"/>
  <c r="A12783" i="1"/>
  <c r="B12783" i="1"/>
  <c r="A12784" i="1"/>
  <c r="B12784" i="1"/>
  <c r="A12785" i="1"/>
  <c r="B12785" i="1"/>
  <c r="A12786" i="1"/>
  <c r="B12786" i="1"/>
  <c r="A12787" i="1"/>
  <c r="B12787" i="1"/>
  <c r="A12788" i="1"/>
  <c r="B12788" i="1"/>
  <c r="A12789" i="1"/>
  <c r="B12789" i="1"/>
  <c r="A12790" i="1"/>
  <c r="B12790" i="1"/>
  <c r="A12791" i="1"/>
  <c r="B12791" i="1"/>
  <c r="A12792" i="1"/>
  <c r="B12792" i="1"/>
  <c r="A12793" i="1"/>
  <c r="B12793" i="1"/>
  <c r="A12794" i="1"/>
  <c r="B12794" i="1"/>
  <c r="A12795" i="1"/>
  <c r="B12795" i="1"/>
  <c r="A12796" i="1"/>
  <c r="B12796" i="1"/>
  <c r="A12797" i="1"/>
  <c r="B12797" i="1"/>
  <c r="A12798" i="1"/>
  <c r="B12798" i="1"/>
  <c r="A12799" i="1"/>
  <c r="B12799" i="1"/>
  <c r="A12800" i="1"/>
  <c r="B12800" i="1"/>
  <c r="A12801" i="1"/>
  <c r="B12801" i="1"/>
  <c r="A12802" i="1"/>
  <c r="B12802" i="1"/>
  <c r="A12803" i="1"/>
  <c r="B12803" i="1"/>
  <c r="A12804" i="1"/>
  <c r="B12804" i="1"/>
  <c r="A12805" i="1"/>
  <c r="B12805" i="1"/>
  <c r="A12806" i="1"/>
  <c r="B12806" i="1"/>
  <c r="A12807" i="1"/>
  <c r="B12807" i="1"/>
  <c r="A12808" i="1"/>
  <c r="B12808" i="1"/>
  <c r="A12809" i="1"/>
  <c r="B12809" i="1"/>
  <c r="A12810" i="1"/>
  <c r="B12810" i="1"/>
  <c r="A12811" i="1"/>
  <c r="B12811" i="1"/>
  <c r="A12812" i="1"/>
  <c r="B12812" i="1"/>
  <c r="A12813" i="1"/>
  <c r="B12813" i="1"/>
  <c r="A12814" i="1"/>
  <c r="B12814" i="1"/>
  <c r="A12815" i="1"/>
  <c r="B12815" i="1"/>
  <c r="A12816" i="1"/>
  <c r="B12816" i="1"/>
  <c r="A12817" i="1"/>
  <c r="B12817" i="1"/>
  <c r="A12818" i="1"/>
  <c r="B12818" i="1"/>
  <c r="A12819" i="1"/>
  <c r="B12819" i="1"/>
  <c r="A12820" i="1"/>
  <c r="B12820" i="1"/>
  <c r="A12821" i="1"/>
  <c r="B12821" i="1"/>
  <c r="A12822" i="1"/>
  <c r="B12822" i="1"/>
  <c r="A12823" i="1"/>
  <c r="B12823" i="1"/>
  <c r="A12824" i="1"/>
  <c r="B12824" i="1"/>
  <c r="A12825" i="1"/>
  <c r="B12825" i="1"/>
  <c r="A12826" i="1"/>
  <c r="B12826" i="1"/>
  <c r="A12827" i="1"/>
  <c r="B12827" i="1"/>
  <c r="A12828" i="1"/>
  <c r="B12828" i="1"/>
  <c r="A12829" i="1"/>
  <c r="B12829" i="1"/>
  <c r="A12830" i="1"/>
  <c r="B12830" i="1"/>
  <c r="A12831" i="1"/>
  <c r="B12831" i="1"/>
  <c r="A12832" i="1"/>
  <c r="B12832" i="1"/>
  <c r="A12833" i="1"/>
  <c r="B12833" i="1"/>
  <c r="A12834" i="1"/>
  <c r="B12834" i="1"/>
  <c r="A12835" i="1"/>
  <c r="B12835" i="1"/>
  <c r="A12836" i="1"/>
  <c r="B12836" i="1"/>
  <c r="A12837" i="1"/>
  <c r="B12837" i="1"/>
  <c r="A12838" i="1"/>
  <c r="B12838" i="1"/>
  <c r="A12839" i="1"/>
  <c r="B12839" i="1"/>
  <c r="A12840" i="1"/>
  <c r="B12840" i="1"/>
  <c r="A12841" i="1"/>
  <c r="B12841" i="1"/>
  <c r="A12842" i="1"/>
  <c r="B12842" i="1"/>
  <c r="A12843" i="1"/>
  <c r="B12843" i="1"/>
  <c r="A12844" i="1"/>
  <c r="B12844" i="1"/>
  <c r="A12845" i="1"/>
  <c r="B12845" i="1"/>
  <c r="A12846" i="1"/>
  <c r="B12846" i="1"/>
  <c r="A12847" i="1"/>
  <c r="B12847" i="1"/>
  <c r="A12848" i="1"/>
  <c r="B12848" i="1"/>
  <c r="A12849" i="1"/>
  <c r="B12849" i="1"/>
  <c r="A12850" i="1"/>
  <c r="B12850" i="1"/>
  <c r="A12851" i="1"/>
  <c r="B12851" i="1"/>
  <c r="A12852" i="1"/>
  <c r="B12852" i="1"/>
  <c r="A12853" i="1"/>
  <c r="B12853" i="1"/>
  <c r="A12854" i="1"/>
  <c r="B12854" i="1"/>
  <c r="A12855" i="1"/>
  <c r="B12855" i="1"/>
  <c r="A12856" i="1"/>
  <c r="B12856" i="1"/>
  <c r="A12857" i="1"/>
  <c r="B12857" i="1"/>
  <c r="A12858" i="1"/>
  <c r="B12858" i="1"/>
  <c r="A12859" i="1"/>
  <c r="B12859" i="1"/>
  <c r="A12860" i="1"/>
  <c r="B12860" i="1"/>
  <c r="A12861" i="1"/>
  <c r="B12861" i="1"/>
  <c r="A12862" i="1"/>
  <c r="B12862" i="1"/>
  <c r="A12863" i="1"/>
  <c r="B12863" i="1"/>
  <c r="A12864" i="1"/>
  <c r="B12864" i="1"/>
  <c r="A12865" i="1"/>
  <c r="B12865" i="1"/>
  <c r="A12866" i="1"/>
  <c r="B12866" i="1"/>
  <c r="A12867" i="1"/>
  <c r="B12867" i="1"/>
  <c r="A12868" i="1"/>
  <c r="B12868" i="1"/>
  <c r="A12869" i="1"/>
  <c r="B12869" i="1"/>
  <c r="A12870" i="1"/>
  <c r="B12870" i="1"/>
  <c r="A12871" i="1"/>
  <c r="B12871" i="1"/>
  <c r="A12872" i="1"/>
  <c r="B12872" i="1"/>
  <c r="A12873" i="1"/>
  <c r="B12873" i="1"/>
  <c r="A12874" i="1"/>
  <c r="B12874" i="1"/>
  <c r="A12875" i="1"/>
  <c r="B12875" i="1"/>
  <c r="A12876" i="1"/>
  <c r="B12876" i="1"/>
  <c r="A12877" i="1"/>
  <c r="B12877" i="1"/>
  <c r="A12878" i="1"/>
  <c r="B12878" i="1"/>
  <c r="A12879" i="1"/>
  <c r="B12879" i="1"/>
  <c r="A12880" i="1"/>
  <c r="B12880" i="1"/>
  <c r="A12881" i="1"/>
  <c r="B12881" i="1"/>
  <c r="A12882" i="1"/>
  <c r="B12882" i="1"/>
  <c r="A12883" i="1"/>
  <c r="B12883" i="1"/>
  <c r="A12884" i="1"/>
  <c r="B12884" i="1"/>
  <c r="A12885" i="1"/>
  <c r="B12885" i="1"/>
  <c r="A12886" i="1"/>
  <c r="B12886" i="1"/>
  <c r="A12887" i="1"/>
  <c r="B12887" i="1"/>
  <c r="A12888" i="1"/>
  <c r="B12888" i="1"/>
  <c r="A12889" i="1"/>
  <c r="B12889" i="1"/>
  <c r="A12890" i="1"/>
  <c r="B12890" i="1"/>
  <c r="A12891" i="1"/>
  <c r="B12891" i="1"/>
  <c r="A12892" i="1"/>
  <c r="B12892" i="1"/>
  <c r="A12893" i="1"/>
  <c r="B12893" i="1"/>
  <c r="A12894" i="1"/>
  <c r="B12894" i="1"/>
  <c r="A12895" i="1"/>
  <c r="B12895" i="1"/>
  <c r="A12896" i="1"/>
  <c r="B12896" i="1"/>
  <c r="A12897" i="1"/>
  <c r="B12897" i="1"/>
  <c r="A12898" i="1"/>
  <c r="B12898" i="1"/>
  <c r="A12899" i="1"/>
  <c r="B12899" i="1"/>
  <c r="A12900" i="1"/>
  <c r="B12900" i="1"/>
  <c r="A12901" i="1"/>
  <c r="B12901" i="1"/>
  <c r="A12902" i="1"/>
  <c r="B12902" i="1"/>
  <c r="A12903" i="1"/>
  <c r="B12903" i="1"/>
  <c r="A12904" i="1"/>
  <c r="B12904" i="1"/>
  <c r="A12905" i="1"/>
  <c r="B12905" i="1"/>
  <c r="A12906" i="1"/>
  <c r="B12906" i="1"/>
  <c r="A12907" i="1"/>
  <c r="B12907" i="1"/>
  <c r="A12908" i="1"/>
  <c r="B12908" i="1"/>
  <c r="A12909" i="1"/>
  <c r="B12909" i="1"/>
  <c r="A12910" i="1"/>
  <c r="B12910" i="1"/>
  <c r="A12911" i="1"/>
  <c r="B12911" i="1"/>
  <c r="A12912" i="1"/>
  <c r="B12912" i="1"/>
  <c r="A12913" i="1"/>
  <c r="B12913" i="1"/>
  <c r="A12914" i="1"/>
  <c r="B12914" i="1"/>
  <c r="A12915" i="1"/>
  <c r="B12915" i="1"/>
  <c r="A12916" i="1"/>
  <c r="B12916" i="1"/>
  <c r="A12917" i="1"/>
  <c r="B12917" i="1"/>
  <c r="A12918" i="1"/>
  <c r="B12918" i="1"/>
  <c r="A12919" i="1"/>
  <c r="B12919" i="1"/>
  <c r="A12920" i="1"/>
  <c r="B12920" i="1"/>
  <c r="A12921" i="1"/>
  <c r="B12921" i="1"/>
  <c r="A12922" i="1"/>
  <c r="B12922" i="1"/>
  <c r="A12923" i="1"/>
  <c r="B12923" i="1"/>
  <c r="A12924" i="1"/>
  <c r="B12924" i="1"/>
  <c r="A12925" i="1"/>
  <c r="B12925" i="1"/>
  <c r="A12926" i="1"/>
  <c r="B12926" i="1"/>
  <c r="A12927" i="1"/>
  <c r="B12927" i="1"/>
  <c r="A12928" i="1"/>
  <c r="B12928" i="1"/>
  <c r="A12929" i="1"/>
  <c r="B12929" i="1"/>
  <c r="A12930" i="1"/>
  <c r="B12930" i="1"/>
  <c r="A12931" i="1"/>
  <c r="B12931" i="1"/>
  <c r="A12932" i="1"/>
  <c r="B12932" i="1"/>
  <c r="A12933" i="1"/>
  <c r="B12933" i="1"/>
  <c r="A12934" i="1"/>
  <c r="B12934" i="1"/>
  <c r="A12935" i="1"/>
  <c r="B12935" i="1"/>
  <c r="A12936" i="1"/>
  <c r="B12936" i="1"/>
  <c r="A12937" i="1"/>
  <c r="B12937" i="1"/>
  <c r="A12938" i="1"/>
  <c r="B12938" i="1"/>
  <c r="A12939" i="1"/>
  <c r="B12939" i="1"/>
  <c r="A12940" i="1"/>
  <c r="B12940" i="1"/>
  <c r="A12941" i="1"/>
  <c r="B12941" i="1"/>
  <c r="A12942" i="1"/>
  <c r="B12942" i="1"/>
  <c r="A12943" i="1"/>
  <c r="B12943" i="1"/>
  <c r="A12944" i="1"/>
  <c r="B12944" i="1"/>
  <c r="A12945" i="1"/>
  <c r="B12945" i="1"/>
  <c r="A12946" i="1"/>
  <c r="B12946" i="1"/>
  <c r="A12947" i="1"/>
  <c r="B12947" i="1"/>
  <c r="A12948" i="1"/>
  <c r="B12948" i="1"/>
  <c r="A12949" i="1"/>
  <c r="B12949" i="1"/>
  <c r="A12950" i="1"/>
  <c r="B12950" i="1"/>
  <c r="A12951" i="1"/>
  <c r="B12951" i="1"/>
  <c r="A12952" i="1"/>
  <c r="B12952" i="1"/>
  <c r="A12953" i="1"/>
  <c r="B12953" i="1"/>
  <c r="A12954" i="1"/>
  <c r="B12954" i="1"/>
  <c r="A12955" i="1"/>
  <c r="B12955" i="1"/>
  <c r="A12956" i="1"/>
  <c r="B12956" i="1"/>
  <c r="A12957" i="1"/>
  <c r="B12957" i="1"/>
  <c r="A12958" i="1"/>
  <c r="B12958" i="1"/>
  <c r="A12959" i="1"/>
  <c r="B12959" i="1"/>
  <c r="A12960" i="1"/>
  <c r="B12960" i="1"/>
  <c r="A12961" i="1"/>
  <c r="B12961" i="1"/>
  <c r="A12962" i="1"/>
  <c r="B12962" i="1"/>
  <c r="A12963" i="1"/>
  <c r="B12963" i="1"/>
  <c r="A12964" i="1"/>
  <c r="B12964" i="1"/>
  <c r="A12965" i="1"/>
  <c r="B12965" i="1"/>
  <c r="A12966" i="1"/>
  <c r="B12966" i="1"/>
  <c r="A12967" i="1"/>
  <c r="B12967" i="1"/>
  <c r="A12968" i="1"/>
  <c r="B12968" i="1"/>
  <c r="A12969" i="1"/>
  <c r="B12969" i="1"/>
  <c r="A12970" i="1"/>
  <c r="B12970" i="1"/>
  <c r="A12971" i="1"/>
  <c r="B12971" i="1"/>
  <c r="A12972" i="1"/>
  <c r="B12972" i="1"/>
  <c r="A12973" i="1"/>
  <c r="B12973" i="1"/>
  <c r="A12974" i="1"/>
  <c r="B12974" i="1"/>
  <c r="A12975" i="1"/>
  <c r="B12975" i="1"/>
  <c r="A12976" i="1"/>
  <c r="B12976" i="1"/>
  <c r="A12977" i="1"/>
  <c r="B12977" i="1"/>
  <c r="A12978" i="1"/>
  <c r="B12978" i="1"/>
  <c r="A12979" i="1"/>
  <c r="B12979" i="1"/>
  <c r="A12980" i="1"/>
  <c r="B12980" i="1"/>
  <c r="A12981" i="1"/>
  <c r="B12981" i="1"/>
  <c r="A12982" i="1"/>
  <c r="B12982" i="1"/>
  <c r="A12983" i="1"/>
  <c r="B12983" i="1"/>
  <c r="A12984" i="1"/>
  <c r="B12984" i="1"/>
  <c r="A12985" i="1"/>
  <c r="B12985" i="1"/>
  <c r="A12986" i="1"/>
  <c r="B12986" i="1"/>
  <c r="A12987" i="1"/>
  <c r="B12987" i="1"/>
  <c r="A12988" i="1"/>
  <c r="B12988" i="1"/>
  <c r="A12989" i="1"/>
  <c r="B12989" i="1"/>
  <c r="A12990" i="1"/>
  <c r="B12990" i="1"/>
  <c r="A12991" i="1"/>
  <c r="B12991" i="1"/>
  <c r="A12992" i="1"/>
  <c r="B12992" i="1"/>
  <c r="A12993" i="1"/>
  <c r="B12993" i="1"/>
  <c r="A12994" i="1"/>
  <c r="B12994" i="1"/>
  <c r="A12995" i="1"/>
  <c r="B12995" i="1"/>
  <c r="A12996" i="1"/>
  <c r="B12996" i="1"/>
  <c r="A12997" i="1"/>
  <c r="B12997" i="1"/>
  <c r="A12998" i="1"/>
  <c r="B12998" i="1"/>
  <c r="A12999" i="1"/>
  <c r="B12999" i="1"/>
  <c r="A13000" i="1"/>
  <c r="B13000" i="1"/>
  <c r="A13001" i="1"/>
  <c r="B13001" i="1"/>
  <c r="A13002" i="1"/>
  <c r="B13002" i="1"/>
  <c r="A13003" i="1"/>
  <c r="B13003" i="1"/>
  <c r="A13004" i="1"/>
  <c r="B13004" i="1"/>
  <c r="A13005" i="1"/>
  <c r="B13005" i="1"/>
  <c r="A13006" i="1"/>
  <c r="B13006" i="1"/>
  <c r="A13007" i="1"/>
  <c r="B13007" i="1"/>
  <c r="A13008" i="1"/>
  <c r="B13008" i="1"/>
  <c r="A13009" i="1"/>
  <c r="B13009" i="1"/>
  <c r="A13010" i="1"/>
  <c r="B13010" i="1"/>
  <c r="A13011" i="1"/>
  <c r="B13011" i="1"/>
  <c r="A13012" i="1"/>
  <c r="B13012" i="1"/>
  <c r="A13013" i="1"/>
  <c r="B13013" i="1"/>
  <c r="A13014" i="1"/>
  <c r="B13014" i="1"/>
  <c r="A13015" i="1"/>
  <c r="B13015" i="1"/>
  <c r="A13016" i="1"/>
  <c r="B13016" i="1"/>
  <c r="A13017" i="1"/>
  <c r="B13017" i="1"/>
  <c r="A13018" i="1"/>
  <c r="B13018" i="1"/>
  <c r="A13019" i="1"/>
  <c r="B13019" i="1"/>
  <c r="A13020" i="1"/>
  <c r="B13020" i="1"/>
  <c r="A13021" i="1"/>
  <c r="B13021" i="1"/>
  <c r="A13022" i="1"/>
  <c r="B13022" i="1"/>
  <c r="A13023" i="1"/>
  <c r="B13023" i="1"/>
  <c r="A13024" i="1"/>
  <c r="B13024" i="1"/>
  <c r="A13025" i="1"/>
  <c r="B13025" i="1"/>
  <c r="A13026" i="1"/>
  <c r="B13026" i="1"/>
  <c r="A13027" i="1"/>
  <c r="B13027" i="1"/>
  <c r="A13028" i="1"/>
  <c r="B13028" i="1"/>
  <c r="A13029" i="1"/>
  <c r="B13029" i="1"/>
  <c r="A13030" i="1"/>
  <c r="B13030" i="1"/>
  <c r="A13031" i="1"/>
  <c r="B13031" i="1"/>
  <c r="A13032" i="1"/>
  <c r="B13032" i="1"/>
  <c r="A13033" i="1"/>
  <c r="B13033" i="1"/>
  <c r="A13034" i="1"/>
  <c r="B13034" i="1"/>
  <c r="A13035" i="1"/>
  <c r="B13035" i="1"/>
  <c r="A13036" i="1"/>
  <c r="B13036" i="1"/>
  <c r="A13037" i="1"/>
  <c r="B13037" i="1"/>
  <c r="A13038" i="1"/>
  <c r="B13038" i="1"/>
  <c r="A13039" i="1"/>
  <c r="B13039" i="1"/>
  <c r="A13040" i="1"/>
  <c r="B13040" i="1"/>
  <c r="A13041" i="1"/>
  <c r="B13041" i="1"/>
  <c r="A13042" i="1"/>
  <c r="B13042" i="1"/>
  <c r="A13043" i="1"/>
  <c r="B13043" i="1"/>
  <c r="A13044" i="1"/>
  <c r="B13044" i="1"/>
  <c r="A13045" i="1"/>
  <c r="B13045" i="1"/>
  <c r="A13046" i="1"/>
  <c r="B13046" i="1"/>
  <c r="A13047" i="1"/>
  <c r="B13047" i="1"/>
  <c r="A13048" i="1"/>
  <c r="B13048" i="1"/>
  <c r="A13049" i="1"/>
  <c r="B13049" i="1"/>
  <c r="A13050" i="1"/>
  <c r="B13050" i="1"/>
  <c r="A13051" i="1"/>
  <c r="B13051" i="1"/>
  <c r="A13052" i="1"/>
  <c r="B13052" i="1"/>
  <c r="A13053" i="1"/>
  <c r="B13053" i="1"/>
  <c r="A13054" i="1"/>
  <c r="B13054" i="1"/>
  <c r="A13055" i="1"/>
  <c r="B13055" i="1"/>
  <c r="A13056" i="1"/>
  <c r="B13056" i="1"/>
  <c r="A13057" i="1"/>
  <c r="B13057" i="1"/>
  <c r="A13058" i="1"/>
  <c r="B13058" i="1"/>
  <c r="A13059" i="1"/>
  <c r="B13059" i="1"/>
  <c r="A13060" i="1"/>
  <c r="B13060" i="1"/>
  <c r="A13061" i="1"/>
  <c r="B13061" i="1"/>
  <c r="A13062" i="1"/>
  <c r="B13062" i="1"/>
  <c r="A13063" i="1"/>
  <c r="B13063" i="1"/>
  <c r="A13064" i="1"/>
  <c r="B13064" i="1"/>
  <c r="A13065" i="1"/>
  <c r="B13065" i="1"/>
  <c r="A13066" i="1"/>
  <c r="B13066" i="1"/>
  <c r="A13067" i="1"/>
  <c r="B13067" i="1"/>
  <c r="A13068" i="1"/>
  <c r="B13068" i="1"/>
  <c r="A13069" i="1"/>
  <c r="B13069" i="1"/>
  <c r="A13070" i="1"/>
  <c r="B13070" i="1"/>
  <c r="A13071" i="1"/>
  <c r="B13071" i="1"/>
  <c r="A13072" i="1"/>
  <c r="B13072" i="1"/>
  <c r="A13073" i="1"/>
  <c r="B13073" i="1"/>
  <c r="A13074" i="1"/>
  <c r="B13074" i="1"/>
  <c r="A13075" i="1"/>
  <c r="B13075" i="1"/>
  <c r="A13076" i="1"/>
  <c r="B13076" i="1"/>
  <c r="A13077" i="1"/>
  <c r="B13077" i="1"/>
  <c r="A13078" i="1"/>
  <c r="B13078" i="1"/>
  <c r="A13079" i="1"/>
  <c r="B13079" i="1"/>
  <c r="A13080" i="1"/>
  <c r="B13080" i="1"/>
  <c r="A13081" i="1"/>
  <c r="B13081" i="1"/>
  <c r="A13082" i="1"/>
  <c r="B13082" i="1"/>
  <c r="A13083" i="1"/>
  <c r="B13083" i="1"/>
  <c r="A13084" i="1"/>
  <c r="B13084" i="1"/>
  <c r="A13085" i="1"/>
  <c r="B13085" i="1"/>
  <c r="A13086" i="1"/>
  <c r="B13086" i="1"/>
  <c r="A13087" i="1"/>
  <c r="B13087" i="1"/>
  <c r="A13088" i="1"/>
  <c r="B13088" i="1"/>
  <c r="A13089" i="1"/>
  <c r="B13089" i="1"/>
  <c r="A13090" i="1"/>
  <c r="B13090" i="1"/>
  <c r="A13091" i="1"/>
  <c r="B13091" i="1"/>
  <c r="A13092" i="1"/>
  <c r="B13092" i="1"/>
  <c r="A13093" i="1"/>
  <c r="B13093" i="1"/>
  <c r="A13094" i="1"/>
  <c r="B13094" i="1"/>
  <c r="A13095" i="1"/>
  <c r="B13095" i="1"/>
  <c r="A13096" i="1"/>
  <c r="B13096" i="1"/>
  <c r="A13097" i="1"/>
  <c r="B13097" i="1"/>
  <c r="A13098" i="1"/>
  <c r="B13098" i="1"/>
  <c r="A13099" i="1"/>
  <c r="B13099" i="1"/>
  <c r="A13100" i="1"/>
  <c r="B13100" i="1"/>
  <c r="A13101" i="1"/>
  <c r="B13101" i="1"/>
  <c r="A13102" i="1"/>
  <c r="B13102" i="1"/>
  <c r="A13103" i="1"/>
  <c r="B13103" i="1"/>
  <c r="A13104" i="1"/>
  <c r="B13104" i="1"/>
  <c r="A13105" i="1"/>
  <c r="B13105" i="1"/>
  <c r="A13106" i="1"/>
  <c r="B13106" i="1"/>
  <c r="A13107" i="1"/>
  <c r="B13107" i="1"/>
  <c r="A13108" i="1"/>
  <c r="B13108" i="1"/>
  <c r="A13109" i="1"/>
  <c r="B13109" i="1"/>
  <c r="A13110" i="1"/>
  <c r="B13110" i="1"/>
  <c r="A13111" i="1"/>
  <c r="B13111" i="1"/>
  <c r="A13112" i="1"/>
  <c r="B13112" i="1"/>
  <c r="A13113" i="1"/>
  <c r="B13113" i="1"/>
  <c r="A13114" i="1"/>
  <c r="B13114" i="1"/>
  <c r="A13115" i="1"/>
  <c r="A13116" i="1"/>
  <c r="B13116" i="1"/>
  <c r="A13117" i="1"/>
  <c r="B13117" i="1"/>
  <c r="A13118" i="1"/>
  <c r="B13118" i="1"/>
  <c r="A13119" i="1"/>
  <c r="B13119" i="1"/>
  <c r="A13120" i="1"/>
  <c r="B13120" i="1"/>
  <c r="A13121" i="1"/>
  <c r="B13121" i="1"/>
  <c r="A13122" i="1"/>
  <c r="B13122" i="1"/>
  <c r="A13123" i="1"/>
  <c r="B13123" i="1"/>
  <c r="A13124" i="1"/>
  <c r="B13124" i="1"/>
  <c r="A13125" i="1"/>
  <c r="B13125" i="1"/>
  <c r="A13126" i="1"/>
  <c r="B13126" i="1"/>
  <c r="A13127" i="1"/>
  <c r="B13127" i="1"/>
  <c r="A13128" i="1"/>
  <c r="B13128" i="1"/>
  <c r="A13129" i="1"/>
  <c r="B13129" i="1"/>
  <c r="A13130" i="1"/>
  <c r="B13130" i="1"/>
  <c r="A13131" i="1"/>
  <c r="B13131" i="1"/>
  <c r="A13132" i="1"/>
  <c r="B13132" i="1"/>
  <c r="A13133" i="1"/>
  <c r="B13133" i="1"/>
  <c r="A13134" i="1"/>
  <c r="B13134" i="1"/>
  <c r="A13135" i="1"/>
  <c r="B13135" i="1"/>
  <c r="A13136" i="1"/>
  <c r="B13136" i="1"/>
  <c r="A13137" i="1"/>
  <c r="B13137" i="1"/>
  <c r="A13138" i="1"/>
  <c r="B13138" i="1"/>
  <c r="A13139" i="1"/>
  <c r="B13139" i="1"/>
  <c r="A13140" i="1"/>
  <c r="B13140" i="1"/>
  <c r="A13141" i="1"/>
  <c r="B13141" i="1"/>
  <c r="A13142" i="1"/>
  <c r="B13142" i="1"/>
  <c r="A13143" i="1"/>
  <c r="B13143" i="1"/>
  <c r="A13144" i="1"/>
  <c r="B13144" i="1"/>
  <c r="A13145" i="1"/>
  <c r="B13145" i="1"/>
  <c r="A13146" i="1"/>
  <c r="B13146" i="1"/>
  <c r="A13147" i="1"/>
  <c r="B13147" i="1"/>
  <c r="A13148" i="1"/>
  <c r="B13148" i="1"/>
  <c r="A13149" i="1"/>
  <c r="B13149" i="1"/>
  <c r="A13150" i="1"/>
  <c r="B13150" i="1"/>
  <c r="A13151" i="1"/>
  <c r="B13151" i="1"/>
  <c r="A13152" i="1"/>
  <c r="B13152" i="1"/>
  <c r="A13153" i="1"/>
  <c r="B13153" i="1"/>
  <c r="A13154" i="1"/>
  <c r="B13154" i="1"/>
  <c r="A13155" i="1"/>
  <c r="B13155" i="1"/>
  <c r="A13156" i="1"/>
  <c r="B13156" i="1"/>
  <c r="A13157" i="1"/>
  <c r="B13157" i="1"/>
  <c r="A13158" i="1"/>
  <c r="B13158" i="1"/>
  <c r="A13159" i="1"/>
  <c r="B13159" i="1"/>
  <c r="A13160" i="1"/>
  <c r="B13160" i="1"/>
  <c r="A13161" i="1"/>
  <c r="B13161" i="1"/>
  <c r="A13162" i="1"/>
  <c r="B13162" i="1"/>
  <c r="A13163" i="1"/>
  <c r="B13163" i="1"/>
  <c r="A13164" i="1"/>
  <c r="B13164" i="1"/>
  <c r="A13165" i="1"/>
  <c r="B13165" i="1"/>
  <c r="A13166" i="1"/>
  <c r="B13166" i="1"/>
  <c r="A13167" i="1"/>
  <c r="B13167" i="1"/>
  <c r="A13168" i="1"/>
  <c r="B13168" i="1"/>
  <c r="A13169" i="1"/>
  <c r="B13169" i="1"/>
  <c r="A13170" i="1"/>
  <c r="B13170" i="1"/>
  <c r="A13171" i="1"/>
  <c r="B13171" i="1"/>
  <c r="A13172" i="1"/>
  <c r="B13172" i="1"/>
  <c r="A13173" i="1"/>
  <c r="B13173" i="1"/>
  <c r="A13174" i="1"/>
  <c r="B13174" i="1"/>
  <c r="A13175" i="1"/>
  <c r="B13175" i="1"/>
  <c r="A13176" i="1"/>
  <c r="B13176" i="1"/>
  <c r="A13177" i="1"/>
  <c r="B13177" i="1"/>
  <c r="A13178" i="1"/>
  <c r="B13178" i="1"/>
  <c r="A13179" i="1"/>
  <c r="B13179" i="1"/>
  <c r="A13180" i="1"/>
  <c r="B13180" i="1"/>
  <c r="A13181" i="1"/>
  <c r="B13181" i="1"/>
  <c r="A13182" i="1"/>
  <c r="B13182" i="1"/>
  <c r="A13183" i="1"/>
  <c r="B13183" i="1"/>
  <c r="A13184" i="1"/>
  <c r="B13184" i="1"/>
  <c r="A13185" i="1"/>
  <c r="B13185" i="1"/>
  <c r="A13186" i="1"/>
  <c r="B13186" i="1"/>
  <c r="A13187" i="1"/>
  <c r="B13187" i="1"/>
  <c r="A13188" i="1"/>
  <c r="B13188" i="1"/>
  <c r="A13189" i="1"/>
  <c r="B13189" i="1"/>
  <c r="A13190" i="1"/>
  <c r="B13190" i="1"/>
  <c r="A13191" i="1"/>
  <c r="B13191" i="1"/>
  <c r="A13192" i="1"/>
  <c r="B13192" i="1"/>
  <c r="A13193" i="1"/>
  <c r="B13193" i="1"/>
  <c r="A13194" i="1"/>
  <c r="B13194" i="1"/>
  <c r="A13195" i="1"/>
  <c r="B13195" i="1"/>
  <c r="A13196" i="1"/>
  <c r="B13196" i="1"/>
  <c r="A13197" i="1"/>
  <c r="B13197" i="1"/>
  <c r="A13198" i="1"/>
  <c r="B13198" i="1"/>
  <c r="A13199" i="1"/>
  <c r="B13199" i="1"/>
  <c r="A13200" i="1"/>
  <c r="B13200" i="1"/>
  <c r="A13201" i="1"/>
  <c r="B13201" i="1"/>
  <c r="A13202" i="1"/>
  <c r="B13202" i="1"/>
  <c r="A13203" i="1"/>
  <c r="B13203" i="1"/>
  <c r="A13204" i="1"/>
  <c r="B13204" i="1"/>
  <c r="A13205" i="1"/>
  <c r="B13205" i="1"/>
  <c r="A13206" i="1"/>
  <c r="B13206" i="1"/>
  <c r="A13207" i="1"/>
  <c r="B13207" i="1"/>
  <c r="A13208" i="1"/>
  <c r="B13208" i="1"/>
  <c r="A13209" i="1"/>
  <c r="B13209" i="1"/>
  <c r="A13210" i="1"/>
  <c r="B13210" i="1"/>
  <c r="A13211" i="1"/>
  <c r="B13211" i="1"/>
  <c r="A13212" i="1"/>
  <c r="B13212" i="1"/>
  <c r="A13213" i="1"/>
  <c r="B13213" i="1"/>
  <c r="A13214" i="1"/>
  <c r="B13214" i="1"/>
  <c r="A13215" i="1"/>
  <c r="B13215" i="1"/>
  <c r="A13216" i="1"/>
  <c r="B13216" i="1"/>
  <c r="A13217" i="1"/>
  <c r="B13217" i="1"/>
  <c r="A13218" i="1"/>
  <c r="B13218" i="1"/>
  <c r="A13219" i="1"/>
  <c r="B13219" i="1"/>
  <c r="A13220" i="1"/>
  <c r="B13220" i="1"/>
  <c r="A13221" i="1"/>
  <c r="B13221" i="1"/>
  <c r="A13222" i="1"/>
  <c r="B13222" i="1"/>
  <c r="A13223" i="1"/>
  <c r="B13223" i="1"/>
  <c r="A13224" i="1"/>
  <c r="B13224" i="1"/>
  <c r="A13225" i="1"/>
  <c r="B13225" i="1"/>
  <c r="A13226" i="1"/>
  <c r="B13226" i="1"/>
  <c r="A13227" i="1"/>
  <c r="B13227" i="1"/>
  <c r="A13228" i="1"/>
  <c r="B13228" i="1"/>
  <c r="A13229" i="1"/>
  <c r="B13229" i="1"/>
  <c r="A13230" i="1"/>
  <c r="B13230" i="1"/>
  <c r="A13231" i="1"/>
  <c r="B13231" i="1"/>
  <c r="A13232" i="1"/>
  <c r="B13232" i="1"/>
  <c r="A13233" i="1"/>
  <c r="B13233" i="1"/>
  <c r="A13234" i="1"/>
  <c r="B13234" i="1"/>
  <c r="A13235" i="1"/>
  <c r="B13235" i="1"/>
  <c r="A13236" i="1"/>
  <c r="B13236" i="1"/>
  <c r="A13237" i="1"/>
  <c r="B13237" i="1"/>
  <c r="A13238" i="1"/>
  <c r="B13238" i="1"/>
  <c r="A13239" i="1"/>
  <c r="B13239" i="1"/>
  <c r="A13240" i="1"/>
  <c r="B13240" i="1"/>
  <c r="A13241" i="1"/>
  <c r="B13241" i="1"/>
  <c r="A13242" i="1"/>
  <c r="B13242" i="1"/>
  <c r="A13243" i="1"/>
  <c r="B13243" i="1"/>
  <c r="A13244" i="1"/>
  <c r="B13244" i="1"/>
  <c r="A13245" i="1"/>
  <c r="B13245" i="1"/>
  <c r="A13246" i="1"/>
  <c r="B13246" i="1"/>
  <c r="A13247" i="1"/>
  <c r="B13247" i="1"/>
  <c r="A13248" i="1"/>
  <c r="B13248" i="1"/>
  <c r="A13249" i="1"/>
  <c r="B13249" i="1"/>
  <c r="A13250" i="1"/>
  <c r="B13250" i="1"/>
  <c r="A13251" i="1"/>
  <c r="B13251" i="1"/>
  <c r="A13252" i="1"/>
  <c r="B13252" i="1"/>
  <c r="A13253" i="1"/>
  <c r="B13253" i="1"/>
  <c r="A13254" i="1"/>
  <c r="B13254" i="1"/>
  <c r="A13255" i="1"/>
  <c r="B13255" i="1"/>
  <c r="A13256" i="1"/>
  <c r="B13256" i="1"/>
  <c r="A13257" i="1"/>
  <c r="B13257" i="1"/>
  <c r="A13258" i="1"/>
  <c r="B13258" i="1"/>
  <c r="A13259" i="1"/>
  <c r="B13259" i="1"/>
  <c r="A13260" i="1"/>
  <c r="B13260" i="1"/>
  <c r="A13261" i="1"/>
  <c r="B13261" i="1"/>
  <c r="A13262" i="1"/>
  <c r="B13262" i="1"/>
  <c r="A13263" i="1"/>
  <c r="B13263" i="1"/>
  <c r="A13264" i="1"/>
  <c r="B13264" i="1"/>
  <c r="A13265" i="1"/>
  <c r="B13265" i="1"/>
  <c r="A13266" i="1"/>
  <c r="B13266" i="1"/>
  <c r="A13267" i="1"/>
  <c r="B13267" i="1"/>
  <c r="A13268" i="1"/>
  <c r="B13268" i="1"/>
  <c r="A13269" i="1"/>
  <c r="B13269" i="1"/>
  <c r="A13270" i="1"/>
  <c r="B13270" i="1"/>
  <c r="A13271" i="1"/>
  <c r="B13271" i="1"/>
  <c r="A13272" i="1"/>
  <c r="B13272" i="1"/>
  <c r="A13273" i="1"/>
  <c r="B13273" i="1"/>
  <c r="A13274" i="1"/>
  <c r="B13274" i="1"/>
  <c r="A13275" i="1"/>
  <c r="B13275" i="1"/>
  <c r="A13276" i="1"/>
  <c r="B13276" i="1"/>
  <c r="A13277" i="1"/>
  <c r="B13277" i="1"/>
  <c r="A13278" i="1"/>
  <c r="B13278" i="1"/>
  <c r="A13279" i="1"/>
  <c r="B13279" i="1"/>
  <c r="A13280" i="1"/>
  <c r="B13280" i="1"/>
  <c r="A13281" i="1"/>
  <c r="B13281" i="1"/>
  <c r="A13282" i="1"/>
  <c r="B13282" i="1"/>
  <c r="A13283" i="1"/>
  <c r="B13283" i="1"/>
  <c r="A13284" i="1"/>
  <c r="B13284" i="1"/>
  <c r="A13285" i="1"/>
  <c r="B13285" i="1"/>
  <c r="A13286" i="1"/>
  <c r="B13286" i="1"/>
  <c r="A13287" i="1"/>
  <c r="B13287" i="1"/>
  <c r="A13288" i="1"/>
  <c r="B13288" i="1"/>
  <c r="A13289" i="1"/>
  <c r="B13289" i="1"/>
  <c r="A13290" i="1"/>
  <c r="B13290" i="1"/>
  <c r="A13291" i="1"/>
  <c r="B13291" i="1"/>
  <c r="A13292" i="1"/>
  <c r="B13292" i="1"/>
  <c r="A13293" i="1"/>
  <c r="B13293" i="1"/>
  <c r="A13294" i="1"/>
  <c r="B13294" i="1"/>
  <c r="A13295" i="1"/>
  <c r="B13295" i="1"/>
  <c r="A13296" i="1"/>
  <c r="B13296" i="1"/>
  <c r="A13297" i="1"/>
  <c r="B13297" i="1"/>
  <c r="A13298" i="1"/>
  <c r="B13298" i="1"/>
  <c r="A13299" i="1"/>
  <c r="B13299" i="1"/>
  <c r="A13300" i="1"/>
  <c r="B13300" i="1"/>
  <c r="A13301" i="1"/>
  <c r="B13301" i="1"/>
  <c r="A13302" i="1"/>
  <c r="B13302" i="1"/>
  <c r="A13303" i="1"/>
  <c r="B13303" i="1"/>
  <c r="A13304" i="1"/>
  <c r="B13304" i="1"/>
  <c r="A13305" i="1"/>
  <c r="B13305" i="1"/>
  <c r="A13306" i="1"/>
  <c r="B13306" i="1"/>
  <c r="A13307" i="1"/>
  <c r="B13307" i="1"/>
  <c r="A13308" i="1"/>
  <c r="B13308" i="1"/>
  <c r="A13309" i="1"/>
  <c r="B13309" i="1"/>
  <c r="A13310" i="1"/>
  <c r="B13310" i="1"/>
  <c r="A13311" i="1"/>
  <c r="B13311" i="1"/>
  <c r="A13312" i="1"/>
  <c r="B13312" i="1"/>
  <c r="A13313" i="1"/>
  <c r="B13313" i="1"/>
  <c r="A13314" i="1"/>
  <c r="B13314" i="1"/>
  <c r="A13315" i="1"/>
  <c r="B13315" i="1"/>
  <c r="A13316" i="1"/>
  <c r="B13316" i="1"/>
  <c r="A13317" i="1"/>
  <c r="B13317" i="1"/>
  <c r="A13318" i="1"/>
  <c r="B13318" i="1"/>
  <c r="A13319" i="1"/>
  <c r="B13319" i="1"/>
  <c r="A13320" i="1"/>
  <c r="B13320" i="1"/>
  <c r="A13321" i="1"/>
  <c r="B13321" i="1"/>
  <c r="A13322" i="1"/>
  <c r="B13322" i="1"/>
  <c r="A13323" i="1"/>
  <c r="B13323" i="1"/>
  <c r="A13324" i="1"/>
  <c r="B13324" i="1"/>
  <c r="A13325" i="1"/>
  <c r="B13325" i="1"/>
  <c r="A13326" i="1"/>
  <c r="B13326" i="1"/>
  <c r="A13327" i="1"/>
  <c r="B13327" i="1"/>
  <c r="A13328" i="1"/>
  <c r="B13328" i="1"/>
  <c r="A13329" i="1"/>
  <c r="B13329" i="1"/>
  <c r="A13330" i="1"/>
  <c r="B13330" i="1"/>
  <c r="A13331" i="1"/>
  <c r="B13331" i="1"/>
  <c r="A13332" i="1"/>
  <c r="B13332" i="1"/>
  <c r="A13333" i="1"/>
  <c r="B13333" i="1"/>
  <c r="A13334" i="1"/>
  <c r="B13334" i="1"/>
  <c r="A13335" i="1"/>
  <c r="B13335" i="1"/>
  <c r="A13336" i="1"/>
  <c r="B13336" i="1"/>
  <c r="A13337" i="1"/>
  <c r="B13337" i="1"/>
  <c r="A13338" i="1"/>
  <c r="B13338" i="1"/>
  <c r="A13339" i="1"/>
  <c r="B13339" i="1"/>
  <c r="A13340" i="1"/>
  <c r="B13340" i="1"/>
  <c r="A13341" i="1"/>
  <c r="B13341" i="1"/>
  <c r="A13342" i="1"/>
  <c r="B13342" i="1"/>
  <c r="A13343" i="1"/>
  <c r="B13343" i="1"/>
  <c r="A13344" i="1"/>
  <c r="B13344" i="1"/>
  <c r="A13345" i="1"/>
  <c r="B13345" i="1"/>
  <c r="A13346" i="1"/>
  <c r="B13346" i="1"/>
  <c r="A13347" i="1"/>
  <c r="B13347" i="1"/>
  <c r="A13348" i="1"/>
  <c r="B13348" i="1"/>
  <c r="A13349" i="1"/>
  <c r="B13349" i="1"/>
  <c r="A13350" i="1"/>
  <c r="B13350" i="1"/>
  <c r="A13351" i="1"/>
  <c r="B13351" i="1"/>
  <c r="A13352" i="1"/>
  <c r="B13352" i="1"/>
  <c r="A13353" i="1"/>
  <c r="B13353" i="1"/>
  <c r="A13354" i="1"/>
  <c r="B13354" i="1"/>
  <c r="A13355" i="1"/>
  <c r="B13355" i="1"/>
  <c r="A13356" i="1"/>
  <c r="B13356" i="1"/>
  <c r="A13357" i="1"/>
  <c r="B13357" i="1"/>
  <c r="A13358" i="1"/>
  <c r="B13358" i="1"/>
  <c r="A13359" i="1"/>
  <c r="B13359" i="1"/>
  <c r="A13360" i="1"/>
  <c r="B13360" i="1"/>
  <c r="A13361" i="1"/>
  <c r="B13361" i="1"/>
  <c r="A13362" i="1"/>
  <c r="B13362" i="1"/>
  <c r="A13363" i="1"/>
  <c r="B13363" i="1"/>
  <c r="A13364" i="1"/>
  <c r="B13364" i="1"/>
  <c r="A13365" i="1"/>
  <c r="B13365" i="1"/>
  <c r="A13366" i="1"/>
  <c r="B13366" i="1"/>
  <c r="A13367" i="1"/>
  <c r="B13367" i="1"/>
  <c r="A13368" i="1"/>
  <c r="B13368" i="1"/>
  <c r="A13369" i="1"/>
  <c r="B13369" i="1"/>
  <c r="A13370" i="1"/>
  <c r="B13370" i="1"/>
  <c r="A13371" i="1"/>
  <c r="B13371" i="1"/>
  <c r="A13372" i="1"/>
  <c r="B13372" i="1"/>
  <c r="A13373" i="1"/>
  <c r="B13373" i="1"/>
  <c r="A13374" i="1"/>
  <c r="B13374" i="1"/>
  <c r="A13375" i="1"/>
  <c r="B13375" i="1"/>
  <c r="A13376" i="1"/>
  <c r="B13376" i="1"/>
  <c r="A13377" i="1"/>
  <c r="B13377" i="1"/>
  <c r="A13378" i="1"/>
  <c r="B13378" i="1"/>
  <c r="A13379" i="1"/>
  <c r="B13379" i="1"/>
  <c r="A13380" i="1"/>
  <c r="B13380" i="1"/>
  <c r="A13381" i="1"/>
  <c r="B13381" i="1"/>
  <c r="A13382" i="1"/>
  <c r="B13382" i="1"/>
  <c r="A13383" i="1"/>
  <c r="B13383" i="1"/>
  <c r="A13384" i="1"/>
  <c r="B13384" i="1"/>
  <c r="A13385" i="1"/>
  <c r="B13385" i="1"/>
  <c r="A13386" i="1"/>
  <c r="B13386" i="1"/>
  <c r="A13387" i="1"/>
  <c r="B13387" i="1"/>
  <c r="A13388" i="1"/>
  <c r="B13388" i="1"/>
  <c r="A13389" i="1"/>
  <c r="B13389" i="1"/>
  <c r="A13390" i="1"/>
  <c r="B13390" i="1"/>
  <c r="A13391" i="1"/>
  <c r="B13391" i="1"/>
  <c r="A13392" i="1"/>
  <c r="B13392" i="1"/>
  <c r="A13393" i="1"/>
  <c r="B13393" i="1"/>
  <c r="A13394" i="1"/>
  <c r="B13394" i="1"/>
  <c r="A13395" i="1"/>
  <c r="B13395" i="1"/>
  <c r="A13396" i="1"/>
  <c r="B13396" i="1"/>
  <c r="A13397" i="1"/>
  <c r="B13397" i="1"/>
  <c r="A13398" i="1"/>
  <c r="B13398" i="1"/>
  <c r="A13399" i="1"/>
  <c r="B13399" i="1"/>
  <c r="A13400" i="1"/>
  <c r="B13400" i="1"/>
  <c r="A13401" i="1"/>
  <c r="B13401" i="1"/>
  <c r="A13402" i="1"/>
  <c r="B13402" i="1"/>
  <c r="A13403" i="1"/>
  <c r="B13403" i="1"/>
  <c r="A13404" i="1"/>
  <c r="B13404" i="1"/>
  <c r="A13405" i="1"/>
  <c r="B13405" i="1"/>
  <c r="A13406" i="1"/>
  <c r="B13406" i="1"/>
  <c r="A13407" i="1"/>
  <c r="B13407" i="1"/>
  <c r="A13408" i="1"/>
  <c r="B13408" i="1"/>
  <c r="A13409" i="1"/>
  <c r="B13409" i="1"/>
  <c r="A13410" i="1"/>
  <c r="B13410" i="1"/>
  <c r="A13411" i="1"/>
  <c r="B13411" i="1"/>
  <c r="A13412" i="1"/>
  <c r="B13412" i="1"/>
  <c r="A13413" i="1"/>
  <c r="B13413" i="1"/>
  <c r="A13414" i="1"/>
  <c r="B13414" i="1"/>
  <c r="A13415" i="1"/>
  <c r="B13415" i="1"/>
  <c r="A13416" i="1"/>
  <c r="B13416" i="1"/>
  <c r="A13417" i="1"/>
  <c r="B13417" i="1"/>
  <c r="A13418" i="1"/>
  <c r="B13418" i="1"/>
  <c r="A13419" i="1"/>
  <c r="B13419" i="1"/>
  <c r="A13420" i="1"/>
  <c r="B13420" i="1"/>
  <c r="A13421" i="1"/>
  <c r="B13421" i="1"/>
  <c r="A13422" i="1"/>
  <c r="B13422" i="1"/>
  <c r="A13423" i="1"/>
  <c r="B13423" i="1"/>
  <c r="A13424" i="1"/>
  <c r="B13424" i="1"/>
  <c r="A13425" i="1"/>
  <c r="B13425" i="1"/>
  <c r="A13426" i="1"/>
  <c r="B13426" i="1"/>
  <c r="A13427" i="1"/>
  <c r="B13427" i="1"/>
  <c r="A13428" i="1"/>
  <c r="B13428" i="1"/>
  <c r="A13429" i="1"/>
  <c r="B13429" i="1"/>
  <c r="A13430" i="1"/>
  <c r="B13430" i="1"/>
  <c r="A13431" i="1"/>
  <c r="B13431" i="1"/>
  <c r="A13432" i="1"/>
  <c r="B13432" i="1"/>
  <c r="A13433" i="1"/>
  <c r="B13433" i="1"/>
  <c r="A13434" i="1"/>
  <c r="B13434" i="1"/>
  <c r="A13435" i="1"/>
  <c r="B13435" i="1"/>
  <c r="A13436" i="1"/>
  <c r="B13436" i="1"/>
  <c r="A13437" i="1"/>
  <c r="B13437" i="1"/>
  <c r="A13438" i="1"/>
  <c r="B13438" i="1"/>
  <c r="A13439" i="1"/>
  <c r="B13439" i="1"/>
  <c r="A13440" i="1"/>
  <c r="B13440" i="1"/>
  <c r="A13441" i="1"/>
  <c r="B13441" i="1"/>
  <c r="A13442" i="1"/>
  <c r="B13442" i="1"/>
  <c r="A13443" i="1"/>
  <c r="B13443" i="1"/>
  <c r="A13444" i="1"/>
  <c r="B13444" i="1"/>
  <c r="A13445" i="1"/>
  <c r="B13445" i="1"/>
  <c r="A13446" i="1"/>
  <c r="B13446" i="1"/>
  <c r="A13447" i="1"/>
  <c r="B13447" i="1"/>
  <c r="A13448" i="1"/>
  <c r="B13448" i="1"/>
  <c r="A13449" i="1"/>
  <c r="B13449" i="1"/>
  <c r="A13450" i="1"/>
  <c r="B13450" i="1"/>
  <c r="A13451" i="1"/>
  <c r="B13451" i="1"/>
  <c r="A13452" i="1"/>
  <c r="B13452" i="1"/>
  <c r="A13453" i="1"/>
  <c r="B13453" i="1"/>
  <c r="A13454" i="1"/>
  <c r="B13454" i="1"/>
  <c r="A13455" i="1"/>
  <c r="B13455" i="1"/>
  <c r="A13456" i="1"/>
  <c r="B13456" i="1"/>
  <c r="A13457" i="1"/>
  <c r="B13457" i="1"/>
  <c r="A13458" i="1"/>
  <c r="B13458" i="1"/>
  <c r="A13459" i="1"/>
  <c r="B13459" i="1"/>
  <c r="A13460" i="1"/>
  <c r="B13460" i="1"/>
  <c r="A13461" i="1"/>
  <c r="B13461" i="1"/>
  <c r="A13462" i="1"/>
  <c r="B13462" i="1"/>
  <c r="A13463" i="1"/>
  <c r="B13463" i="1"/>
  <c r="A13464" i="1"/>
  <c r="B13464" i="1"/>
  <c r="A13465" i="1"/>
  <c r="B13465" i="1"/>
  <c r="A13466" i="1"/>
  <c r="B13466" i="1"/>
  <c r="A13467" i="1"/>
  <c r="B13467" i="1"/>
  <c r="A13468" i="1"/>
  <c r="B13468" i="1"/>
  <c r="A13469" i="1"/>
  <c r="B13469" i="1"/>
  <c r="A13470" i="1"/>
  <c r="B13470" i="1"/>
  <c r="A13471" i="1"/>
  <c r="B13471" i="1"/>
  <c r="A13472" i="1"/>
  <c r="B13472" i="1"/>
  <c r="A13473" i="1"/>
  <c r="B13473" i="1"/>
  <c r="A13474" i="1"/>
  <c r="B13474" i="1"/>
  <c r="A13475" i="1"/>
  <c r="B13475" i="1"/>
  <c r="A13476" i="1"/>
  <c r="B13476" i="1"/>
  <c r="A13477" i="1"/>
  <c r="B13477" i="1"/>
  <c r="A13478" i="1"/>
  <c r="B13478" i="1"/>
  <c r="A13479" i="1"/>
  <c r="B13479" i="1"/>
  <c r="A13480" i="1"/>
  <c r="B13480" i="1"/>
  <c r="A13481" i="1"/>
  <c r="B13481" i="1"/>
  <c r="A13482" i="1"/>
  <c r="B13482" i="1"/>
  <c r="A13483" i="1"/>
  <c r="B13483" i="1"/>
  <c r="A13484" i="1"/>
  <c r="B13484" i="1"/>
  <c r="A13485" i="1"/>
  <c r="B13485" i="1"/>
  <c r="A13486" i="1"/>
  <c r="B13486" i="1"/>
  <c r="A13487" i="1"/>
  <c r="B13487" i="1"/>
  <c r="A13488" i="1"/>
  <c r="B13488" i="1"/>
  <c r="A13489" i="1"/>
  <c r="B13489" i="1"/>
  <c r="A13490" i="1"/>
  <c r="B13490" i="1"/>
  <c r="A13491" i="1"/>
  <c r="B13491" i="1"/>
  <c r="A13492" i="1"/>
  <c r="B13492" i="1"/>
  <c r="A13493" i="1"/>
  <c r="B13493" i="1"/>
  <c r="A13494" i="1"/>
  <c r="B13494" i="1"/>
  <c r="A13495" i="1"/>
  <c r="B13495" i="1"/>
  <c r="A13496" i="1"/>
  <c r="B13496" i="1"/>
  <c r="A13497" i="1"/>
  <c r="B13497" i="1"/>
  <c r="A13498" i="1"/>
  <c r="B13498" i="1"/>
  <c r="A13499" i="1"/>
  <c r="B13499" i="1"/>
  <c r="A13500" i="1"/>
  <c r="B13500" i="1"/>
  <c r="A13501" i="1"/>
  <c r="B13501" i="1"/>
  <c r="A13502" i="1"/>
  <c r="B13502" i="1"/>
  <c r="A13503" i="1"/>
  <c r="B13503" i="1"/>
  <c r="A13504" i="1"/>
  <c r="B13504" i="1"/>
  <c r="A13505" i="1"/>
  <c r="B13505" i="1"/>
  <c r="A13506" i="1"/>
  <c r="B13506" i="1"/>
  <c r="A13507" i="1"/>
  <c r="B13507" i="1"/>
  <c r="A13508" i="1"/>
  <c r="B13508" i="1"/>
  <c r="A13509" i="1"/>
  <c r="B13509" i="1"/>
  <c r="A13510" i="1"/>
  <c r="B13510" i="1"/>
  <c r="A13511" i="1"/>
  <c r="B13511" i="1"/>
  <c r="A13512" i="1"/>
  <c r="B13512" i="1"/>
  <c r="A13513" i="1"/>
  <c r="B13513" i="1"/>
  <c r="A13514" i="1"/>
  <c r="B13514" i="1"/>
  <c r="A13515" i="1"/>
  <c r="B13515" i="1"/>
  <c r="A13516" i="1"/>
  <c r="B13516" i="1"/>
  <c r="A13517" i="1"/>
  <c r="B13517" i="1"/>
  <c r="A13518" i="1"/>
  <c r="B13518" i="1"/>
  <c r="A13519" i="1"/>
  <c r="B13519" i="1"/>
  <c r="A13520" i="1"/>
  <c r="B13520" i="1"/>
  <c r="A13521" i="1"/>
  <c r="B13521" i="1"/>
  <c r="A13522" i="1"/>
  <c r="B13522" i="1"/>
  <c r="A13523" i="1"/>
  <c r="B13523" i="1"/>
  <c r="A13524" i="1"/>
  <c r="B13524" i="1"/>
  <c r="A13525" i="1"/>
  <c r="B13525" i="1"/>
  <c r="A13526" i="1"/>
  <c r="B13526" i="1"/>
  <c r="A13527" i="1"/>
  <c r="B13527" i="1"/>
  <c r="A13528" i="1"/>
  <c r="B13528" i="1"/>
  <c r="A13529" i="1"/>
  <c r="B13529" i="1"/>
  <c r="A13530" i="1"/>
  <c r="B13530" i="1"/>
  <c r="A13531" i="1"/>
  <c r="B13531" i="1"/>
  <c r="A13532" i="1"/>
  <c r="B13532" i="1"/>
  <c r="A13533" i="1"/>
  <c r="B13533" i="1"/>
  <c r="A13534" i="1"/>
  <c r="B13534" i="1"/>
  <c r="A13535" i="1"/>
  <c r="B13535" i="1"/>
  <c r="A13536" i="1"/>
  <c r="B13536" i="1"/>
  <c r="A13537" i="1"/>
  <c r="B13537" i="1"/>
  <c r="A13538" i="1"/>
  <c r="B13538" i="1"/>
  <c r="A13539" i="1"/>
  <c r="B13539" i="1"/>
  <c r="A13540" i="1"/>
  <c r="B13540" i="1"/>
  <c r="A13541" i="1"/>
  <c r="B13541" i="1"/>
  <c r="A13542" i="1"/>
  <c r="B13542" i="1"/>
  <c r="A13543" i="1"/>
  <c r="B13543" i="1"/>
  <c r="A13544" i="1"/>
  <c r="B13544" i="1"/>
  <c r="A13545" i="1"/>
  <c r="B13545" i="1"/>
  <c r="A13546" i="1"/>
  <c r="B13546" i="1"/>
  <c r="A13547" i="1"/>
  <c r="B13547" i="1"/>
  <c r="A13548" i="1"/>
  <c r="B13548" i="1"/>
  <c r="A13549" i="1"/>
  <c r="B13549" i="1"/>
  <c r="A13550" i="1"/>
  <c r="B13550" i="1"/>
  <c r="A13551" i="1"/>
  <c r="B13551" i="1"/>
  <c r="A13552" i="1"/>
  <c r="B13552" i="1"/>
  <c r="A13553" i="1"/>
  <c r="B13553" i="1"/>
  <c r="A13554" i="1"/>
  <c r="B13554" i="1"/>
  <c r="A13555" i="1"/>
  <c r="B13555" i="1"/>
  <c r="A13556" i="1"/>
  <c r="B13556" i="1"/>
  <c r="A13557" i="1"/>
  <c r="B13557" i="1"/>
  <c r="A13558" i="1"/>
  <c r="B13558" i="1"/>
  <c r="A13559" i="1"/>
  <c r="B13559" i="1"/>
  <c r="A13560" i="1"/>
  <c r="B13560" i="1"/>
  <c r="A13561" i="1"/>
  <c r="B13561" i="1"/>
  <c r="A13562" i="1"/>
  <c r="B13562" i="1"/>
  <c r="A13563" i="1"/>
  <c r="B13563" i="1"/>
  <c r="A13564" i="1"/>
  <c r="B13564" i="1"/>
  <c r="A13565" i="1"/>
  <c r="B13565" i="1"/>
  <c r="A13566" i="1"/>
  <c r="B13566" i="1"/>
  <c r="A13567" i="1"/>
  <c r="B13567" i="1"/>
  <c r="A13568" i="1"/>
  <c r="B13568" i="1"/>
  <c r="A13569" i="1"/>
  <c r="B13569" i="1"/>
  <c r="A13570" i="1"/>
  <c r="B13570" i="1"/>
  <c r="A13571" i="1"/>
  <c r="B13571" i="1"/>
  <c r="A13572" i="1"/>
  <c r="B13572" i="1"/>
  <c r="A13573" i="1"/>
  <c r="B13573" i="1"/>
  <c r="A13574" i="1"/>
  <c r="B13574" i="1"/>
  <c r="A13575" i="1"/>
  <c r="B13575" i="1"/>
  <c r="A13576" i="1"/>
  <c r="B13576" i="1"/>
  <c r="A13577" i="1"/>
  <c r="B13577" i="1"/>
  <c r="A13578" i="1"/>
  <c r="B13578" i="1"/>
  <c r="A13579" i="1"/>
  <c r="B13579" i="1"/>
  <c r="A13580" i="1"/>
  <c r="B13580" i="1"/>
  <c r="A13581" i="1"/>
  <c r="B13581" i="1"/>
  <c r="A13582" i="1"/>
  <c r="B13582" i="1"/>
  <c r="A13583" i="1"/>
  <c r="B13583" i="1"/>
  <c r="A13584" i="1"/>
  <c r="B13584" i="1"/>
  <c r="A13585" i="1"/>
  <c r="B13585" i="1"/>
  <c r="A13586" i="1"/>
  <c r="B13586" i="1"/>
  <c r="A13587" i="1"/>
  <c r="B13587" i="1"/>
  <c r="A13588" i="1"/>
  <c r="B13588" i="1"/>
  <c r="A13589" i="1"/>
  <c r="B13589" i="1"/>
  <c r="A13590" i="1"/>
  <c r="B13590" i="1"/>
  <c r="A13591" i="1"/>
  <c r="B13591" i="1"/>
  <c r="A13592" i="1"/>
  <c r="B13592" i="1"/>
  <c r="A13593" i="1"/>
  <c r="B13593" i="1"/>
  <c r="A13594" i="1"/>
  <c r="B13594" i="1"/>
  <c r="A13595" i="1"/>
  <c r="B13595" i="1"/>
  <c r="A13596" i="1"/>
  <c r="B13596" i="1"/>
  <c r="A13597" i="1"/>
  <c r="B13597" i="1"/>
  <c r="A13598" i="1"/>
  <c r="B13598" i="1"/>
  <c r="A13599" i="1"/>
  <c r="B13599" i="1"/>
  <c r="A13600" i="1"/>
  <c r="B13600" i="1"/>
  <c r="A13601" i="1"/>
  <c r="B13601" i="1"/>
  <c r="A13602" i="1"/>
  <c r="B13602" i="1"/>
  <c r="A13603" i="1"/>
  <c r="B13603" i="1"/>
  <c r="A13604" i="1"/>
  <c r="B13604" i="1"/>
  <c r="A13605" i="1"/>
  <c r="B13605" i="1"/>
  <c r="A13606" i="1"/>
  <c r="B13606" i="1"/>
  <c r="A13607" i="1"/>
  <c r="B13607" i="1"/>
  <c r="A13608" i="1"/>
  <c r="B13608" i="1"/>
  <c r="A13609" i="1"/>
  <c r="B13609" i="1"/>
  <c r="A13610" i="1"/>
  <c r="B13610" i="1"/>
  <c r="A13611" i="1"/>
  <c r="B13611" i="1"/>
  <c r="A13612" i="1"/>
  <c r="B13612" i="1"/>
  <c r="A13613" i="1"/>
  <c r="B13613" i="1"/>
  <c r="A13614" i="1"/>
  <c r="B13614" i="1"/>
  <c r="A13615" i="1"/>
  <c r="B13615" i="1"/>
  <c r="A13616" i="1"/>
  <c r="B13616" i="1"/>
  <c r="A13617" i="1"/>
  <c r="B13617" i="1"/>
  <c r="A13618" i="1"/>
  <c r="B13618" i="1"/>
  <c r="A13619" i="1"/>
  <c r="B13619" i="1"/>
  <c r="A13620" i="1"/>
  <c r="B13620" i="1"/>
  <c r="A13621" i="1"/>
  <c r="B13621" i="1"/>
  <c r="A13622" i="1"/>
  <c r="B13622" i="1"/>
  <c r="A13623" i="1"/>
  <c r="B13623" i="1"/>
  <c r="A13624" i="1"/>
  <c r="B13624" i="1"/>
  <c r="A13625" i="1"/>
  <c r="B13625" i="1"/>
  <c r="A13626" i="1"/>
  <c r="B13626" i="1"/>
  <c r="A13627" i="1"/>
  <c r="B13627" i="1"/>
  <c r="A13628" i="1"/>
  <c r="B13628" i="1"/>
  <c r="A13629" i="1"/>
  <c r="B13629" i="1"/>
  <c r="A13630" i="1"/>
  <c r="B13630" i="1"/>
  <c r="A13631" i="1"/>
  <c r="B13631" i="1"/>
  <c r="A13632" i="1"/>
  <c r="B13632" i="1"/>
  <c r="A13633" i="1"/>
  <c r="B13633" i="1"/>
  <c r="A13634" i="1"/>
  <c r="B13634" i="1"/>
  <c r="A13635" i="1"/>
  <c r="B13635" i="1"/>
  <c r="A13636" i="1"/>
  <c r="B13636" i="1"/>
  <c r="A13637" i="1"/>
  <c r="B13637" i="1"/>
  <c r="A13638" i="1"/>
  <c r="B13638" i="1"/>
  <c r="A13639" i="1"/>
  <c r="B13639" i="1"/>
  <c r="A13640" i="1"/>
  <c r="B13640" i="1"/>
  <c r="A13641" i="1"/>
  <c r="B13641" i="1"/>
  <c r="A13642" i="1"/>
  <c r="B13642" i="1"/>
  <c r="A13643" i="1"/>
  <c r="B13643" i="1"/>
  <c r="A13644" i="1"/>
  <c r="B13644" i="1"/>
  <c r="A13645" i="1"/>
  <c r="B13645" i="1"/>
  <c r="A13646" i="1"/>
  <c r="B13646" i="1"/>
  <c r="A13647" i="1"/>
  <c r="B13647" i="1"/>
  <c r="A13648" i="1"/>
  <c r="B13648" i="1"/>
  <c r="A13649" i="1"/>
  <c r="B13649" i="1"/>
  <c r="A13650" i="1"/>
  <c r="B13650" i="1"/>
  <c r="A13651" i="1"/>
  <c r="B13651" i="1"/>
  <c r="A13652" i="1"/>
  <c r="B13652" i="1"/>
  <c r="A13653" i="1"/>
  <c r="B13653" i="1"/>
  <c r="A13654" i="1"/>
  <c r="B13654" i="1"/>
  <c r="A13655" i="1"/>
  <c r="B13655" i="1"/>
  <c r="A13656" i="1"/>
  <c r="B13656" i="1"/>
  <c r="A13657" i="1"/>
  <c r="B13657" i="1"/>
  <c r="A13658" i="1"/>
  <c r="B13658" i="1"/>
  <c r="A13659" i="1"/>
  <c r="B13659" i="1"/>
  <c r="A13660" i="1"/>
  <c r="B13660" i="1"/>
  <c r="A13661" i="1"/>
  <c r="B13661" i="1"/>
  <c r="A13662" i="1"/>
  <c r="B13662" i="1"/>
  <c r="A13663" i="1"/>
  <c r="B13663" i="1"/>
  <c r="A13664" i="1"/>
  <c r="B13664" i="1"/>
  <c r="A13665" i="1"/>
  <c r="B13665" i="1"/>
  <c r="A13666" i="1"/>
  <c r="B13666" i="1"/>
  <c r="A13667" i="1"/>
  <c r="B13667" i="1"/>
  <c r="A13668" i="1"/>
  <c r="B13668" i="1"/>
  <c r="A13669" i="1"/>
  <c r="B13669" i="1"/>
  <c r="A13670" i="1"/>
  <c r="B13670" i="1"/>
  <c r="A13671" i="1"/>
  <c r="B13671" i="1"/>
  <c r="A13672" i="1"/>
  <c r="B13672" i="1"/>
  <c r="A13673" i="1"/>
  <c r="B13673" i="1"/>
  <c r="A13674" i="1"/>
  <c r="B13674" i="1"/>
  <c r="A13675" i="1"/>
  <c r="B13675" i="1"/>
  <c r="A13676" i="1"/>
  <c r="B13676" i="1"/>
  <c r="A13677" i="1"/>
  <c r="B13677" i="1"/>
  <c r="A13678" i="1"/>
  <c r="B13678" i="1"/>
  <c r="A13679" i="1"/>
  <c r="B13679" i="1"/>
  <c r="A13680" i="1"/>
  <c r="B13680" i="1"/>
  <c r="A13681" i="1"/>
  <c r="B13681" i="1"/>
  <c r="A13682" i="1"/>
  <c r="B13682" i="1"/>
  <c r="A13683" i="1"/>
  <c r="B13683" i="1"/>
  <c r="A13684" i="1"/>
  <c r="B13684" i="1"/>
  <c r="A13685" i="1"/>
  <c r="B13685" i="1"/>
  <c r="A13686" i="1"/>
  <c r="B13686" i="1"/>
  <c r="A13687" i="1"/>
  <c r="B13687" i="1"/>
  <c r="A13688" i="1"/>
  <c r="B13688" i="1"/>
  <c r="A13689" i="1"/>
  <c r="B13689" i="1"/>
  <c r="A13690" i="1"/>
  <c r="B13690" i="1"/>
  <c r="A13691" i="1"/>
  <c r="B13691" i="1"/>
  <c r="A13692" i="1"/>
  <c r="B13692" i="1"/>
  <c r="A13693" i="1"/>
  <c r="B13693" i="1"/>
  <c r="A13694" i="1"/>
  <c r="B13694" i="1"/>
  <c r="A13695" i="1"/>
  <c r="B13695" i="1"/>
  <c r="A13696" i="1"/>
  <c r="B13696" i="1"/>
  <c r="A13697" i="1"/>
  <c r="B13697" i="1"/>
  <c r="A13698" i="1"/>
  <c r="B13698" i="1"/>
  <c r="A13699" i="1"/>
  <c r="B13699" i="1"/>
  <c r="A13700" i="1"/>
  <c r="B13700" i="1"/>
  <c r="A13701" i="1"/>
  <c r="B13701" i="1"/>
  <c r="A13702" i="1"/>
  <c r="B13702" i="1"/>
  <c r="A13703" i="1"/>
  <c r="B13703" i="1"/>
  <c r="A13704" i="1"/>
  <c r="B13704" i="1"/>
  <c r="A13705" i="1"/>
  <c r="B13705" i="1"/>
  <c r="A13706" i="1"/>
  <c r="B13706" i="1"/>
  <c r="A13707" i="1"/>
  <c r="B13707" i="1"/>
  <c r="A13708" i="1"/>
  <c r="B13708" i="1"/>
  <c r="A13709" i="1"/>
  <c r="B13709" i="1"/>
  <c r="A13710" i="1"/>
  <c r="B13710" i="1"/>
  <c r="A13711" i="1"/>
  <c r="B13711" i="1"/>
  <c r="A13712" i="1"/>
  <c r="B13712" i="1"/>
  <c r="A13713" i="1"/>
  <c r="B13713" i="1"/>
  <c r="A13714" i="1"/>
  <c r="B13714" i="1"/>
  <c r="A13715" i="1"/>
  <c r="B13715" i="1"/>
  <c r="A13716" i="1"/>
  <c r="B13716" i="1"/>
  <c r="A13717" i="1"/>
  <c r="B13717" i="1"/>
  <c r="A13718" i="1"/>
  <c r="B13718" i="1"/>
  <c r="A13719" i="1"/>
  <c r="B13719" i="1"/>
  <c r="A13720" i="1"/>
  <c r="B13720" i="1"/>
  <c r="A13721" i="1"/>
  <c r="B13721" i="1"/>
  <c r="A13722" i="1"/>
  <c r="B13722" i="1"/>
  <c r="A13723" i="1"/>
  <c r="B13723" i="1"/>
  <c r="A13724" i="1"/>
  <c r="B13724" i="1"/>
  <c r="A13725" i="1"/>
  <c r="B13725" i="1"/>
  <c r="A13726" i="1"/>
  <c r="B13726" i="1"/>
  <c r="A13727" i="1"/>
  <c r="B13727" i="1"/>
  <c r="A13728" i="1"/>
  <c r="B13728" i="1"/>
  <c r="A13729" i="1"/>
  <c r="B13729" i="1"/>
  <c r="A13730" i="1"/>
  <c r="B13730" i="1"/>
  <c r="A13731" i="1"/>
  <c r="B13731" i="1"/>
  <c r="A13732" i="1"/>
  <c r="B13732" i="1"/>
  <c r="A13733" i="1"/>
  <c r="B13733" i="1"/>
  <c r="A13734" i="1"/>
  <c r="B13734" i="1"/>
  <c r="A13735" i="1"/>
  <c r="B13735" i="1"/>
  <c r="A13736" i="1"/>
  <c r="B13736" i="1"/>
  <c r="A13737" i="1"/>
  <c r="B13737" i="1"/>
  <c r="A13738" i="1"/>
  <c r="B13738" i="1"/>
  <c r="A13739" i="1"/>
  <c r="B13739" i="1"/>
  <c r="A13740" i="1"/>
  <c r="B13740" i="1"/>
  <c r="A13741" i="1"/>
  <c r="B13741" i="1"/>
  <c r="A13742" i="1"/>
  <c r="B13742" i="1"/>
  <c r="A13743" i="1"/>
  <c r="B13743" i="1"/>
  <c r="A13744" i="1"/>
  <c r="B13744" i="1"/>
  <c r="A13745" i="1"/>
  <c r="B13745" i="1"/>
  <c r="A13746" i="1"/>
  <c r="B13746" i="1"/>
  <c r="A13747" i="1"/>
  <c r="B13747" i="1"/>
  <c r="A13748" i="1"/>
  <c r="B13748" i="1"/>
  <c r="A13749" i="1"/>
  <c r="B13749" i="1"/>
  <c r="A13750" i="1"/>
  <c r="B13750" i="1"/>
  <c r="A13751" i="1"/>
  <c r="B13751" i="1"/>
  <c r="A13752" i="1"/>
  <c r="B13752" i="1"/>
  <c r="A13753" i="1"/>
  <c r="B13753" i="1"/>
  <c r="A13754" i="1"/>
  <c r="B13754" i="1"/>
  <c r="A13755" i="1"/>
  <c r="B13755" i="1"/>
  <c r="A13756" i="1"/>
  <c r="B13756" i="1"/>
  <c r="A13757" i="1"/>
  <c r="B13757" i="1"/>
  <c r="A13758" i="1"/>
  <c r="B13758" i="1"/>
  <c r="A13759" i="1"/>
  <c r="B13759" i="1"/>
  <c r="A13760" i="1"/>
  <c r="B13760" i="1"/>
  <c r="A13761" i="1"/>
  <c r="B13761" i="1"/>
  <c r="A13762" i="1"/>
  <c r="B13762" i="1"/>
  <c r="A13763" i="1"/>
  <c r="B13763" i="1"/>
  <c r="A13764" i="1"/>
  <c r="B13764" i="1"/>
  <c r="A13765" i="1"/>
  <c r="B13765" i="1"/>
  <c r="A13766" i="1"/>
  <c r="B13766" i="1"/>
  <c r="A13767" i="1"/>
  <c r="B13767" i="1"/>
  <c r="A13768" i="1"/>
  <c r="B13768" i="1"/>
  <c r="A13769" i="1"/>
  <c r="B13769" i="1"/>
  <c r="A13770" i="1"/>
  <c r="B13770" i="1"/>
  <c r="A13771" i="1"/>
  <c r="B13771" i="1"/>
  <c r="A13772" i="1"/>
  <c r="B13772" i="1"/>
  <c r="A13773" i="1"/>
  <c r="B13773" i="1"/>
  <c r="A13774" i="1"/>
  <c r="B13774" i="1"/>
  <c r="A13775" i="1"/>
  <c r="B13775" i="1"/>
  <c r="A13776" i="1"/>
  <c r="B13776" i="1"/>
  <c r="A13777" i="1"/>
  <c r="B13777" i="1"/>
  <c r="A13778" i="1"/>
  <c r="B13778" i="1"/>
  <c r="A13779" i="1"/>
  <c r="B13779" i="1"/>
  <c r="A13780" i="1"/>
  <c r="B13780" i="1"/>
  <c r="A13781" i="1"/>
  <c r="B13781" i="1"/>
  <c r="A13782" i="1"/>
  <c r="B13782" i="1"/>
  <c r="A13783" i="1"/>
  <c r="B13783" i="1"/>
  <c r="A13784" i="1"/>
  <c r="B13784" i="1"/>
  <c r="A13785" i="1"/>
  <c r="B13785" i="1"/>
  <c r="A13786" i="1"/>
  <c r="B13786" i="1"/>
  <c r="A13787" i="1"/>
  <c r="B13787" i="1"/>
  <c r="A13788" i="1"/>
  <c r="B13788" i="1"/>
  <c r="A13789" i="1"/>
  <c r="B13789" i="1"/>
  <c r="A13790" i="1"/>
  <c r="B13790" i="1"/>
  <c r="A13791" i="1"/>
  <c r="B13791" i="1"/>
  <c r="A13792" i="1"/>
  <c r="B13792" i="1"/>
  <c r="A13793" i="1"/>
  <c r="B13793" i="1"/>
  <c r="A13794" i="1"/>
  <c r="B13794" i="1"/>
  <c r="A13795" i="1"/>
  <c r="B13795" i="1"/>
  <c r="A13796" i="1"/>
  <c r="B13796" i="1"/>
  <c r="A13797" i="1"/>
  <c r="B13797" i="1"/>
  <c r="A13798" i="1"/>
  <c r="B13798" i="1"/>
  <c r="A13799" i="1"/>
  <c r="B13799" i="1"/>
  <c r="A13800" i="1"/>
  <c r="B13800" i="1"/>
  <c r="A13801" i="1"/>
  <c r="B13801" i="1"/>
  <c r="A13802" i="1"/>
  <c r="B13802" i="1"/>
  <c r="A13803" i="1"/>
  <c r="B13803" i="1"/>
  <c r="A13804" i="1"/>
  <c r="B13804" i="1"/>
  <c r="A13805" i="1"/>
  <c r="B13805" i="1"/>
  <c r="A13806" i="1"/>
  <c r="B13806" i="1"/>
  <c r="A13807" i="1"/>
  <c r="B13807" i="1"/>
  <c r="A13808" i="1"/>
  <c r="B13808" i="1"/>
  <c r="A13809" i="1"/>
  <c r="B13809" i="1"/>
  <c r="A13810" i="1"/>
  <c r="B13810" i="1"/>
  <c r="A13811" i="1"/>
  <c r="B13811" i="1"/>
  <c r="A13812" i="1"/>
  <c r="B13812" i="1"/>
  <c r="A13813" i="1"/>
  <c r="B13813" i="1"/>
  <c r="A13814" i="1"/>
  <c r="B13814" i="1"/>
  <c r="A13815" i="1"/>
  <c r="B13815" i="1"/>
  <c r="A13816" i="1"/>
  <c r="B13816" i="1"/>
  <c r="A13817" i="1"/>
  <c r="B13817" i="1"/>
  <c r="A13818" i="1"/>
  <c r="B13818" i="1"/>
  <c r="A13819" i="1"/>
  <c r="B13819" i="1"/>
  <c r="A13820" i="1"/>
  <c r="B13820" i="1"/>
  <c r="A13821" i="1"/>
  <c r="B13821" i="1"/>
  <c r="A13822" i="1"/>
  <c r="B13822" i="1"/>
  <c r="A13823" i="1"/>
  <c r="B13823" i="1"/>
  <c r="A13824" i="1"/>
  <c r="B13824" i="1"/>
  <c r="A13825" i="1"/>
  <c r="B13825" i="1"/>
  <c r="A13826" i="1"/>
  <c r="B13826" i="1"/>
  <c r="A13827" i="1"/>
  <c r="B13827" i="1"/>
  <c r="A13828" i="1"/>
  <c r="B13828" i="1"/>
  <c r="A13829" i="1"/>
  <c r="B13829" i="1"/>
  <c r="A13830" i="1"/>
  <c r="B13830" i="1"/>
  <c r="A13831" i="1"/>
  <c r="B13831" i="1"/>
  <c r="A13832" i="1"/>
  <c r="B13832" i="1"/>
  <c r="A13833" i="1"/>
  <c r="B13833" i="1"/>
  <c r="A13834" i="1"/>
  <c r="B13834" i="1"/>
  <c r="A13835" i="1"/>
  <c r="B13835" i="1"/>
  <c r="A13836" i="1"/>
  <c r="B13836" i="1"/>
  <c r="A13837" i="1"/>
  <c r="B13837" i="1"/>
  <c r="A13838" i="1"/>
  <c r="B13838" i="1"/>
  <c r="A13839" i="1"/>
  <c r="B13839" i="1"/>
  <c r="A13840" i="1"/>
  <c r="B13840" i="1"/>
  <c r="A13841" i="1"/>
  <c r="B13841" i="1"/>
  <c r="A13842" i="1"/>
  <c r="B13842" i="1"/>
  <c r="A13843" i="1"/>
  <c r="B13843" i="1"/>
  <c r="A13844" i="1"/>
  <c r="B13844" i="1"/>
  <c r="A13845" i="1"/>
  <c r="B13845" i="1"/>
  <c r="A13846" i="1"/>
  <c r="B13846" i="1"/>
  <c r="A13847" i="1"/>
  <c r="B13847" i="1"/>
  <c r="A13848" i="1"/>
  <c r="B13848" i="1"/>
  <c r="A13849" i="1"/>
  <c r="B13849" i="1"/>
  <c r="A13850" i="1"/>
  <c r="B13850" i="1"/>
  <c r="A13851" i="1"/>
  <c r="B13851" i="1"/>
  <c r="A13852" i="1"/>
  <c r="B13852" i="1"/>
  <c r="A13853" i="1"/>
  <c r="B13853" i="1"/>
  <c r="A13854" i="1"/>
  <c r="B13854" i="1"/>
  <c r="A13855" i="1"/>
  <c r="B13855" i="1"/>
  <c r="A13856" i="1"/>
  <c r="B13856" i="1"/>
  <c r="A13857" i="1"/>
  <c r="B13857" i="1"/>
  <c r="A13858" i="1"/>
  <c r="B13858" i="1"/>
  <c r="A13859" i="1"/>
  <c r="B13859" i="1"/>
  <c r="A13860" i="1"/>
  <c r="B13860" i="1"/>
  <c r="A13861" i="1"/>
  <c r="B13861" i="1"/>
  <c r="A13862" i="1"/>
  <c r="B13862" i="1"/>
  <c r="A13863" i="1"/>
  <c r="B13863" i="1"/>
  <c r="A13864" i="1"/>
  <c r="B13864" i="1"/>
  <c r="A13865" i="1"/>
  <c r="B13865" i="1"/>
  <c r="A13866" i="1"/>
  <c r="B13866" i="1"/>
  <c r="A13867" i="1"/>
  <c r="B13867" i="1"/>
  <c r="A13868" i="1"/>
  <c r="B13868" i="1"/>
  <c r="A13869" i="1"/>
  <c r="B13869" i="1"/>
  <c r="A13870" i="1"/>
  <c r="B13870" i="1"/>
  <c r="A13871" i="1"/>
  <c r="B13871" i="1"/>
  <c r="A13872" i="1"/>
  <c r="B13872" i="1"/>
  <c r="A13873" i="1"/>
  <c r="B13873" i="1"/>
  <c r="A13874" i="1"/>
  <c r="B13874" i="1"/>
  <c r="A13875" i="1"/>
  <c r="B13875" i="1"/>
  <c r="A13876" i="1"/>
  <c r="B13876" i="1"/>
  <c r="A13877" i="1"/>
  <c r="B13877" i="1"/>
  <c r="A13878" i="1"/>
  <c r="B13878" i="1"/>
  <c r="A13879" i="1"/>
  <c r="B13879" i="1"/>
  <c r="A13880" i="1"/>
  <c r="B13880" i="1"/>
  <c r="A13881" i="1"/>
  <c r="B13881" i="1"/>
  <c r="A13882" i="1"/>
  <c r="B13882" i="1"/>
  <c r="A13883" i="1"/>
  <c r="B13883" i="1"/>
  <c r="A13884" i="1"/>
  <c r="B13884" i="1"/>
  <c r="A13885" i="1"/>
  <c r="B13885" i="1"/>
  <c r="A13886" i="1"/>
  <c r="B13886" i="1"/>
  <c r="A13887" i="1"/>
  <c r="B13887" i="1"/>
  <c r="A13888" i="1"/>
  <c r="B13888" i="1"/>
  <c r="A13889" i="1"/>
  <c r="B13889" i="1"/>
  <c r="A13890" i="1"/>
  <c r="B13890" i="1"/>
  <c r="A13891" i="1"/>
  <c r="B13891" i="1"/>
  <c r="A13892" i="1"/>
  <c r="B13892" i="1"/>
  <c r="A13893" i="1"/>
  <c r="B13893" i="1"/>
  <c r="A13894" i="1"/>
  <c r="B13894" i="1"/>
  <c r="A13895" i="1"/>
  <c r="B13895" i="1"/>
  <c r="A13896" i="1"/>
  <c r="B13896" i="1"/>
  <c r="A13897" i="1"/>
  <c r="B13897" i="1"/>
  <c r="A13898" i="1"/>
  <c r="B13898" i="1"/>
  <c r="A13899" i="1"/>
  <c r="B13899" i="1"/>
  <c r="A13900" i="1"/>
  <c r="B13900" i="1"/>
  <c r="A13901" i="1"/>
  <c r="B13901" i="1"/>
  <c r="A13902" i="1"/>
  <c r="B13902" i="1"/>
  <c r="A13903" i="1"/>
  <c r="B13903" i="1"/>
  <c r="A13904" i="1"/>
  <c r="B13904" i="1"/>
  <c r="A13905" i="1"/>
  <c r="B13905" i="1"/>
  <c r="A13906" i="1"/>
  <c r="B13906" i="1"/>
  <c r="A13907" i="1"/>
  <c r="B13907" i="1"/>
  <c r="A13908" i="1"/>
  <c r="A13909" i="1"/>
  <c r="B13909" i="1"/>
  <c r="A13910" i="1"/>
  <c r="B13910" i="1"/>
  <c r="A13911" i="1"/>
  <c r="B13911" i="1"/>
  <c r="A13912" i="1"/>
  <c r="B13912" i="1"/>
  <c r="A13913" i="1"/>
  <c r="B13913" i="1"/>
  <c r="A13914" i="1"/>
  <c r="B13914" i="1"/>
  <c r="A13915" i="1"/>
  <c r="B13915" i="1"/>
  <c r="A13916" i="1"/>
  <c r="B13916" i="1"/>
  <c r="A13917" i="1"/>
  <c r="B13917" i="1"/>
  <c r="A13918" i="1"/>
  <c r="B13918" i="1"/>
  <c r="A13919" i="1"/>
  <c r="B13919" i="1"/>
  <c r="A13920" i="1"/>
  <c r="B13920" i="1"/>
  <c r="A13921" i="1"/>
  <c r="B13921" i="1"/>
  <c r="A13922" i="1"/>
  <c r="B13922" i="1"/>
  <c r="A13923" i="1"/>
  <c r="B13923" i="1"/>
  <c r="A13924" i="1"/>
  <c r="B13924" i="1"/>
  <c r="A13925" i="1"/>
  <c r="B13925" i="1"/>
  <c r="A13926" i="1"/>
  <c r="B13926" i="1"/>
  <c r="A13927" i="1"/>
  <c r="A13928" i="1"/>
  <c r="B13928" i="1"/>
  <c r="A13929" i="1"/>
  <c r="B13929" i="1"/>
  <c r="A13930" i="1"/>
  <c r="B13930" i="1"/>
  <c r="A13931" i="1"/>
  <c r="B13931" i="1"/>
  <c r="A13932" i="1"/>
  <c r="B13932" i="1"/>
  <c r="A13933" i="1"/>
  <c r="B13933" i="1"/>
  <c r="A13934" i="1"/>
  <c r="B13934" i="1"/>
  <c r="A13935" i="1"/>
  <c r="B13935" i="1"/>
  <c r="A13936" i="1"/>
  <c r="B13936" i="1"/>
  <c r="A13937" i="1"/>
  <c r="B13937" i="1"/>
  <c r="A13938" i="1"/>
  <c r="B13938" i="1"/>
  <c r="A13939" i="1"/>
  <c r="B13939" i="1"/>
  <c r="A13940" i="1"/>
  <c r="B13940" i="1"/>
  <c r="A13941" i="1"/>
  <c r="B13941" i="1"/>
  <c r="A13942" i="1"/>
  <c r="B13942" i="1"/>
  <c r="A13943" i="1"/>
  <c r="B13943" i="1"/>
  <c r="A13944" i="1"/>
  <c r="B13944" i="1"/>
  <c r="A13945" i="1"/>
  <c r="B13945" i="1"/>
  <c r="A13946" i="1"/>
  <c r="B13946" i="1"/>
  <c r="A13947" i="1"/>
  <c r="B13947" i="1"/>
  <c r="A13948" i="1"/>
  <c r="B13948" i="1"/>
  <c r="A13949" i="1"/>
  <c r="A13950" i="1"/>
  <c r="B13950" i="1"/>
  <c r="A13951" i="1"/>
  <c r="B13951" i="1"/>
  <c r="A13952" i="1"/>
  <c r="B13952" i="1"/>
  <c r="A13953" i="1"/>
  <c r="A13954" i="1"/>
  <c r="B13954" i="1"/>
  <c r="A13955" i="1"/>
  <c r="B13955" i="1"/>
  <c r="A13956" i="1"/>
  <c r="B13956" i="1"/>
  <c r="A13957" i="1"/>
  <c r="B13957" i="1"/>
  <c r="A13958" i="1"/>
  <c r="B13958" i="1"/>
  <c r="A13959" i="1"/>
  <c r="B13959" i="1"/>
  <c r="A13960" i="1"/>
  <c r="B13960" i="1"/>
  <c r="A13961" i="1"/>
  <c r="B13961" i="1"/>
  <c r="A13962" i="1"/>
  <c r="B13962" i="1"/>
  <c r="A13963" i="1"/>
  <c r="B13963" i="1"/>
  <c r="A13964" i="1"/>
  <c r="B13964" i="1"/>
  <c r="A13965" i="1"/>
  <c r="B13965" i="1"/>
  <c r="A13966" i="1"/>
  <c r="B13966" i="1"/>
  <c r="A13967" i="1"/>
  <c r="B13967" i="1"/>
  <c r="A13968" i="1"/>
  <c r="B13968" i="1"/>
  <c r="A13969" i="1"/>
  <c r="B13969" i="1"/>
  <c r="A13970" i="1"/>
  <c r="B13970" i="1"/>
  <c r="A13971" i="1"/>
  <c r="B13971" i="1"/>
  <c r="A13972" i="1"/>
  <c r="B13972" i="1"/>
  <c r="A13973" i="1"/>
  <c r="B13973" i="1"/>
  <c r="A13974" i="1"/>
  <c r="B13974" i="1"/>
  <c r="A13975" i="1"/>
  <c r="B13975" i="1"/>
  <c r="A13976" i="1"/>
  <c r="B13976" i="1"/>
  <c r="A13977" i="1"/>
  <c r="B13977" i="1"/>
  <c r="A13978" i="1"/>
  <c r="B13978" i="1"/>
  <c r="A13979" i="1"/>
  <c r="B13979" i="1"/>
  <c r="A13980" i="1"/>
  <c r="B13980" i="1"/>
  <c r="A13981" i="1"/>
  <c r="B13981" i="1"/>
  <c r="A13982" i="1"/>
  <c r="B13982" i="1"/>
  <c r="A13983" i="1"/>
  <c r="B13983" i="1"/>
  <c r="A13984" i="1"/>
  <c r="B13984" i="1"/>
  <c r="A13985" i="1"/>
  <c r="B13985" i="1"/>
  <c r="A13986" i="1"/>
  <c r="B13986" i="1"/>
  <c r="A13987" i="1"/>
  <c r="B13987" i="1"/>
  <c r="A13988" i="1"/>
  <c r="B13988" i="1"/>
  <c r="A13989" i="1"/>
  <c r="B13989" i="1"/>
  <c r="A13990" i="1"/>
  <c r="B13990" i="1"/>
  <c r="A13991" i="1"/>
  <c r="B13991" i="1"/>
  <c r="A13992" i="1"/>
  <c r="B13992" i="1"/>
  <c r="A13993" i="1"/>
  <c r="B13993" i="1"/>
  <c r="A13994" i="1"/>
  <c r="B13994" i="1"/>
  <c r="A13995" i="1"/>
  <c r="B13995" i="1"/>
  <c r="A13996" i="1"/>
  <c r="B13996" i="1"/>
  <c r="A13997" i="1"/>
  <c r="B13997" i="1"/>
  <c r="A13998" i="1"/>
  <c r="B13998" i="1"/>
  <c r="A13999" i="1"/>
  <c r="B13999" i="1"/>
  <c r="A14000" i="1"/>
  <c r="B14000" i="1"/>
  <c r="A14001" i="1"/>
  <c r="A14002" i="1"/>
  <c r="B14002" i="1"/>
  <c r="A14003" i="1"/>
  <c r="B14003" i="1"/>
  <c r="A14004" i="1"/>
  <c r="B14004" i="1"/>
  <c r="A14005" i="1"/>
  <c r="B14005" i="1"/>
  <c r="A14006" i="1"/>
  <c r="B14006" i="1"/>
  <c r="A14007" i="1"/>
  <c r="B14007" i="1"/>
  <c r="A14008" i="1"/>
  <c r="B14008" i="1"/>
  <c r="A14009" i="1"/>
  <c r="B14009" i="1"/>
  <c r="A14010" i="1"/>
  <c r="B14010" i="1"/>
  <c r="A14011" i="1"/>
  <c r="B14011" i="1"/>
  <c r="A14012" i="1"/>
  <c r="B14012" i="1"/>
  <c r="A14013" i="1"/>
  <c r="B14013" i="1"/>
  <c r="A14014" i="1"/>
  <c r="B14014" i="1"/>
  <c r="A14015" i="1"/>
  <c r="B14015" i="1"/>
  <c r="A14016" i="1"/>
  <c r="B14016" i="1"/>
  <c r="A14017" i="1"/>
  <c r="B14017" i="1"/>
  <c r="A14018" i="1"/>
  <c r="B14018" i="1"/>
  <c r="A14019" i="1"/>
  <c r="B14019" i="1"/>
  <c r="A14020" i="1"/>
  <c r="B14020" i="1"/>
  <c r="A14021" i="1"/>
  <c r="B14021" i="1"/>
  <c r="A14022" i="1"/>
  <c r="B14022" i="1"/>
  <c r="A14023" i="1"/>
  <c r="B14023" i="1"/>
  <c r="A14024" i="1"/>
  <c r="B14024" i="1"/>
  <c r="A14025" i="1"/>
  <c r="B14025" i="1"/>
  <c r="A14026" i="1"/>
  <c r="B14026" i="1"/>
  <c r="A14027" i="1"/>
  <c r="B14027" i="1"/>
  <c r="A14028" i="1"/>
  <c r="B14028" i="1"/>
  <c r="A14029" i="1"/>
  <c r="B14029" i="1"/>
  <c r="A14030" i="1"/>
  <c r="A14031" i="1"/>
  <c r="B14031" i="1"/>
  <c r="A14032" i="1"/>
  <c r="B14032" i="1"/>
  <c r="A14033" i="1"/>
  <c r="B14033" i="1"/>
  <c r="A14034" i="1"/>
  <c r="B14034" i="1"/>
  <c r="A14035" i="1"/>
  <c r="B14035" i="1"/>
  <c r="A14036" i="1"/>
  <c r="B14036" i="1"/>
  <c r="A14037" i="1"/>
  <c r="B14037" i="1"/>
  <c r="A14038" i="1"/>
  <c r="B14038" i="1"/>
  <c r="A14039" i="1"/>
  <c r="B14039" i="1"/>
  <c r="A14040" i="1"/>
  <c r="B14040" i="1"/>
  <c r="A14041" i="1"/>
  <c r="B14041" i="1"/>
  <c r="A14042" i="1"/>
  <c r="B14042" i="1"/>
  <c r="A14043" i="1"/>
  <c r="B14043" i="1"/>
  <c r="A14044" i="1"/>
  <c r="B14044" i="1"/>
  <c r="A14045" i="1"/>
  <c r="B14045" i="1"/>
  <c r="A14046" i="1"/>
  <c r="B14046" i="1"/>
  <c r="A14047" i="1"/>
  <c r="B14047" i="1"/>
  <c r="A14048" i="1"/>
  <c r="B14048" i="1"/>
  <c r="A14049" i="1"/>
  <c r="A14050" i="1"/>
  <c r="B14050" i="1"/>
  <c r="A14051" i="1"/>
  <c r="B14051" i="1"/>
  <c r="A14052" i="1"/>
  <c r="B14052" i="1"/>
  <c r="A14053" i="1"/>
  <c r="B14053" i="1"/>
  <c r="A14054" i="1"/>
  <c r="B14054" i="1"/>
  <c r="A14055" i="1"/>
  <c r="B14055" i="1"/>
  <c r="A14056" i="1"/>
  <c r="A14057" i="1"/>
  <c r="B14057" i="1"/>
  <c r="A14058" i="1"/>
  <c r="B14058" i="1"/>
  <c r="A14059" i="1"/>
  <c r="B14059" i="1"/>
  <c r="A14060" i="1"/>
  <c r="B14060" i="1"/>
  <c r="A14061" i="1"/>
  <c r="B14061" i="1"/>
  <c r="A14062" i="1"/>
  <c r="B14062" i="1"/>
  <c r="A14063" i="1"/>
  <c r="B14063" i="1"/>
  <c r="A14064" i="1"/>
  <c r="B14064" i="1"/>
  <c r="A14065" i="1"/>
  <c r="B14065" i="1"/>
  <c r="A14066" i="1"/>
  <c r="A14067" i="1"/>
  <c r="B14067" i="1"/>
  <c r="A14068" i="1"/>
  <c r="B14068" i="1"/>
  <c r="A14069" i="1"/>
  <c r="B14069" i="1"/>
  <c r="A14070" i="1"/>
  <c r="B14070" i="1"/>
  <c r="A14071" i="1"/>
  <c r="B14071" i="1"/>
  <c r="A14072" i="1"/>
  <c r="B14072" i="1"/>
  <c r="A14073" i="1"/>
  <c r="B14073" i="1"/>
  <c r="A14074" i="1"/>
  <c r="B14074" i="1"/>
  <c r="A14075" i="1"/>
  <c r="B14075" i="1"/>
  <c r="A14076" i="1"/>
  <c r="B14076" i="1"/>
  <c r="A14077" i="1"/>
  <c r="B14077" i="1"/>
  <c r="A14078" i="1"/>
  <c r="B14078" i="1"/>
  <c r="A14079" i="1"/>
  <c r="B14079" i="1"/>
  <c r="A14080" i="1"/>
  <c r="B14080" i="1"/>
  <c r="A14081" i="1"/>
  <c r="B14081" i="1"/>
  <c r="A14082" i="1"/>
  <c r="B14082" i="1"/>
  <c r="A14083" i="1"/>
  <c r="B14083" i="1"/>
  <c r="A14084" i="1"/>
  <c r="B14084" i="1"/>
  <c r="A14085" i="1"/>
  <c r="B14085" i="1"/>
  <c r="A14086" i="1"/>
  <c r="B14086" i="1"/>
  <c r="A14087" i="1"/>
  <c r="B14087" i="1"/>
  <c r="A14088" i="1"/>
  <c r="B14088" i="1"/>
  <c r="A14089" i="1"/>
  <c r="B14089" i="1"/>
  <c r="A14090" i="1"/>
  <c r="B14090" i="1"/>
  <c r="A14091" i="1"/>
  <c r="B14091" i="1"/>
  <c r="A14092" i="1"/>
  <c r="A14093" i="1"/>
  <c r="B14093" i="1"/>
  <c r="A14094" i="1"/>
  <c r="B14094" i="1"/>
  <c r="A14095" i="1"/>
  <c r="B14095" i="1"/>
  <c r="A14096" i="1"/>
  <c r="B14096" i="1"/>
  <c r="A14097" i="1"/>
  <c r="B14097" i="1"/>
  <c r="A14098" i="1"/>
  <c r="B14098" i="1"/>
  <c r="A14099" i="1"/>
  <c r="B14099" i="1"/>
  <c r="A14100" i="1"/>
  <c r="B14100" i="1"/>
  <c r="A14101" i="1"/>
  <c r="B14101" i="1"/>
  <c r="A14102" i="1"/>
  <c r="B14102" i="1"/>
  <c r="A14103" i="1"/>
  <c r="B14103" i="1"/>
  <c r="A14104" i="1"/>
  <c r="B14104" i="1"/>
  <c r="A14105" i="1"/>
  <c r="B14105" i="1"/>
  <c r="A14106" i="1"/>
  <c r="B14106" i="1"/>
  <c r="A14107" i="1"/>
  <c r="B14107" i="1"/>
  <c r="A14108" i="1"/>
  <c r="B14108" i="1"/>
  <c r="A14109" i="1"/>
  <c r="B14109" i="1"/>
  <c r="A14110" i="1"/>
  <c r="B14110" i="1"/>
  <c r="A14111" i="1"/>
  <c r="B14111" i="1"/>
  <c r="A14112" i="1"/>
  <c r="B14112" i="1"/>
  <c r="A14113" i="1"/>
  <c r="B14113" i="1"/>
  <c r="A14114" i="1"/>
  <c r="B14114" i="1"/>
  <c r="A14115" i="1"/>
  <c r="B14115" i="1"/>
  <c r="A14116" i="1"/>
  <c r="B14116" i="1"/>
  <c r="A14117" i="1"/>
  <c r="B14117" i="1"/>
  <c r="A14118" i="1"/>
  <c r="B14118" i="1"/>
  <c r="A14119" i="1"/>
  <c r="B14119" i="1"/>
  <c r="A14120" i="1"/>
  <c r="B14120" i="1"/>
  <c r="A14121" i="1"/>
  <c r="B14121" i="1"/>
  <c r="A14122" i="1"/>
  <c r="B14122" i="1"/>
  <c r="A14123" i="1"/>
  <c r="A14124" i="1"/>
  <c r="B14124" i="1"/>
  <c r="A14125" i="1"/>
  <c r="B14125" i="1"/>
  <c r="A14126" i="1"/>
  <c r="B14126" i="1"/>
  <c r="A14127" i="1"/>
  <c r="B14127" i="1"/>
  <c r="A14128" i="1"/>
  <c r="B14128" i="1"/>
  <c r="A14129" i="1"/>
  <c r="B14129" i="1"/>
  <c r="A14130" i="1"/>
  <c r="B14130" i="1"/>
  <c r="A14131" i="1"/>
  <c r="B14131" i="1"/>
  <c r="A14132" i="1"/>
  <c r="B14132" i="1"/>
  <c r="A14133" i="1"/>
  <c r="B14133" i="1"/>
  <c r="A14134" i="1"/>
  <c r="B14134" i="1"/>
  <c r="A14135" i="1"/>
  <c r="B14135" i="1"/>
  <c r="A14136" i="1"/>
  <c r="B14136" i="1"/>
  <c r="A14137" i="1"/>
  <c r="B14137" i="1"/>
  <c r="A14138" i="1"/>
  <c r="B14138" i="1"/>
  <c r="A14139" i="1"/>
  <c r="A14140" i="1"/>
  <c r="B14140" i="1"/>
  <c r="A14141" i="1"/>
  <c r="B14141" i="1"/>
  <c r="A14142" i="1"/>
  <c r="B14142" i="1"/>
  <c r="A14143" i="1"/>
  <c r="B14143" i="1"/>
  <c r="A14144" i="1"/>
  <c r="B14144" i="1"/>
  <c r="A14145" i="1"/>
  <c r="A14146" i="1"/>
  <c r="B14146" i="1"/>
  <c r="A14147" i="1"/>
  <c r="B14147" i="1"/>
  <c r="A14148" i="1"/>
  <c r="B14148" i="1"/>
  <c r="A14149" i="1"/>
  <c r="B14149" i="1"/>
  <c r="A14150" i="1"/>
  <c r="B14150" i="1"/>
  <c r="A14151" i="1"/>
  <c r="B14151" i="1"/>
  <c r="A14152" i="1"/>
  <c r="B14152" i="1"/>
  <c r="A14153" i="1"/>
  <c r="B14153" i="1"/>
  <c r="A14154" i="1"/>
  <c r="B14154" i="1"/>
  <c r="A14155" i="1"/>
  <c r="B14155" i="1"/>
  <c r="A14156" i="1"/>
  <c r="B14156" i="1"/>
  <c r="A14157" i="1"/>
  <c r="B14157" i="1"/>
  <c r="A14158" i="1"/>
  <c r="B14158" i="1"/>
  <c r="A14159" i="1"/>
  <c r="B14159" i="1"/>
  <c r="A14160" i="1"/>
  <c r="B14160" i="1"/>
  <c r="A14161" i="1"/>
  <c r="B14161" i="1"/>
  <c r="A14162" i="1"/>
  <c r="B14162" i="1"/>
  <c r="A14163" i="1"/>
  <c r="B14163" i="1"/>
  <c r="A14164" i="1"/>
  <c r="B14164" i="1"/>
  <c r="A14165" i="1"/>
  <c r="B14165" i="1"/>
  <c r="A14166" i="1"/>
  <c r="A14167" i="1"/>
  <c r="B14167" i="1"/>
  <c r="A14168" i="1"/>
  <c r="B14168" i="1"/>
  <c r="A14169" i="1"/>
  <c r="B14169" i="1"/>
  <c r="A14170" i="1"/>
  <c r="B14170" i="1"/>
  <c r="A14171" i="1"/>
  <c r="B14171" i="1"/>
  <c r="A14172" i="1"/>
  <c r="B14172" i="1"/>
  <c r="A14173" i="1"/>
  <c r="B14173" i="1"/>
  <c r="A14174" i="1"/>
  <c r="B14174" i="1"/>
  <c r="A14175" i="1"/>
  <c r="B14175" i="1"/>
  <c r="A14176" i="1"/>
  <c r="B14176" i="1"/>
  <c r="A14177" i="1"/>
  <c r="B14177" i="1"/>
  <c r="A14178" i="1"/>
  <c r="B14178" i="1"/>
  <c r="A14179" i="1"/>
  <c r="B14179" i="1"/>
  <c r="A14180" i="1"/>
  <c r="B14180" i="1"/>
  <c r="A14181" i="1"/>
  <c r="B14181" i="1"/>
  <c r="A14182" i="1"/>
  <c r="B14182" i="1"/>
  <c r="A14183" i="1"/>
  <c r="B14183" i="1"/>
  <c r="A14184" i="1"/>
  <c r="B14184" i="1"/>
  <c r="A14185" i="1"/>
  <c r="B14185" i="1"/>
  <c r="A14186" i="1"/>
  <c r="B14186" i="1"/>
  <c r="A14187" i="1"/>
  <c r="B14187" i="1"/>
  <c r="A14188" i="1"/>
  <c r="B14188" i="1"/>
  <c r="A14189" i="1"/>
  <c r="B14189" i="1"/>
  <c r="A14190" i="1"/>
  <c r="B14190" i="1"/>
  <c r="A14191" i="1"/>
  <c r="B14191" i="1"/>
  <c r="A14192" i="1"/>
  <c r="B14192" i="1"/>
  <c r="A14193" i="1"/>
  <c r="B14193" i="1"/>
  <c r="A14194" i="1"/>
  <c r="B14194" i="1"/>
  <c r="A14195" i="1"/>
  <c r="B14195" i="1"/>
  <c r="A14196" i="1"/>
  <c r="B14196" i="1"/>
  <c r="A14197" i="1"/>
  <c r="B14197" i="1"/>
  <c r="A14198" i="1"/>
  <c r="B14198" i="1"/>
  <c r="A14199" i="1"/>
  <c r="B14199" i="1"/>
  <c r="A14200" i="1"/>
  <c r="B14200" i="1"/>
  <c r="A14201" i="1"/>
  <c r="B14201" i="1"/>
  <c r="A14202" i="1"/>
  <c r="B14202" i="1"/>
  <c r="A14203" i="1"/>
  <c r="B14203" i="1"/>
  <c r="A14204" i="1"/>
  <c r="B14204" i="1"/>
  <c r="A14205" i="1"/>
  <c r="B14205" i="1"/>
  <c r="A14206" i="1"/>
  <c r="B14206" i="1"/>
  <c r="A14207" i="1"/>
  <c r="B14207" i="1"/>
  <c r="A14208" i="1"/>
  <c r="B14208" i="1"/>
  <c r="A14209" i="1"/>
  <c r="B14209" i="1"/>
  <c r="A14210" i="1"/>
  <c r="B14210" i="1"/>
  <c r="A14211" i="1"/>
  <c r="B14211" i="1"/>
  <c r="A14212" i="1"/>
  <c r="B14212" i="1"/>
  <c r="A14213" i="1"/>
  <c r="B14213" i="1"/>
  <c r="A14214" i="1"/>
  <c r="B14214" i="1"/>
  <c r="A14215" i="1"/>
  <c r="B14215" i="1"/>
  <c r="A14216" i="1"/>
  <c r="B14216" i="1"/>
  <c r="A14217" i="1"/>
  <c r="B14217" i="1"/>
  <c r="A14218" i="1"/>
  <c r="B14218" i="1"/>
  <c r="A14219" i="1"/>
  <c r="B14219" i="1"/>
  <c r="A14220" i="1"/>
  <c r="B14220" i="1"/>
  <c r="A14221" i="1"/>
  <c r="B14221" i="1"/>
  <c r="A14222" i="1"/>
  <c r="B14222" i="1"/>
  <c r="A14223" i="1"/>
  <c r="B14223" i="1"/>
  <c r="A14224" i="1"/>
  <c r="B14224" i="1"/>
  <c r="A14225" i="1"/>
  <c r="B14225" i="1"/>
  <c r="A14226" i="1"/>
  <c r="B14226" i="1"/>
  <c r="A14227" i="1"/>
  <c r="B14227" i="1"/>
  <c r="A14228" i="1"/>
  <c r="B14228" i="1"/>
  <c r="A14229" i="1"/>
  <c r="B14229" i="1"/>
  <c r="A14230" i="1"/>
  <c r="B14230" i="1"/>
  <c r="A14231" i="1"/>
  <c r="B14231" i="1"/>
  <c r="A14232" i="1"/>
  <c r="B14232" i="1"/>
  <c r="A14233" i="1"/>
  <c r="B14233" i="1"/>
  <c r="A14234" i="1"/>
  <c r="B14234" i="1"/>
  <c r="A14235" i="1"/>
  <c r="B14235" i="1"/>
  <c r="A14236" i="1"/>
  <c r="B14236" i="1"/>
  <c r="A14237" i="1"/>
  <c r="B14237" i="1"/>
  <c r="A14238" i="1"/>
  <c r="B14238" i="1"/>
  <c r="A14239" i="1"/>
  <c r="B14239" i="1"/>
  <c r="A14240" i="1"/>
  <c r="B14240" i="1"/>
  <c r="A14241" i="1"/>
  <c r="B14241" i="1"/>
  <c r="A14242" i="1"/>
  <c r="B14242" i="1"/>
  <c r="A14243" i="1"/>
  <c r="B14243" i="1"/>
  <c r="A14244" i="1"/>
  <c r="B14244" i="1"/>
  <c r="A14245" i="1"/>
  <c r="B14245" i="1"/>
  <c r="A14246" i="1"/>
  <c r="B14246" i="1"/>
  <c r="A14247" i="1"/>
  <c r="B14247" i="1"/>
  <c r="A14248" i="1"/>
  <c r="B14248" i="1"/>
  <c r="A14249" i="1"/>
  <c r="B14249" i="1"/>
  <c r="A14250" i="1"/>
  <c r="B14250" i="1"/>
  <c r="A14251" i="1"/>
  <c r="B14251" i="1"/>
  <c r="A14252" i="1"/>
  <c r="B14252" i="1"/>
  <c r="A14253" i="1"/>
  <c r="B14253" i="1"/>
  <c r="A14254" i="1"/>
  <c r="B14254" i="1"/>
  <c r="A14255" i="1"/>
  <c r="B14255" i="1"/>
  <c r="A14256" i="1"/>
  <c r="B14256" i="1"/>
  <c r="A14257" i="1"/>
  <c r="B14257" i="1"/>
  <c r="A14258" i="1"/>
  <c r="B14258" i="1"/>
  <c r="A14259" i="1"/>
  <c r="B14259" i="1"/>
  <c r="A14260" i="1"/>
  <c r="B14260" i="1"/>
  <c r="A14261" i="1"/>
  <c r="B14261" i="1"/>
  <c r="A14262" i="1"/>
  <c r="B14262" i="1"/>
  <c r="A14263" i="1"/>
  <c r="B14263" i="1"/>
  <c r="A14264" i="1"/>
  <c r="B14264" i="1"/>
  <c r="A14265" i="1"/>
  <c r="B14265" i="1"/>
  <c r="A14266" i="1"/>
  <c r="B14266" i="1"/>
  <c r="A14267" i="1"/>
  <c r="B14267" i="1"/>
  <c r="A14268" i="1"/>
  <c r="B14268" i="1"/>
  <c r="A14269" i="1"/>
  <c r="B14269" i="1"/>
  <c r="A14270" i="1"/>
  <c r="B14270" i="1"/>
  <c r="A14271" i="1"/>
  <c r="B14271" i="1"/>
  <c r="A14272" i="1"/>
  <c r="B14272" i="1"/>
  <c r="A14273" i="1"/>
  <c r="B14273" i="1"/>
  <c r="A14274" i="1"/>
  <c r="B14274" i="1"/>
  <c r="A14275" i="1"/>
  <c r="B14275" i="1"/>
  <c r="A14276" i="1"/>
  <c r="B14276" i="1"/>
  <c r="A14277" i="1"/>
  <c r="B14277" i="1"/>
  <c r="A14278" i="1"/>
  <c r="B14278" i="1"/>
  <c r="A14279" i="1"/>
  <c r="B14279" i="1"/>
  <c r="A14280" i="1"/>
  <c r="B14280" i="1"/>
  <c r="A14281" i="1"/>
  <c r="B14281" i="1"/>
  <c r="A14282" i="1"/>
  <c r="B14282" i="1"/>
  <c r="A14283" i="1"/>
  <c r="B14283" i="1"/>
  <c r="A14284" i="1"/>
  <c r="B14284" i="1"/>
  <c r="A14285" i="1"/>
  <c r="B14285" i="1"/>
  <c r="A14286" i="1"/>
  <c r="B14286" i="1"/>
  <c r="A14287" i="1"/>
  <c r="B14287" i="1"/>
  <c r="A14288" i="1"/>
  <c r="B14288" i="1"/>
  <c r="A14289" i="1"/>
  <c r="B14289" i="1"/>
  <c r="A14290" i="1"/>
  <c r="B14290" i="1"/>
  <c r="A14291" i="1"/>
  <c r="B14291" i="1"/>
  <c r="A14292" i="1"/>
  <c r="B14292" i="1"/>
  <c r="A14293" i="1"/>
  <c r="B14293" i="1"/>
  <c r="A14294" i="1"/>
  <c r="B14294" i="1"/>
  <c r="A14295" i="1"/>
  <c r="B14295" i="1"/>
  <c r="A14296" i="1"/>
  <c r="B14296" i="1"/>
  <c r="A14297" i="1"/>
  <c r="B14297" i="1"/>
  <c r="A14298" i="1"/>
  <c r="B14298" i="1"/>
  <c r="A14299" i="1"/>
  <c r="B14299" i="1"/>
  <c r="A14300" i="1"/>
  <c r="B14300" i="1"/>
  <c r="A14301" i="1"/>
  <c r="B14301" i="1"/>
  <c r="A14302" i="1"/>
  <c r="B14302" i="1"/>
  <c r="A14303" i="1"/>
  <c r="B14303" i="1"/>
  <c r="A14304" i="1"/>
  <c r="B14304" i="1"/>
  <c r="A14305" i="1"/>
  <c r="B14305" i="1"/>
  <c r="A14306" i="1"/>
  <c r="B14306" i="1"/>
  <c r="A14307" i="1"/>
  <c r="B14307" i="1"/>
  <c r="A14308" i="1"/>
  <c r="B14308" i="1"/>
  <c r="A14309" i="1"/>
  <c r="B14309" i="1"/>
  <c r="A14310" i="1"/>
  <c r="B14310" i="1"/>
  <c r="A14311" i="1"/>
  <c r="B14311" i="1"/>
  <c r="A14312" i="1"/>
  <c r="B14312" i="1"/>
  <c r="A14313" i="1"/>
  <c r="B14313" i="1"/>
  <c r="A14314" i="1"/>
  <c r="B14314" i="1"/>
  <c r="A14315" i="1"/>
  <c r="B14315" i="1"/>
  <c r="A14316" i="1"/>
  <c r="B14316" i="1"/>
  <c r="A14317" i="1"/>
  <c r="B14317" i="1"/>
  <c r="A14318" i="1"/>
  <c r="B14318" i="1"/>
  <c r="A14319" i="1"/>
  <c r="B14319" i="1"/>
  <c r="A14320" i="1"/>
  <c r="B14320" i="1"/>
  <c r="A14321" i="1"/>
  <c r="B14321" i="1"/>
  <c r="A14322" i="1"/>
  <c r="B14322" i="1"/>
  <c r="A14323" i="1"/>
  <c r="B14323" i="1"/>
  <c r="A14324" i="1"/>
  <c r="B14324" i="1"/>
  <c r="A14325" i="1"/>
  <c r="B14325" i="1"/>
  <c r="A14326" i="1"/>
  <c r="B14326" i="1"/>
  <c r="A14327" i="1"/>
  <c r="B14327" i="1"/>
  <c r="A14328" i="1"/>
  <c r="B14328" i="1"/>
  <c r="A14329" i="1"/>
  <c r="B14329" i="1"/>
  <c r="A14330" i="1"/>
  <c r="B14330" i="1"/>
  <c r="A14331" i="1"/>
  <c r="B14331" i="1"/>
  <c r="A14332" i="1"/>
  <c r="B14332" i="1"/>
  <c r="A14333" i="1"/>
  <c r="B14333" i="1"/>
  <c r="A14334" i="1"/>
  <c r="B14334" i="1"/>
  <c r="A14335" i="1"/>
  <c r="B14335" i="1"/>
  <c r="A14336" i="1"/>
  <c r="B14336" i="1"/>
  <c r="A14337" i="1"/>
  <c r="B14337" i="1"/>
  <c r="A14338" i="1"/>
  <c r="B14338" i="1"/>
  <c r="A14339" i="1"/>
  <c r="B14339" i="1"/>
  <c r="A14340" i="1"/>
  <c r="B14340" i="1"/>
  <c r="A14341" i="1"/>
  <c r="B14341" i="1"/>
  <c r="A14342" i="1"/>
  <c r="B14342" i="1"/>
  <c r="A14343" i="1"/>
  <c r="B14343" i="1"/>
  <c r="A14344" i="1"/>
  <c r="B14344" i="1"/>
  <c r="A14345" i="1"/>
  <c r="B14345" i="1"/>
  <c r="A14346" i="1"/>
  <c r="B14346" i="1"/>
  <c r="A14347" i="1"/>
  <c r="B14347" i="1"/>
  <c r="A14348" i="1"/>
  <c r="B14348" i="1"/>
  <c r="A14349" i="1"/>
  <c r="B14349" i="1"/>
  <c r="A14350" i="1"/>
  <c r="B14350" i="1"/>
  <c r="A14351" i="1"/>
  <c r="B14351" i="1"/>
  <c r="A14352" i="1"/>
  <c r="B14352" i="1"/>
  <c r="A14353" i="1"/>
  <c r="B14353" i="1"/>
  <c r="A14354" i="1"/>
  <c r="B14354" i="1"/>
  <c r="A14355" i="1"/>
  <c r="B14355" i="1"/>
  <c r="A14356" i="1"/>
  <c r="B14356" i="1"/>
  <c r="A14357" i="1"/>
  <c r="B14357" i="1"/>
  <c r="A14358" i="1"/>
  <c r="B14358" i="1"/>
  <c r="A14359" i="1"/>
  <c r="B14359" i="1"/>
  <c r="A14360" i="1"/>
  <c r="B14360" i="1"/>
  <c r="A14361" i="1"/>
  <c r="B14361" i="1"/>
  <c r="A14362" i="1"/>
  <c r="B14362" i="1"/>
  <c r="A14363" i="1"/>
  <c r="B14363" i="1"/>
  <c r="A14364" i="1"/>
  <c r="B14364" i="1"/>
  <c r="A14365" i="1"/>
  <c r="B14365" i="1"/>
  <c r="A14366" i="1"/>
  <c r="B14366" i="1"/>
  <c r="A14367" i="1"/>
  <c r="B14367" i="1"/>
  <c r="A14368" i="1"/>
  <c r="B14368" i="1"/>
  <c r="A14369" i="1"/>
  <c r="B14369" i="1"/>
  <c r="A14370" i="1"/>
  <c r="B14370" i="1"/>
  <c r="A14371" i="1"/>
  <c r="B14371" i="1"/>
  <c r="A14372" i="1"/>
  <c r="B14372" i="1"/>
  <c r="A14373" i="1"/>
  <c r="B14373" i="1"/>
  <c r="A14374" i="1"/>
  <c r="B14374" i="1"/>
  <c r="A14375" i="1"/>
  <c r="B14375" i="1"/>
  <c r="A14376" i="1"/>
  <c r="B14376" i="1"/>
  <c r="A14377" i="1"/>
  <c r="B14377" i="1"/>
  <c r="A14378" i="1"/>
  <c r="B14378" i="1"/>
  <c r="A14379" i="1"/>
  <c r="B14379" i="1"/>
  <c r="A14380" i="1"/>
  <c r="B14380" i="1"/>
  <c r="A14381" i="1"/>
  <c r="B14381" i="1"/>
  <c r="A14382" i="1"/>
  <c r="B14382" i="1"/>
  <c r="A14383" i="1"/>
  <c r="B14383" i="1"/>
  <c r="A14384" i="1"/>
  <c r="B14384" i="1"/>
  <c r="A14385" i="1"/>
  <c r="B14385" i="1"/>
  <c r="A14386" i="1"/>
  <c r="B14386" i="1"/>
  <c r="A14387" i="1"/>
  <c r="B14387" i="1"/>
  <c r="A14388" i="1"/>
  <c r="B14388" i="1"/>
  <c r="A14389" i="1"/>
  <c r="B14389" i="1"/>
  <c r="A14390" i="1"/>
  <c r="B14390" i="1"/>
  <c r="A14391" i="1"/>
  <c r="B14391" i="1"/>
  <c r="A14392" i="1"/>
  <c r="B14392" i="1"/>
  <c r="A14393" i="1"/>
  <c r="B14393" i="1"/>
  <c r="A14394" i="1"/>
  <c r="B14394" i="1"/>
  <c r="A14395" i="1"/>
  <c r="B14395" i="1"/>
  <c r="A14396" i="1"/>
  <c r="B14396" i="1"/>
  <c r="A14397" i="1"/>
  <c r="B14397" i="1"/>
  <c r="A14398" i="1"/>
  <c r="B14398" i="1"/>
  <c r="A14399" i="1"/>
  <c r="B14399" i="1"/>
  <c r="A14400" i="1"/>
  <c r="B14400" i="1"/>
  <c r="A14401" i="1"/>
  <c r="B14401" i="1"/>
  <c r="A14402" i="1"/>
  <c r="B14402" i="1"/>
  <c r="A14403" i="1"/>
  <c r="B14403" i="1"/>
  <c r="A14404" i="1"/>
  <c r="B14404" i="1"/>
  <c r="A14405" i="1"/>
  <c r="B14405" i="1"/>
  <c r="A14406" i="1"/>
  <c r="B14406" i="1"/>
  <c r="A14407" i="1"/>
  <c r="B14407" i="1"/>
  <c r="A14408" i="1"/>
  <c r="B14408" i="1"/>
  <c r="A14409" i="1"/>
  <c r="B14409" i="1"/>
  <c r="A14410" i="1"/>
  <c r="B14410" i="1"/>
  <c r="A14411" i="1"/>
  <c r="B14411" i="1"/>
  <c r="A14412" i="1"/>
  <c r="B14412" i="1"/>
  <c r="A14413" i="1"/>
  <c r="B14413" i="1"/>
  <c r="A14414" i="1"/>
  <c r="B14414" i="1"/>
  <c r="A14415" i="1"/>
  <c r="B14415" i="1"/>
  <c r="A14416" i="1"/>
  <c r="B14416" i="1"/>
  <c r="A14417" i="1"/>
  <c r="B14417" i="1"/>
  <c r="A14418" i="1"/>
  <c r="B14418" i="1"/>
  <c r="A14419" i="1"/>
  <c r="B14419" i="1"/>
  <c r="A14420" i="1"/>
  <c r="B14420" i="1"/>
  <c r="A14421" i="1"/>
  <c r="B14421" i="1"/>
  <c r="A14422" i="1"/>
  <c r="B14422" i="1"/>
  <c r="A14423" i="1"/>
  <c r="B14423" i="1"/>
  <c r="A14424" i="1"/>
  <c r="B14424" i="1"/>
  <c r="A14425" i="1"/>
  <c r="B14425" i="1"/>
  <c r="A14426" i="1"/>
  <c r="B14426" i="1"/>
  <c r="A14427" i="1"/>
  <c r="B14427" i="1"/>
  <c r="A14428" i="1"/>
  <c r="B14428" i="1"/>
  <c r="A14429" i="1"/>
  <c r="B14429" i="1"/>
  <c r="A14430" i="1"/>
  <c r="B14430" i="1"/>
  <c r="A14431" i="1"/>
  <c r="B14431" i="1"/>
  <c r="A14432" i="1"/>
  <c r="B14432" i="1"/>
  <c r="A14433" i="1"/>
  <c r="B14433" i="1"/>
  <c r="A14434" i="1"/>
  <c r="B14434" i="1"/>
  <c r="A14435" i="1"/>
  <c r="B14435" i="1"/>
  <c r="A14436" i="1"/>
  <c r="B14436" i="1"/>
  <c r="A14437" i="1"/>
  <c r="B14437" i="1"/>
  <c r="A14438" i="1"/>
  <c r="B14438" i="1"/>
  <c r="A14439" i="1"/>
  <c r="B14439" i="1"/>
  <c r="A14440" i="1"/>
  <c r="B14440" i="1"/>
  <c r="A14441" i="1"/>
  <c r="B14441" i="1"/>
  <c r="A14442" i="1"/>
  <c r="B14442" i="1"/>
  <c r="A14443" i="1"/>
  <c r="B14443" i="1"/>
  <c r="A14444" i="1"/>
  <c r="B14444" i="1"/>
  <c r="A14445" i="1"/>
  <c r="B14445" i="1"/>
  <c r="A14446" i="1"/>
  <c r="B14446" i="1"/>
  <c r="A14447" i="1"/>
  <c r="B14447" i="1"/>
  <c r="A14448" i="1"/>
  <c r="B14448" i="1"/>
  <c r="A14449" i="1"/>
  <c r="B14449" i="1"/>
  <c r="A14450" i="1"/>
  <c r="B14450" i="1"/>
  <c r="A14451" i="1"/>
  <c r="B14451" i="1"/>
  <c r="A14452" i="1"/>
  <c r="B14452" i="1"/>
  <c r="A14453" i="1"/>
  <c r="B14453" i="1"/>
  <c r="A14454" i="1"/>
  <c r="B14454" i="1"/>
  <c r="A14455" i="1"/>
  <c r="B14455" i="1"/>
  <c r="A14456" i="1"/>
  <c r="B14456" i="1"/>
  <c r="A14457" i="1"/>
  <c r="B14457" i="1"/>
  <c r="A14458" i="1"/>
  <c r="B14458" i="1"/>
  <c r="A14459" i="1"/>
  <c r="B14459" i="1"/>
  <c r="A14460" i="1"/>
  <c r="B14460" i="1"/>
  <c r="A14461" i="1"/>
  <c r="B14461" i="1"/>
  <c r="A14462" i="1"/>
  <c r="B14462" i="1"/>
  <c r="A14463" i="1"/>
  <c r="B14463" i="1"/>
  <c r="A14464" i="1"/>
  <c r="B14464" i="1"/>
  <c r="A14465" i="1"/>
  <c r="B14465" i="1"/>
  <c r="A14466" i="1"/>
  <c r="B14466" i="1"/>
  <c r="A14467" i="1"/>
  <c r="B14467" i="1"/>
  <c r="A14468" i="1"/>
  <c r="B14468" i="1"/>
  <c r="A14469" i="1"/>
  <c r="B14469" i="1"/>
  <c r="A14470" i="1"/>
  <c r="B14470" i="1"/>
  <c r="A14471" i="1"/>
  <c r="B14471" i="1"/>
  <c r="A14472" i="1"/>
  <c r="B14472" i="1"/>
  <c r="A14473" i="1"/>
  <c r="B14473" i="1"/>
  <c r="A14474" i="1"/>
  <c r="B14474" i="1"/>
  <c r="A14475" i="1"/>
  <c r="B14475" i="1"/>
  <c r="A14476" i="1"/>
  <c r="B14476" i="1"/>
  <c r="A14477" i="1"/>
  <c r="B14477" i="1"/>
  <c r="A14478" i="1"/>
  <c r="B14478" i="1"/>
  <c r="A14479" i="1"/>
  <c r="B14479" i="1"/>
  <c r="A14480" i="1"/>
  <c r="B14480" i="1"/>
  <c r="A14481" i="1"/>
  <c r="B14481" i="1"/>
  <c r="A14482" i="1"/>
  <c r="B14482" i="1"/>
  <c r="A14483" i="1"/>
  <c r="B14483" i="1"/>
  <c r="A14484" i="1"/>
  <c r="B14484" i="1"/>
  <c r="A14485" i="1"/>
  <c r="B14485" i="1"/>
  <c r="A14486" i="1"/>
  <c r="B14486" i="1"/>
  <c r="A14487" i="1"/>
  <c r="B14487" i="1"/>
  <c r="A14488" i="1"/>
  <c r="B14488" i="1"/>
  <c r="A14489" i="1"/>
  <c r="B14489" i="1"/>
  <c r="A14490" i="1"/>
  <c r="B14490" i="1"/>
  <c r="A14491" i="1"/>
  <c r="B14491" i="1"/>
  <c r="A14492" i="1"/>
  <c r="B14492" i="1"/>
  <c r="A14493" i="1"/>
  <c r="B14493" i="1"/>
  <c r="A14494" i="1"/>
  <c r="B14494" i="1"/>
  <c r="A14495" i="1"/>
  <c r="B14495" i="1"/>
  <c r="A14496" i="1"/>
  <c r="B14496" i="1"/>
  <c r="A14497" i="1"/>
  <c r="B14497" i="1"/>
  <c r="A14498" i="1"/>
  <c r="B14498" i="1"/>
  <c r="A14499" i="1"/>
  <c r="B14499" i="1"/>
  <c r="A14500" i="1"/>
  <c r="B14500" i="1"/>
  <c r="A14501" i="1"/>
  <c r="B14501" i="1"/>
  <c r="A14502" i="1"/>
  <c r="B14502" i="1"/>
  <c r="A14503" i="1"/>
  <c r="B14503" i="1"/>
  <c r="A14504" i="1"/>
  <c r="B14504" i="1"/>
  <c r="A14505" i="1"/>
  <c r="B14505" i="1"/>
  <c r="A14506" i="1"/>
  <c r="B14506" i="1"/>
  <c r="A14507" i="1"/>
  <c r="B14507" i="1"/>
  <c r="A14508" i="1"/>
  <c r="B14508" i="1"/>
  <c r="A14509" i="1"/>
  <c r="B14509" i="1"/>
  <c r="A14510" i="1"/>
  <c r="B14510" i="1"/>
  <c r="A14511" i="1"/>
  <c r="B14511" i="1"/>
  <c r="A14512" i="1"/>
  <c r="B14512" i="1"/>
  <c r="A14513" i="1"/>
  <c r="B14513" i="1"/>
  <c r="A14514" i="1"/>
  <c r="B14514" i="1"/>
  <c r="A14515" i="1"/>
  <c r="B14515" i="1"/>
  <c r="A14516" i="1"/>
  <c r="B14516" i="1"/>
  <c r="A14517" i="1"/>
  <c r="B14517" i="1"/>
  <c r="A14518" i="1"/>
  <c r="B14518" i="1"/>
  <c r="A14519" i="1"/>
  <c r="B14519" i="1"/>
  <c r="A14520" i="1"/>
  <c r="B14520" i="1"/>
  <c r="A14521" i="1"/>
  <c r="B14521" i="1"/>
  <c r="A14522" i="1"/>
  <c r="B14522" i="1"/>
  <c r="A14523" i="1"/>
  <c r="B14523" i="1"/>
  <c r="A14524" i="1"/>
  <c r="B14524" i="1"/>
  <c r="A14525" i="1"/>
  <c r="B14525" i="1"/>
  <c r="A14526" i="1"/>
  <c r="B14526" i="1"/>
  <c r="A14527" i="1"/>
  <c r="B14527" i="1"/>
  <c r="A14528" i="1"/>
  <c r="B14528" i="1"/>
  <c r="A14529" i="1"/>
  <c r="B14529" i="1"/>
  <c r="A14530" i="1"/>
  <c r="B14530" i="1"/>
  <c r="A14531" i="1"/>
  <c r="B14531" i="1"/>
  <c r="A14532" i="1"/>
  <c r="B14532" i="1"/>
  <c r="A14533" i="1"/>
  <c r="B14533" i="1"/>
  <c r="A14534" i="1"/>
  <c r="B14534" i="1"/>
  <c r="A14535" i="1"/>
  <c r="B14535" i="1"/>
  <c r="A14536" i="1"/>
  <c r="B14536" i="1"/>
  <c r="A14537" i="1"/>
  <c r="B14537" i="1"/>
  <c r="A14538" i="1"/>
  <c r="B14538" i="1"/>
  <c r="A14539" i="1"/>
  <c r="B14539" i="1"/>
  <c r="A14540" i="1"/>
  <c r="B14540" i="1"/>
  <c r="A14541" i="1"/>
  <c r="B14541" i="1"/>
  <c r="A14542" i="1"/>
  <c r="B14542" i="1"/>
  <c r="A14543" i="1"/>
  <c r="B14543" i="1"/>
  <c r="A14544" i="1"/>
  <c r="B14544" i="1"/>
  <c r="A14545" i="1"/>
  <c r="B14545" i="1"/>
  <c r="A14546" i="1"/>
  <c r="B14546" i="1"/>
  <c r="A14547" i="1"/>
  <c r="B14547" i="1"/>
  <c r="A14548" i="1"/>
  <c r="B14548" i="1"/>
  <c r="A14549" i="1"/>
  <c r="B14549" i="1"/>
  <c r="A14550" i="1"/>
  <c r="B14550" i="1"/>
  <c r="A14551" i="1"/>
  <c r="B14551" i="1"/>
  <c r="A14552" i="1"/>
  <c r="B14552" i="1"/>
  <c r="A14553" i="1"/>
  <c r="B14553" i="1"/>
  <c r="A14554" i="1"/>
  <c r="B14554" i="1"/>
  <c r="A14555" i="1"/>
  <c r="B14555" i="1"/>
  <c r="A14556" i="1"/>
  <c r="B14556" i="1"/>
  <c r="A14557" i="1"/>
  <c r="B14557" i="1"/>
  <c r="A14558" i="1"/>
  <c r="B14558" i="1"/>
  <c r="A14559" i="1"/>
  <c r="B14559" i="1"/>
  <c r="A14560" i="1"/>
  <c r="B14560" i="1"/>
  <c r="A14561" i="1"/>
  <c r="B14561" i="1"/>
  <c r="A14562" i="1"/>
  <c r="B14562" i="1"/>
  <c r="A14563" i="1"/>
  <c r="B14563" i="1"/>
  <c r="A14564" i="1"/>
  <c r="B14564" i="1"/>
  <c r="A14565" i="1"/>
  <c r="B14565" i="1"/>
  <c r="A14566" i="1"/>
  <c r="B14566" i="1"/>
  <c r="A14567" i="1"/>
  <c r="B14567" i="1"/>
  <c r="A14568" i="1"/>
  <c r="B14568" i="1"/>
  <c r="A14569" i="1"/>
  <c r="B14569" i="1"/>
  <c r="A14570" i="1"/>
  <c r="B14570" i="1"/>
  <c r="A14571" i="1"/>
  <c r="B14571" i="1"/>
  <c r="A14572" i="1"/>
  <c r="B14572" i="1"/>
  <c r="A14573" i="1"/>
  <c r="B14573" i="1"/>
  <c r="A14574" i="1"/>
  <c r="B14574" i="1"/>
  <c r="A14575" i="1"/>
  <c r="B14575" i="1"/>
  <c r="A14576" i="1"/>
  <c r="B14576" i="1"/>
  <c r="A14577" i="1"/>
  <c r="B14577" i="1"/>
  <c r="A14578" i="1"/>
  <c r="B14578" i="1"/>
  <c r="A14579" i="1"/>
  <c r="B14579" i="1"/>
  <c r="A14580" i="1"/>
  <c r="B14580" i="1"/>
  <c r="A14581" i="1"/>
  <c r="B14581" i="1"/>
  <c r="A14582" i="1"/>
  <c r="B14582" i="1"/>
  <c r="A14583" i="1"/>
  <c r="B14583" i="1"/>
  <c r="A14584" i="1"/>
  <c r="B14584" i="1"/>
  <c r="A14585" i="1"/>
  <c r="B14585" i="1"/>
  <c r="A14586" i="1"/>
  <c r="B14586" i="1"/>
  <c r="A14587" i="1"/>
  <c r="B14587" i="1"/>
  <c r="A14588" i="1"/>
  <c r="B14588" i="1"/>
  <c r="A14589" i="1"/>
  <c r="B14589" i="1"/>
  <c r="A14590" i="1"/>
  <c r="B14590" i="1"/>
  <c r="A14591" i="1"/>
  <c r="B14591" i="1"/>
  <c r="A14592" i="1"/>
  <c r="B14592" i="1"/>
  <c r="A14593" i="1"/>
  <c r="B14593" i="1"/>
  <c r="A14594" i="1"/>
  <c r="B14594" i="1"/>
  <c r="A14595" i="1"/>
  <c r="B14595" i="1"/>
  <c r="A14596" i="1"/>
  <c r="B14596" i="1"/>
  <c r="A14597" i="1"/>
  <c r="B14597" i="1"/>
  <c r="A14598" i="1"/>
  <c r="B14598" i="1"/>
  <c r="A14599" i="1"/>
  <c r="B14599" i="1"/>
  <c r="A14600" i="1"/>
  <c r="B14600" i="1"/>
  <c r="A14601" i="1"/>
  <c r="B14601" i="1"/>
  <c r="A14602" i="1"/>
  <c r="B14602" i="1"/>
  <c r="A14603" i="1"/>
  <c r="B14603" i="1"/>
  <c r="A14604" i="1"/>
  <c r="B14604" i="1"/>
  <c r="A14605" i="1"/>
  <c r="B14605" i="1"/>
  <c r="A14606" i="1"/>
  <c r="B14606" i="1"/>
  <c r="A14607" i="1"/>
  <c r="B14607" i="1"/>
  <c r="A14608" i="1"/>
  <c r="B14608" i="1"/>
  <c r="A14609" i="1"/>
  <c r="B14609" i="1"/>
  <c r="A14610" i="1"/>
  <c r="B14610" i="1"/>
  <c r="A14611" i="1"/>
  <c r="B14611" i="1"/>
  <c r="A14612" i="1"/>
  <c r="B14612" i="1"/>
  <c r="A14613" i="1"/>
  <c r="B14613" i="1"/>
  <c r="A14614" i="1"/>
  <c r="B14614" i="1"/>
  <c r="A14615" i="1"/>
  <c r="B14615" i="1"/>
  <c r="A14616" i="1"/>
  <c r="B14616" i="1"/>
  <c r="A14617" i="1"/>
  <c r="B14617" i="1"/>
  <c r="A14618" i="1"/>
  <c r="B14618" i="1"/>
  <c r="A14619" i="1"/>
  <c r="B14619" i="1"/>
  <c r="A14620" i="1"/>
  <c r="B14620" i="1"/>
  <c r="A14621" i="1"/>
  <c r="B14621" i="1"/>
  <c r="A14622" i="1"/>
  <c r="B14622" i="1"/>
  <c r="A14623" i="1"/>
  <c r="B14623" i="1"/>
  <c r="A14624" i="1"/>
  <c r="B14624" i="1"/>
  <c r="A14625" i="1"/>
  <c r="B14625" i="1"/>
  <c r="A14626" i="1"/>
  <c r="B14626" i="1"/>
  <c r="A14627" i="1"/>
  <c r="B14627" i="1"/>
  <c r="A14628" i="1"/>
  <c r="B14628" i="1"/>
  <c r="A14629" i="1"/>
  <c r="B14629" i="1"/>
  <c r="A14630" i="1"/>
  <c r="B14630" i="1"/>
  <c r="A14631" i="1"/>
  <c r="B14631" i="1"/>
  <c r="A14632" i="1"/>
  <c r="B14632" i="1"/>
  <c r="A14633" i="1"/>
  <c r="B14633" i="1"/>
  <c r="A14634" i="1"/>
  <c r="B14634" i="1"/>
  <c r="A14635" i="1"/>
  <c r="B14635" i="1"/>
  <c r="A14636" i="1"/>
  <c r="B14636" i="1"/>
  <c r="A14637" i="1"/>
  <c r="B14637" i="1"/>
  <c r="A14638" i="1"/>
  <c r="B14638" i="1"/>
  <c r="A14639" i="1"/>
  <c r="B14639" i="1"/>
  <c r="A14640" i="1"/>
  <c r="B14640" i="1"/>
  <c r="A14641" i="1"/>
  <c r="B14641" i="1"/>
  <c r="A14642" i="1"/>
  <c r="B14642" i="1"/>
  <c r="A14643" i="1"/>
  <c r="B14643" i="1"/>
  <c r="A14644" i="1"/>
  <c r="B14644" i="1"/>
  <c r="A14645" i="1"/>
  <c r="B14645" i="1"/>
  <c r="A14646" i="1"/>
  <c r="B14646" i="1"/>
  <c r="A14647" i="1"/>
  <c r="B14647" i="1"/>
  <c r="A14648" i="1"/>
  <c r="B14648" i="1"/>
  <c r="A14649" i="1"/>
  <c r="B14649" i="1"/>
  <c r="A14650" i="1"/>
  <c r="B14650" i="1"/>
  <c r="A14651" i="1"/>
  <c r="B14651" i="1"/>
  <c r="A14652" i="1"/>
  <c r="B14652" i="1"/>
  <c r="A14653" i="1"/>
  <c r="B14653" i="1"/>
  <c r="A14654" i="1"/>
  <c r="B14654" i="1"/>
  <c r="A14655" i="1"/>
  <c r="B14655" i="1"/>
  <c r="A14656" i="1"/>
  <c r="B14656" i="1"/>
  <c r="A14657" i="1"/>
  <c r="B14657" i="1"/>
  <c r="A14658" i="1"/>
  <c r="B14658" i="1"/>
  <c r="A14659" i="1"/>
  <c r="B14659" i="1"/>
  <c r="A14660" i="1"/>
  <c r="B14660" i="1"/>
  <c r="A14661" i="1"/>
  <c r="B14661" i="1"/>
  <c r="A14662" i="1"/>
  <c r="B14662" i="1"/>
  <c r="A14663" i="1"/>
  <c r="B14663" i="1"/>
  <c r="A14664" i="1"/>
  <c r="B14664" i="1"/>
  <c r="A14665" i="1"/>
  <c r="B14665" i="1"/>
  <c r="A14666" i="1"/>
  <c r="B14666" i="1"/>
  <c r="A14667" i="1"/>
  <c r="B14667" i="1"/>
  <c r="A14668" i="1"/>
  <c r="B14668" i="1"/>
  <c r="A14669" i="1"/>
  <c r="B14669" i="1"/>
  <c r="A14670" i="1"/>
  <c r="B14670" i="1"/>
  <c r="A14671" i="1"/>
  <c r="B14671" i="1"/>
  <c r="A14672" i="1"/>
  <c r="B14672" i="1"/>
  <c r="A14673" i="1"/>
  <c r="B14673" i="1"/>
  <c r="A14674" i="1"/>
  <c r="B14674" i="1"/>
  <c r="A14675" i="1"/>
  <c r="B14675" i="1"/>
  <c r="A14676" i="1"/>
  <c r="B14676" i="1"/>
  <c r="A14677" i="1"/>
  <c r="B14677" i="1"/>
  <c r="A14678" i="1"/>
  <c r="B14678" i="1"/>
  <c r="A14679" i="1"/>
  <c r="B14679" i="1"/>
  <c r="A14680" i="1"/>
  <c r="B14680" i="1"/>
  <c r="A14681" i="1"/>
  <c r="B14681" i="1"/>
  <c r="A14682" i="1"/>
  <c r="B14682" i="1"/>
  <c r="A14683" i="1"/>
  <c r="B14683" i="1"/>
  <c r="A14684" i="1"/>
  <c r="B14684" i="1"/>
  <c r="A14685" i="1"/>
  <c r="B14685" i="1"/>
  <c r="A14686" i="1"/>
  <c r="B14686" i="1"/>
  <c r="A14687" i="1"/>
  <c r="B14687" i="1"/>
  <c r="A14688" i="1"/>
  <c r="B14688" i="1"/>
  <c r="A14689" i="1"/>
  <c r="B14689" i="1"/>
  <c r="A14690" i="1"/>
  <c r="B14690" i="1"/>
  <c r="A14691" i="1"/>
  <c r="B14691" i="1"/>
  <c r="A14692" i="1"/>
  <c r="B14692" i="1"/>
  <c r="A14693" i="1"/>
  <c r="B14693" i="1"/>
  <c r="A14694" i="1"/>
  <c r="B14694" i="1"/>
  <c r="A14695" i="1"/>
  <c r="B14695" i="1"/>
  <c r="A14696" i="1"/>
  <c r="B14696" i="1"/>
  <c r="A14697" i="1"/>
  <c r="B14697" i="1"/>
  <c r="A14698" i="1"/>
  <c r="B14698" i="1"/>
  <c r="A14699" i="1"/>
  <c r="B14699" i="1"/>
  <c r="A14700" i="1"/>
  <c r="B14700" i="1"/>
  <c r="A14701" i="1"/>
  <c r="B14701" i="1"/>
  <c r="A14702" i="1"/>
  <c r="B14702" i="1"/>
  <c r="A14703" i="1"/>
  <c r="B14703" i="1"/>
  <c r="A14704" i="1"/>
  <c r="B14704" i="1"/>
  <c r="A14705" i="1"/>
  <c r="B14705" i="1"/>
  <c r="A14706" i="1"/>
  <c r="B14706" i="1"/>
  <c r="A14707" i="1"/>
  <c r="B14707" i="1"/>
  <c r="A14708" i="1"/>
  <c r="B14708" i="1"/>
  <c r="A14709" i="1"/>
  <c r="B14709" i="1"/>
  <c r="A14710" i="1"/>
  <c r="B14710" i="1"/>
  <c r="A14711" i="1"/>
  <c r="B14711" i="1"/>
  <c r="A14712" i="1"/>
  <c r="B14712" i="1"/>
  <c r="A14713" i="1"/>
  <c r="B14713" i="1"/>
  <c r="A14714" i="1"/>
  <c r="B14714" i="1"/>
  <c r="A14715" i="1"/>
  <c r="B14715" i="1"/>
  <c r="A14716" i="1"/>
  <c r="B14716" i="1"/>
  <c r="A14717" i="1"/>
  <c r="B14717" i="1"/>
  <c r="A14718" i="1"/>
  <c r="B14718" i="1"/>
  <c r="A14719" i="1"/>
  <c r="B14719" i="1"/>
  <c r="A14720" i="1"/>
  <c r="B14720" i="1"/>
  <c r="A14721" i="1"/>
  <c r="B14721" i="1"/>
  <c r="A14722" i="1"/>
  <c r="B14722" i="1"/>
  <c r="A14723" i="1"/>
  <c r="B14723" i="1"/>
  <c r="A14724" i="1"/>
  <c r="B14724" i="1"/>
  <c r="A14725" i="1"/>
  <c r="B14725" i="1"/>
  <c r="A14726" i="1"/>
  <c r="B14726" i="1"/>
  <c r="A14727" i="1"/>
  <c r="B14727" i="1"/>
  <c r="A14728" i="1"/>
  <c r="B14728" i="1"/>
  <c r="A14729" i="1"/>
  <c r="B14729" i="1"/>
  <c r="A14730" i="1"/>
  <c r="B14730" i="1"/>
  <c r="A14731" i="1"/>
  <c r="B14731" i="1"/>
  <c r="A14732" i="1"/>
  <c r="B14732" i="1"/>
  <c r="A14733" i="1"/>
  <c r="B14733" i="1"/>
  <c r="A14734" i="1"/>
  <c r="B14734" i="1"/>
  <c r="A14735" i="1"/>
  <c r="B14735" i="1"/>
  <c r="A14736" i="1"/>
  <c r="B14736" i="1"/>
  <c r="A14737" i="1"/>
  <c r="B14737" i="1"/>
  <c r="A14738" i="1"/>
  <c r="B14738" i="1"/>
  <c r="A14739" i="1"/>
  <c r="B14739" i="1"/>
  <c r="A14740" i="1"/>
  <c r="B14740" i="1"/>
  <c r="A14741" i="1"/>
  <c r="B14741" i="1"/>
  <c r="A14742" i="1"/>
  <c r="B14742" i="1"/>
  <c r="A14743" i="1"/>
  <c r="B14743" i="1"/>
  <c r="A14744" i="1"/>
  <c r="B14744" i="1"/>
  <c r="A14745" i="1"/>
  <c r="B14745" i="1"/>
  <c r="A14746" i="1"/>
  <c r="B14746" i="1"/>
  <c r="A14747" i="1"/>
  <c r="B14747" i="1"/>
  <c r="A14748" i="1"/>
  <c r="B14748" i="1"/>
  <c r="A14749" i="1"/>
  <c r="B14749" i="1"/>
  <c r="A14750" i="1"/>
  <c r="B14750" i="1"/>
  <c r="A14751" i="1"/>
  <c r="B14751" i="1"/>
  <c r="A14752" i="1"/>
  <c r="B14752" i="1"/>
  <c r="A14753" i="1"/>
  <c r="B14753" i="1"/>
  <c r="A14754" i="1"/>
  <c r="B14754" i="1"/>
  <c r="A14755" i="1"/>
  <c r="B14755" i="1"/>
  <c r="A14756" i="1"/>
  <c r="B14756" i="1"/>
  <c r="A14757" i="1"/>
  <c r="B14757" i="1"/>
  <c r="A14758" i="1"/>
  <c r="B14758" i="1"/>
  <c r="A14759" i="1"/>
  <c r="B14759" i="1"/>
  <c r="A14760" i="1"/>
  <c r="B14760" i="1"/>
  <c r="A14761" i="1"/>
  <c r="B14761" i="1"/>
  <c r="A14762" i="1"/>
  <c r="B14762" i="1"/>
  <c r="A14763" i="1"/>
  <c r="B14763" i="1"/>
  <c r="A14764" i="1"/>
  <c r="B14764" i="1"/>
  <c r="A14765" i="1"/>
  <c r="B14765" i="1"/>
  <c r="A14766" i="1"/>
  <c r="B14766" i="1"/>
  <c r="A14767" i="1"/>
  <c r="B14767" i="1"/>
  <c r="A14768" i="1"/>
  <c r="B14768" i="1"/>
  <c r="A14769" i="1"/>
  <c r="B14769" i="1"/>
  <c r="A14770" i="1"/>
  <c r="B14770" i="1"/>
  <c r="A14771" i="1"/>
  <c r="B14771" i="1"/>
  <c r="A14772" i="1"/>
  <c r="B14772" i="1"/>
  <c r="A14773" i="1"/>
  <c r="B14773" i="1"/>
  <c r="A14774" i="1"/>
  <c r="B14774" i="1"/>
  <c r="A14775" i="1"/>
  <c r="B14775" i="1"/>
  <c r="A14776" i="1"/>
  <c r="B14776" i="1"/>
  <c r="A14777" i="1"/>
  <c r="B14777" i="1"/>
  <c r="A14778" i="1"/>
  <c r="B14778" i="1"/>
  <c r="A14779" i="1"/>
  <c r="B14779" i="1"/>
  <c r="A14780" i="1"/>
  <c r="B14780" i="1"/>
  <c r="A14781" i="1"/>
  <c r="B14781" i="1"/>
  <c r="A14782" i="1"/>
  <c r="B14782" i="1"/>
  <c r="A14783" i="1"/>
  <c r="B14783" i="1"/>
  <c r="A14784" i="1"/>
  <c r="B14784" i="1"/>
  <c r="A14785" i="1"/>
  <c r="B14785" i="1"/>
  <c r="A14786" i="1"/>
  <c r="B14786" i="1"/>
  <c r="A14787" i="1"/>
  <c r="B14787" i="1"/>
  <c r="A14788" i="1"/>
  <c r="B14788" i="1"/>
  <c r="A14789" i="1"/>
  <c r="B14789" i="1"/>
  <c r="A14790" i="1"/>
  <c r="B14790" i="1"/>
  <c r="A14791" i="1"/>
  <c r="B14791" i="1"/>
  <c r="A14792" i="1"/>
  <c r="B14792" i="1"/>
  <c r="A14793" i="1"/>
  <c r="B14793" i="1"/>
  <c r="A14794" i="1"/>
  <c r="B14794" i="1"/>
  <c r="A14795" i="1"/>
  <c r="B14795" i="1"/>
  <c r="A14796" i="1"/>
  <c r="B14796" i="1"/>
  <c r="A14797" i="1"/>
  <c r="B14797" i="1"/>
  <c r="A14798" i="1"/>
  <c r="B14798" i="1"/>
  <c r="A14799" i="1"/>
  <c r="B14799" i="1"/>
  <c r="A14800" i="1"/>
  <c r="B14800" i="1"/>
  <c r="A14801" i="1"/>
  <c r="B14801" i="1"/>
  <c r="A14802" i="1"/>
  <c r="B14802" i="1"/>
  <c r="A14803" i="1"/>
  <c r="B14803" i="1"/>
  <c r="A14804" i="1"/>
  <c r="B14804" i="1"/>
  <c r="A14805" i="1"/>
  <c r="B14805" i="1"/>
  <c r="A14806" i="1"/>
  <c r="B14806" i="1"/>
  <c r="A14807" i="1"/>
  <c r="B14807" i="1"/>
  <c r="A14808" i="1"/>
  <c r="B14808" i="1"/>
  <c r="A14809" i="1"/>
  <c r="B14809" i="1"/>
  <c r="A14810" i="1"/>
  <c r="B14810" i="1"/>
  <c r="A14811" i="1"/>
  <c r="B14811" i="1"/>
  <c r="A14812" i="1"/>
  <c r="B14812" i="1"/>
  <c r="A14813" i="1"/>
  <c r="B14813" i="1"/>
  <c r="A14814" i="1"/>
  <c r="B14814" i="1"/>
  <c r="A14815" i="1"/>
  <c r="B14815" i="1"/>
  <c r="A14816" i="1"/>
  <c r="B14816" i="1"/>
  <c r="A14817" i="1"/>
  <c r="B14817" i="1"/>
  <c r="A14818" i="1"/>
  <c r="B14818" i="1"/>
  <c r="A14819" i="1"/>
  <c r="B14819" i="1"/>
  <c r="A14820" i="1"/>
  <c r="B14820" i="1"/>
  <c r="A14821" i="1"/>
  <c r="B14821" i="1"/>
  <c r="A14822" i="1"/>
  <c r="B14822" i="1"/>
  <c r="A14823" i="1"/>
  <c r="B14823" i="1"/>
  <c r="A14824" i="1"/>
  <c r="B14824" i="1"/>
  <c r="A14825" i="1"/>
  <c r="B14825" i="1"/>
  <c r="A14826" i="1"/>
  <c r="B14826" i="1"/>
  <c r="A14827" i="1"/>
  <c r="B14827" i="1"/>
  <c r="A14828" i="1"/>
  <c r="B14828" i="1"/>
  <c r="A14829" i="1"/>
  <c r="B14829" i="1"/>
  <c r="A14830" i="1"/>
  <c r="B14830" i="1"/>
  <c r="A14831" i="1"/>
  <c r="B14831" i="1"/>
  <c r="A14832" i="1"/>
  <c r="B14832" i="1"/>
  <c r="A14833" i="1"/>
  <c r="B14833" i="1"/>
  <c r="A14834" i="1"/>
  <c r="B14834" i="1"/>
  <c r="A14835" i="1"/>
  <c r="B14835" i="1"/>
  <c r="A14836" i="1"/>
  <c r="B14836" i="1"/>
  <c r="A14837" i="1"/>
  <c r="B14837" i="1"/>
  <c r="A14838" i="1"/>
  <c r="B14838" i="1"/>
  <c r="A14839" i="1"/>
  <c r="B14839" i="1"/>
  <c r="A14840" i="1"/>
  <c r="B14840" i="1"/>
  <c r="A14841" i="1"/>
  <c r="B14841" i="1"/>
  <c r="A14842" i="1"/>
  <c r="B14842" i="1"/>
  <c r="A14843" i="1"/>
  <c r="B14843" i="1"/>
  <c r="A14844" i="1"/>
  <c r="B14844" i="1"/>
  <c r="A14845" i="1"/>
  <c r="B14845" i="1"/>
  <c r="A14846" i="1"/>
  <c r="B14846" i="1"/>
  <c r="A14847" i="1"/>
  <c r="B14847" i="1"/>
  <c r="A14848" i="1"/>
  <c r="B14848" i="1"/>
  <c r="A14849" i="1"/>
  <c r="B14849" i="1"/>
  <c r="A14850" i="1"/>
  <c r="B14850" i="1"/>
  <c r="A14851" i="1"/>
  <c r="B14851" i="1"/>
  <c r="A14852" i="1"/>
  <c r="B14852" i="1"/>
  <c r="A14853" i="1"/>
  <c r="B14853" i="1"/>
  <c r="A14854" i="1"/>
  <c r="B14854" i="1"/>
  <c r="A14855" i="1"/>
  <c r="B14855" i="1"/>
  <c r="A14856" i="1"/>
  <c r="B14856" i="1"/>
  <c r="A14857" i="1"/>
  <c r="B14857" i="1"/>
  <c r="A14858" i="1"/>
  <c r="B14858" i="1"/>
  <c r="A14859" i="1"/>
  <c r="B14859" i="1"/>
  <c r="A14860" i="1"/>
  <c r="B14860" i="1"/>
  <c r="A14861" i="1"/>
  <c r="B14861" i="1"/>
  <c r="A14862" i="1"/>
  <c r="B14862" i="1"/>
  <c r="A14863" i="1"/>
  <c r="B14863" i="1"/>
  <c r="A14864" i="1"/>
  <c r="B14864" i="1"/>
  <c r="A14865" i="1"/>
  <c r="B14865" i="1"/>
  <c r="A14866" i="1"/>
  <c r="B14866" i="1"/>
  <c r="A14867" i="1"/>
  <c r="B14867" i="1"/>
  <c r="A14868" i="1"/>
  <c r="B14868" i="1"/>
  <c r="A14869" i="1"/>
  <c r="B14869" i="1"/>
  <c r="A14870" i="1"/>
  <c r="B14870" i="1"/>
  <c r="A14871" i="1"/>
  <c r="B14871" i="1"/>
  <c r="A14872" i="1"/>
  <c r="B14872" i="1"/>
  <c r="A14873" i="1"/>
  <c r="B14873" i="1"/>
  <c r="A14874" i="1"/>
  <c r="B14874" i="1"/>
  <c r="A14875" i="1"/>
  <c r="B14875" i="1"/>
  <c r="A14876" i="1"/>
  <c r="B14876" i="1"/>
  <c r="A14877" i="1"/>
  <c r="B14877" i="1"/>
  <c r="A14878" i="1"/>
  <c r="B14878" i="1"/>
  <c r="A14879" i="1"/>
  <c r="B14879" i="1"/>
  <c r="A14880" i="1"/>
  <c r="B14880" i="1"/>
  <c r="A14881" i="1"/>
  <c r="B14881" i="1"/>
  <c r="A14882" i="1"/>
  <c r="B14882" i="1"/>
  <c r="A14883" i="1"/>
  <c r="B14883" i="1"/>
  <c r="A14884" i="1"/>
  <c r="B14884" i="1"/>
  <c r="A14885" i="1"/>
  <c r="B14885" i="1"/>
  <c r="A14886" i="1"/>
  <c r="B14886" i="1"/>
  <c r="A14887" i="1"/>
  <c r="B14887" i="1"/>
  <c r="A14888" i="1"/>
  <c r="B14888" i="1"/>
  <c r="A14889" i="1"/>
  <c r="B14889" i="1"/>
  <c r="A14890" i="1"/>
  <c r="B14890" i="1"/>
  <c r="A14891" i="1"/>
  <c r="B14891" i="1"/>
  <c r="A14892" i="1"/>
  <c r="B14892" i="1"/>
  <c r="A14893" i="1"/>
  <c r="B14893" i="1"/>
  <c r="A14894" i="1"/>
  <c r="B14894" i="1"/>
  <c r="A14895" i="1"/>
  <c r="B14895" i="1"/>
  <c r="A14896" i="1"/>
  <c r="B14896" i="1"/>
  <c r="A14897" i="1"/>
  <c r="B14897" i="1"/>
  <c r="A14898" i="1"/>
  <c r="B14898" i="1"/>
  <c r="A14899" i="1"/>
  <c r="B14899" i="1"/>
  <c r="A14900" i="1"/>
  <c r="B14900" i="1"/>
  <c r="A14901" i="1"/>
  <c r="B14901" i="1"/>
  <c r="A14902" i="1"/>
  <c r="B14902" i="1"/>
  <c r="A14903" i="1"/>
  <c r="B14903" i="1"/>
  <c r="A14904" i="1"/>
  <c r="B14904" i="1"/>
  <c r="A14905" i="1"/>
  <c r="B14905" i="1"/>
  <c r="A14906" i="1"/>
  <c r="B14906" i="1"/>
  <c r="A14907" i="1"/>
  <c r="B14907" i="1"/>
  <c r="A14908" i="1"/>
  <c r="B14908" i="1"/>
  <c r="A14909" i="1"/>
  <c r="B14909" i="1"/>
  <c r="A14910" i="1"/>
  <c r="B14910" i="1"/>
  <c r="A14911" i="1"/>
  <c r="B14911" i="1"/>
  <c r="A14912" i="1"/>
  <c r="B14912" i="1"/>
  <c r="A14913" i="1"/>
  <c r="B14913" i="1"/>
  <c r="A14914" i="1"/>
  <c r="B14914" i="1"/>
  <c r="A14915" i="1"/>
  <c r="B14915" i="1"/>
  <c r="A14916" i="1"/>
  <c r="B14916" i="1"/>
  <c r="A14917" i="1"/>
  <c r="B14917" i="1"/>
  <c r="A14918" i="1"/>
  <c r="B14918" i="1"/>
  <c r="A14919" i="1"/>
  <c r="B14919" i="1"/>
  <c r="A14920" i="1"/>
  <c r="B14920" i="1"/>
  <c r="A14921" i="1"/>
  <c r="B14921" i="1"/>
  <c r="A14922" i="1"/>
  <c r="B14922" i="1"/>
  <c r="A14923" i="1"/>
  <c r="B14923" i="1"/>
  <c r="A14924" i="1"/>
  <c r="B14924" i="1"/>
  <c r="A14925" i="1"/>
  <c r="B14925" i="1"/>
  <c r="A14926" i="1"/>
  <c r="B14926" i="1"/>
  <c r="A14927" i="1"/>
  <c r="B14927" i="1"/>
  <c r="A14928" i="1"/>
  <c r="B14928" i="1"/>
  <c r="A14929" i="1"/>
  <c r="B14929" i="1"/>
  <c r="A14930" i="1"/>
  <c r="B14930" i="1"/>
  <c r="A14931" i="1"/>
  <c r="B14931" i="1"/>
  <c r="A14932" i="1"/>
  <c r="B14932" i="1"/>
  <c r="A14933" i="1"/>
  <c r="B14933" i="1"/>
  <c r="A14934" i="1"/>
  <c r="B14934" i="1"/>
  <c r="A14935" i="1"/>
  <c r="B14935" i="1"/>
  <c r="A14936" i="1"/>
  <c r="B14936" i="1"/>
  <c r="A14937" i="1"/>
  <c r="B14937" i="1"/>
  <c r="A14938" i="1"/>
  <c r="B14938" i="1"/>
  <c r="A14939" i="1"/>
  <c r="B14939" i="1"/>
  <c r="A14940" i="1"/>
  <c r="B14940" i="1"/>
  <c r="A14941" i="1"/>
  <c r="B14941" i="1"/>
  <c r="A14942" i="1"/>
  <c r="B14942" i="1"/>
  <c r="A14943" i="1"/>
  <c r="B14943" i="1"/>
  <c r="A14944" i="1"/>
  <c r="B14944" i="1"/>
  <c r="A14945" i="1"/>
  <c r="B14945" i="1"/>
  <c r="A14946" i="1"/>
  <c r="B14946" i="1"/>
  <c r="A14947" i="1"/>
  <c r="B14947" i="1"/>
  <c r="A14948" i="1"/>
  <c r="B14948" i="1"/>
  <c r="A14949" i="1"/>
  <c r="B14949" i="1"/>
  <c r="A14950" i="1"/>
  <c r="B14950" i="1"/>
  <c r="A14951" i="1"/>
  <c r="B14951" i="1"/>
  <c r="A14952" i="1"/>
  <c r="B14952" i="1"/>
  <c r="A14953" i="1"/>
  <c r="B14953" i="1"/>
  <c r="A14954" i="1"/>
  <c r="B14954" i="1"/>
  <c r="A14955" i="1"/>
  <c r="B14955" i="1"/>
  <c r="A14956" i="1"/>
  <c r="B14956" i="1"/>
  <c r="A14957" i="1"/>
  <c r="B14957" i="1"/>
  <c r="A14958" i="1"/>
  <c r="B14958" i="1"/>
  <c r="A14959" i="1"/>
  <c r="B14959" i="1"/>
  <c r="A14960" i="1"/>
  <c r="B14960" i="1"/>
  <c r="A14961" i="1"/>
  <c r="B14961" i="1"/>
  <c r="A14962" i="1"/>
  <c r="B14962" i="1"/>
  <c r="A14963" i="1"/>
  <c r="B14963" i="1"/>
  <c r="A14964" i="1"/>
  <c r="B14964" i="1"/>
  <c r="A14965" i="1"/>
  <c r="B14965" i="1"/>
  <c r="A14966" i="1"/>
  <c r="B14966" i="1"/>
  <c r="A14967" i="1"/>
  <c r="B14967" i="1"/>
  <c r="A14968" i="1"/>
  <c r="B14968" i="1"/>
  <c r="A14969" i="1"/>
  <c r="B14969" i="1"/>
  <c r="A14970" i="1"/>
  <c r="B14970" i="1"/>
  <c r="A14971" i="1"/>
  <c r="B14971" i="1"/>
  <c r="A14972" i="1"/>
  <c r="B14972" i="1"/>
  <c r="A14973" i="1"/>
  <c r="B14973" i="1"/>
  <c r="A14974" i="1"/>
  <c r="B14974" i="1"/>
  <c r="A14975" i="1"/>
  <c r="B14975" i="1"/>
  <c r="A14976" i="1"/>
  <c r="B14976" i="1"/>
  <c r="A14977" i="1"/>
  <c r="B14977" i="1"/>
  <c r="A14978" i="1"/>
  <c r="B14978" i="1"/>
  <c r="A14979" i="1"/>
  <c r="B14979" i="1"/>
  <c r="A14980" i="1"/>
  <c r="B14980" i="1"/>
  <c r="A14981" i="1"/>
  <c r="B14981" i="1"/>
  <c r="A14982" i="1"/>
  <c r="B14982" i="1"/>
  <c r="A14983" i="1"/>
  <c r="B14983" i="1"/>
  <c r="A14984" i="1"/>
  <c r="B14984" i="1"/>
  <c r="A14985" i="1"/>
  <c r="B14985" i="1"/>
  <c r="A14986" i="1"/>
  <c r="B14986" i="1"/>
  <c r="A14987" i="1"/>
  <c r="B14987" i="1"/>
  <c r="A14988" i="1"/>
  <c r="B14988" i="1"/>
  <c r="A14989" i="1"/>
  <c r="B14989" i="1"/>
  <c r="A14990" i="1"/>
  <c r="B14990" i="1"/>
  <c r="A14991" i="1"/>
  <c r="B14991" i="1"/>
  <c r="A14992" i="1"/>
  <c r="B14992" i="1"/>
  <c r="A14993" i="1"/>
  <c r="B14993" i="1"/>
  <c r="A14994" i="1"/>
  <c r="B14994" i="1"/>
  <c r="A14995" i="1"/>
  <c r="B14995" i="1"/>
  <c r="A14996" i="1"/>
  <c r="B14996" i="1"/>
  <c r="A14997" i="1"/>
  <c r="B14997" i="1"/>
  <c r="A14998" i="1"/>
  <c r="B14998" i="1"/>
  <c r="A14999" i="1"/>
  <c r="B14999" i="1"/>
  <c r="A15000" i="1"/>
  <c r="B15000" i="1"/>
  <c r="A15001" i="1"/>
  <c r="B15001" i="1"/>
  <c r="A15002" i="1"/>
  <c r="B15002" i="1"/>
  <c r="A15003" i="1"/>
  <c r="B15003" i="1"/>
  <c r="A15004" i="1"/>
  <c r="B15004" i="1"/>
  <c r="A15005" i="1"/>
  <c r="B15005" i="1"/>
  <c r="A15006" i="1"/>
  <c r="B15006" i="1"/>
  <c r="A15007" i="1"/>
  <c r="B15007" i="1"/>
  <c r="A15008" i="1"/>
  <c r="B15008" i="1"/>
  <c r="A15009" i="1"/>
  <c r="B15009" i="1"/>
  <c r="A15010" i="1"/>
  <c r="B15010" i="1"/>
  <c r="A15011" i="1"/>
  <c r="B15011" i="1"/>
  <c r="A15012" i="1"/>
  <c r="B15012" i="1"/>
  <c r="A15013" i="1"/>
  <c r="B15013" i="1"/>
  <c r="A15014" i="1"/>
  <c r="B15014" i="1"/>
  <c r="A15015" i="1"/>
  <c r="B15015" i="1"/>
  <c r="A15016" i="1"/>
  <c r="B15016" i="1"/>
  <c r="A15017" i="1"/>
  <c r="B15017" i="1"/>
  <c r="A15018" i="1"/>
  <c r="B15018" i="1"/>
  <c r="A15019" i="1"/>
  <c r="B15019" i="1"/>
  <c r="A15020" i="1"/>
  <c r="B15020" i="1"/>
  <c r="A15021" i="1"/>
  <c r="B15021" i="1"/>
  <c r="A15022" i="1"/>
  <c r="B15022" i="1"/>
  <c r="A15023" i="1"/>
  <c r="B15023" i="1"/>
  <c r="A15024" i="1"/>
  <c r="B15024" i="1"/>
  <c r="A15025" i="1"/>
  <c r="B15025" i="1"/>
  <c r="A15026" i="1"/>
  <c r="B15026" i="1"/>
  <c r="A15027" i="1"/>
  <c r="B15027" i="1"/>
  <c r="A15028" i="1"/>
  <c r="B15028" i="1"/>
  <c r="A15029" i="1"/>
  <c r="B15029" i="1"/>
  <c r="A15030" i="1"/>
  <c r="B15030" i="1"/>
  <c r="A15031" i="1"/>
  <c r="B15031" i="1"/>
  <c r="A15032" i="1"/>
  <c r="B15032" i="1"/>
  <c r="A15033" i="1"/>
  <c r="B15033" i="1"/>
  <c r="A15034" i="1"/>
  <c r="B15034" i="1"/>
  <c r="A15035" i="1"/>
  <c r="B15035" i="1"/>
  <c r="A15036" i="1"/>
  <c r="B15036" i="1"/>
  <c r="A15037" i="1"/>
  <c r="B15037" i="1"/>
  <c r="A15038" i="1"/>
  <c r="B15038" i="1"/>
  <c r="A15039" i="1"/>
  <c r="B15039" i="1"/>
  <c r="A15040" i="1"/>
  <c r="B15040" i="1"/>
  <c r="A15041" i="1"/>
  <c r="B15041" i="1"/>
  <c r="A15042" i="1"/>
  <c r="B15042" i="1"/>
  <c r="A15043" i="1"/>
  <c r="B15043" i="1"/>
  <c r="A15044" i="1"/>
  <c r="B15044" i="1"/>
  <c r="A15045" i="1"/>
  <c r="B15045" i="1"/>
  <c r="A15046" i="1"/>
  <c r="B15046" i="1"/>
  <c r="A15047" i="1"/>
  <c r="B15047" i="1"/>
  <c r="A15048" i="1"/>
  <c r="B15048" i="1"/>
  <c r="A15049" i="1"/>
  <c r="B15049" i="1"/>
  <c r="A15050" i="1"/>
  <c r="B15050" i="1"/>
  <c r="A15051" i="1"/>
  <c r="B15051" i="1"/>
  <c r="A15052" i="1"/>
  <c r="B15052" i="1"/>
  <c r="A15053" i="1"/>
  <c r="B15053" i="1"/>
  <c r="A15054" i="1"/>
  <c r="B15054" i="1"/>
  <c r="A15055" i="1"/>
  <c r="B15055" i="1"/>
  <c r="A15056" i="1"/>
  <c r="B15056" i="1"/>
  <c r="A15057" i="1"/>
  <c r="B15057" i="1"/>
  <c r="A15058" i="1"/>
  <c r="B15058" i="1"/>
  <c r="A15059" i="1"/>
  <c r="B15059" i="1"/>
  <c r="A15060" i="1"/>
  <c r="B15060" i="1"/>
  <c r="A15061" i="1"/>
  <c r="B15061" i="1"/>
  <c r="A15062" i="1"/>
  <c r="B15062" i="1"/>
  <c r="A15063" i="1"/>
  <c r="B15063" i="1"/>
  <c r="A15064" i="1"/>
  <c r="B15064" i="1"/>
  <c r="A15065" i="1"/>
  <c r="B15065" i="1"/>
  <c r="A15066" i="1"/>
  <c r="B15066" i="1"/>
  <c r="A15067" i="1"/>
  <c r="B15067" i="1"/>
  <c r="A15068" i="1"/>
  <c r="B15068" i="1"/>
  <c r="A15069" i="1"/>
  <c r="B15069" i="1"/>
  <c r="A15070" i="1"/>
  <c r="B15070" i="1"/>
  <c r="A15071" i="1"/>
  <c r="B15071" i="1"/>
  <c r="A15072" i="1"/>
  <c r="B15072" i="1"/>
  <c r="A15073" i="1"/>
  <c r="B15073" i="1"/>
  <c r="A15074" i="1"/>
  <c r="B15074" i="1"/>
  <c r="A15075" i="1"/>
  <c r="B15075" i="1"/>
  <c r="A15076" i="1"/>
  <c r="B15076" i="1"/>
  <c r="A15077" i="1"/>
  <c r="B15077" i="1"/>
  <c r="A15078" i="1"/>
  <c r="B15078" i="1"/>
  <c r="A15079" i="1"/>
  <c r="B15079" i="1"/>
  <c r="A15080" i="1"/>
  <c r="B15080" i="1"/>
  <c r="A15081" i="1"/>
  <c r="B15081" i="1"/>
  <c r="A15082" i="1"/>
  <c r="B15082" i="1"/>
  <c r="A15083" i="1"/>
  <c r="B15083" i="1"/>
  <c r="A15084" i="1"/>
  <c r="B15084" i="1"/>
  <c r="A15085" i="1"/>
  <c r="B15085" i="1"/>
  <c r="A15086" i="1"/>
  <c r="B15086" i="1"/>
  <c r="A15087" i="1"/>
  <c r="B15087" i="1"/>
  <c r="A15088" i="1"/>
  <c r="B15088" i="1"/>
  <c r="A15089" i="1"/>
  <c r="B15089" i="1"/>
  <c r="A15090" i="1"/>
  <c r="B15090" i="1"/>
  <c r="A15091" i="1"/>
  <c r="B15091" i="1"/>
  <c r="A15092" i="1"/>
  <c r="B15092" i="1"/>
  <c r="A15093" i="1"/>
  <c r="B15093" i="1"/>
  <c r="A15094" i="1"/>
  <c r="B15094" i="1"/>
  <c r="A15095" i="1"/>
  <c r="B15095" i="1"/>
  <c r="A15096" i="1"/>
  <c r="B15096" i="1"/>
  <c r="A15097" i="1"/>
  <c r="B15097" i="1"/>
  <c r="A15098" i="1"/>
  <c r="B15098" i="1"/>
  <c r="A15099" i="1"/>
  <c r="B15099" i="1"/>
  <c r="A15100" i="1"/>
  <c r="B15100" i="1"/>
  <c r="A15101" i="1"/>
  <c r="B15101" i="1"/>
  <c r="A15102" i="1"/>
  <c r="B15102" i="1"/>
  <c r="A15103" i="1"/>
  <c r="B15103" i="1"/>
  <c r="A15104" i="1"/>
  <c r="B15104" i="1"/>
  <c r="A15105" i="1"/>
  <c r="B15105" i="1"/>
  <c r="A15106" i="1"/>
  <c r="B15106" i="1"/>
  <c r="A15107" i="1"/>
  <c r="B15107" i="1"/>
  <c r="A15108" i="1"/>
  <c r="B15108" i="1"/>
  <c r="A15109" i="1"/>
  <c r="B15109" i="1"/>
  <c r="A15110" i="1"/>
  <c r="B15110" i="1"/>
  <c r="A15111" i="1"/>
  <c r="B15111" i="1"/>
  <c r="A15112" i="1"/>
  <c r="B15112" i="1"/>
  <c r="A15113" i="1"/>
  <c r="B15113" i="1"/>
  <c r="A15114" i="1"/>
  <c r="B15114" i="1"/>
  <c r="A15115" i="1"/>
  <c r="B15115" i="1"/>
  <c r="A15116" i="1"/>
  <c r="B15116" i="1"/>
  <c r="A15117" i="1"/>
  <c r="B15117" i="1"/>
  <c r="A15118" i="1"/>
  <c r="B15118" i="1"/>
  <c r="A15119" i="1"/>
  <c r="B15119" i="1"/>
  <c r="A15120" i="1"/>
  <c r="B15120" i="1"/>
  <c r="A15121" i="1"/>
  <c r="B15121" i="1"/>
  <c r="A15122" i="1"/>
  <c r="B15122" i="1"/>
  <c r="A15123" i="1"/>
  <c r="B15123" i="1"/>
  <c r="A15124" i="1"/>
  <c r="B15124" i="1"/>
  <c r="A15125" i="1"/>
  <c r="B15125" i="1"/>
  <c r="A15126" i="1"/>
  <c r="B15126" i="1"/>
  <c r="A15127" i="1"/>
  <c r="B15127" i="1"/>
  <c r="A15128" i="1"/>
  <c r="B15128" i="1"/>
  <c r="A15129" i="1"/>
  <c r="B15129" i="1"/>
  <c r="A15130" i="1"/>
  <c r="B15130" i="1"/>
  <c r="A15131" i="1"/>
  <c r="B15131" i="1"/>
  <c r="A15132" i="1"/>
  <c r="B15132" i="1"/>
  <c r="A15133" i="1"/>
  <c r="B15133" i="1"/>
  <c r="A15134" i="1"/>
  <c r="B15134" i="1"/>
  <c r="A15135" i="1"/>
  <c r="B15135" i="1"/>
  <c r="A15136" i="1"/>
  <c r="B15136" i="1"/>
  <c r="A15137" i="1"/>
  <c r="B15137" i="1"/>
  <c r="A15138" i="1"/>
  <c r="B15138" i="1"/>
  <c r="A15139" i="1"/>
  <c r="B15139" i="1"/>
  <c r="A15140" i="1"/>
  <c r="B15140" i="1"/>
  <c r="A15141" i="1"/>
  <c r="B15141" i="1"/>
  <c r="A15142" i="1"/>
  <c r="B15142" i="1"/>
  <c r="A15143" i="1"/>
  <c r="B15143" i="1"/>
  <c r="A15144" i="1"/>
  <c r="B15144" i="1"/>
  <c r="A15145" i="1"/>
  <c r="B15145" i="1"/>
  <c r="A15146" i="1"/>
  <c r="B15146" i="1"/>
  <c r="A15147" i="1"/>
  <c r="B15147" i="1"/>
  <c r="A15148" i="1"/>
  <c r="B15148" i="1"/>
  <c r="A15149" i="1"/>
  <c r="B15149" i="1"/>
  <c r="A15150" i="1"/>
  <c r="B15150" i="1"/>
  <c r="A15151" i="1"/>
  <c r="B15151" i="1"/>
  <c r="A15152" i="1"/>
  <c r="B15152" i="1"/>
  <c r="A15153" i="1"/>
  <c r="B15153" i="1"/>
  <c r="A15154" i="1"/>
  <c r="B15154" i="1"/>
  <c r="A15155" i="1"/>
  <c r="B15155" i="1"/>
  <c r="A15156" i="1"/>
  <c r="A15157" i="1"/>
  <c r="B15157" i="1"/>
  <c r="A15158" i="1"/>
  <c r="B15158" i="1"/>
  <c r="A15159" i="1"/>
  <c r="B15159" i="1"/>
  <c r="A15160" i="1"/>
  <c r="B15160" i="1"/>
  <c r="A15161" i="1"/>
  <c r="B15161" i="1"/>
  <c r="A15162" i="1"/>
  <c r="B15162" i="1"/>
  <c r="A15163" i="1"/>
  <c r="B15163" i="1"/>
  <c r="A15164" i="1"/>
  <c r="B15164" i="1"/>
  <c r="A15165" i="1"/>
  <c r="B15165" i="1"/>
  <c r="A15166" i="1"/>
  <c r="B15166" i="1"/>
  <c r="A15167" i="1"/>
  <c r="B15167" i="1"/>
  <c r="A15168" i="1"/>
  <c r="B15168" i="1"/>
  <c r="A15169" i="1"/>
  <c r="B15169" i="1"/>
  <c r="A15170" i="1"/>
  <c r="B15170" i="1"/>
  <c r="A15171" i="1"/>
  <c r="B15171" i="1"/>
  <c r="A15172" i="1"/>
  <c r="B15172" i="1"/>
  <c r="A15173" i="1"/>
  <c r="B15173" i="1"/>
  <c r="A15174" i="1"/>
  <c r="B15174" i="1"/>
  <c r="A15175" i="1"/>
  <c r="B15175" i="1"/>
  <c r="A15176" i="1"/>
  <c r="B15176" i="1"/>
  <c r="A15177" i="1"/>
  <c r="B15177" i="1"/>
  <c r="A15178" i="1"/>
  <c r="B15178" i="1"/>
  <c r="A15179" i="1"/>
  <c r="B15179" i="1"/>
  <c r="A15180" i="1"/>
  <c r="B15180" i="1"/>
  <c r="A15181" i="1"/>
  <c r="B15181" i="1"/>
  <c r="A15182" i="1"/>
  <c r="B15182" i="1"/>
  <c r="A15183" i="1"/>
  <c r="B15183" i="1"/>
  <c r="A15184" i="1"/>
  <c r="B15184" i="1"/>
  <c r="A15185" i="1"/>
  <c r="B15185" i="1"/>
  <c r="A15186" i="1"/>
  <c r="B15186" i="1"/>
  <c r="A15187" i="1"/>
  <c r="B15187" i="1"/>
  <c r="A15188" i="1"/>
  <c r="B15188" i="1"/>
  <c r="A15189" i="1"/>
  <c r="B15189" i="1"/>
  <c r="A15190" i="1"/>
  <c r="B15190" i="1"/>
  <c r="A15191" i="1"/>
  <c r="B15191" i="1"/>
  <c r="A15192" i="1"/>
  <c r="B15192" i="1"/>
  <c r="A15193" i="1"/>
  <c r="B15193" i="1"/>
  <c r="A15194" i="1"/>
  <c r="B15194" i="1"/>
  <c r="A15195" i="1"/>
  <c r="B15195" i="1"/>
  <c r="A15196" i="1"/>
  <c r="B15196" i="1"/>
  <c r="A15197" i="1"/>
  <c r="B15197" i="1"/>
  <c r="A15198" i="1"/>
  <c r="B15198" i="1"/>
  <c r="A15199" i="1"/>
  <c r="B15199" i="1"/>
  <c r="A15200" i="1"/>
  <c r="B15200" i="1"/>
  <c r="A15201" i="1"/>
  <c r="B15201" i="1"/>
  <c r="A15202" i="1"/>
  <c r="B15202" i="1"/>
  <c r="A15203" i="1"/>
  <c r="B15203" i="1"/>
  <c r="A15204" i="1"/>
  <c r="B15204" i="1"/>
  <c r="A15205" i="1"/>
  <c r="B15205" i="1"/>
  <c r="A15206" i="1"/>
  <c r="B15206" i="1"/>
  <c r="A15207" i="1"/>
  <c r="B15207" i="1"/>
  <c r="A15208" i="1"/>
  <c r="B15208" i="1"/>
  <c r="A15209" i="1"/>
  <c r="B15209" i="1"/>
  <c r="A15210" i="1"/>
  <c r="B15210" i="1"/>
  <c r="A15211" i="1"/>
  <c r="B15211" i="1"/>
  <c r="A15212" i="1"/>
  <c r="B15212" i="1"/>
  <c r="A15213" i="1"/>
  <c r="B15213" i="1"/>
  <c r="A15214" i="1"/>
  <c r="B15214" i="1"/>
  <c r="A15215" i="1"/>
  <c r="B15215" i="1"/>
  <c r="A15216" i="1"/>
  <c r="B15216" i="1"/>
  <c r="A15217" i="1"/>
  <c r="B15217" i="1"/>
  <c r="A15218" i="1"/>
  <c r="B15218" i="1"/>
  <c r="A15219" i="1"/>
  <c r="B15219" i="1"/>
  <c r="A15220" i="1"/>
  <c r="B15220" i="1"/>
  <c r="A15221" i="1"/>
  <c r="B15221" i="1"/>
  <c r="A15222" i="1"/>
  <c r="B15222" i="1"/>
  <c r="A15223" i="1"/>
  <c r="B15223" i="1"/>
  <c r="A15224" i="1"/>
  <c r="B15224" i="1"/>
  <c r="A15225" i="1"/>
  <c r="B15225" i="1"/>
  <c r="A15226" i="1"/>
  <c r="B15226" i="1"/>
  <c r="A15227" i="1"/>
  <c r="B15227" i="1"/>
  <c r="A15228" i="1"/>
  <c r="B15228" i="1"/>
  <c r="A15229" i="1"/>
  <c r="B15229" i="1"/>
  <c r="A15230" i="1"/>
  <c r="B15230" i="1"/>
  <c r="A15231" i="1"/>
  <c r="B15231" i="1"/>
  <c r="A15232" i="1"/>
  <c r="B15232" i="1"/>
  <c r="A15233" i="1"/>
  <c r="B15233" i="1"/>
  <c r="A15234" i="1"/>
  <c r="B15234" i="1"/>
  <c r="A15235" i="1"/>
  <c r="B15235" i="1"/>
  <c r="A15236" i="1"/>
  <c r="B15236" i="1"/>
  <c r="A15237" i="1"/>
  <c r="B15237" i="1"/>
  <c r="A15238" i="1"/>
  <c r="B15238" i="1"/>
  <c r="A15239" i="1"/>
  <c r="B15239" i="1"/>
  <c r="A15240" i="1"/>
  <c r="B15240" i="1"/>
  <c r="A15241" i="1"/>
  <c r="B15241" i="1"/>
  <c r="A15242" i="1"/>
  <c r="B15242" i="1"/>
  <c r="A15243" i="1"/>
  <c r="B15243" i="1"/>
  <c r="A15244" i="1"/>
  <c r="B15244" i="1"/>
  <c r="A15245" i="1"/>
  <c r="B15245" i="1"/>
  <c r="A15246" i="1"/>
  <c r="B15246" i="1"/>
  <c r="A15247" i="1"/>
  <c r="B15247" i="1"/>
  <c r="A15248" i="1"/>
  <c r="B15248" i="1"/>
  <c r="A15249" i="1"/>
  <c r="B15249" i="1"/>
  <c r="A15250" i="1"/>
  <c r="B15250" i="1"/>
  <c r="A15251" i="1"/>
  <c r="B15251" i="1"/>
  <c r="A15252" i="1"/>
  <c r="B15252" i="1"/>
  <c r="A15253" i="1"/>
  <c r="B15253" i="1"/>
  <c r="A15254" i="1"/>
  <c r="B15254" i="1"/>
  <c r="A15255" i="1"/>
  <c r="B15255" i="1"/>
  <c r="A15256" i="1"/>
  <c r="B15256" i="1"/>
  <c r="A15257" i="1"/>
  <c r="B15257" i="1"/>
  <c r="A15258" i="1"/>
  <c r="B15258" i="1"/>
  <c r="A15259" i="1"/>
  <c r="B15259" i="1"/>
  <c r="A15260" i="1"/>
  <c r="B15260" i="1"/>
  <c r="A15261" i="1"/>
  <c r="B15261" i="1"/>
  <c r="A15262" i="1"/>
  <c r="B15262" i="1"/>
  <c r="A15263" i="1"/>
  <c r="B15263" i="1"/>
  <c r="A15264" i="1"/>
  <c r="B15264" i="1"/>
  <c r="A15265" i="1"/>
  <c r="B15265" i="1"/>
  <c r="A15266" i="1"/>
  <c r="B15266" i="1"/>
  <c r="A15267" i="1"/>
  <c r="B15267" i="1"/>
  <c r="A15268" i="1"/>
  <c r="B15268" i="1"/>
  <c r="A15269" i="1"/>
  <c r="B15269" i="1"/>
  <c r="A15270" i="1"/>
  <c r="B15270" i="1"/>
  <c r="A15271" i="1"/>
  <c r="B15271" i="1"/>
  <c r="A15272" i="1"/>
  <c r="B15272" i="1"/>
  <c r="A15273" i="1"/>
  <c r="B15273" i="1"/>
  <c r="A15274" i="1"/>
  <c r="B15274" i="1"/>
  <c r="A15275" i="1"/>
  <c r="B15275" i="1"/>
  <c r="A15276" i="1"/>
  <c r="B15276" i="1"/>
  <c r="A15277" i="1"/>
  <c r="B15277" i="1"/>
  <c r="A15278" i="1"/>
  <c r="B15278" i="1"/>
  <c r="A15279" i="1"/>
  <c r="B15279" i="1"/>
  <c r="A15280" i="1"/>
  <c r="B15280" i="1"/>
  <c r="A15281" i="1"/>
  <c r="B15281" i="1"/>
  <c r="A15282" i="1"/>
  <c r="B15282" i="1"/>
  <c r="A15283" i="1"/>
  <c r="B15283" i="1"/>
  <c r="A15284" i="1"/>
  <c r="B15284" i="1"/>
  <c r="A15285" i="1"/>
  <c r="B15285" i="1"/>
  <c r="A15286" i="1"/>
  <c r="B15286" i="1"/>
  <c r="A15287" i="1"/>
  <c r="B15287" i="1"/>
  <c r="A15288" i="1"/>
  <c r="B15288" i="1"/>
  <c r="A15289" i="1"/>
  <c r="B15289" i="1"/>
  <c r="A15290" i="1"/>
  <c r="B15290" i="1"/>
  <c r="A15291" i="1"/>
  <c r="B15291" i="1"/>
  <c r="A15292" i="1"/>
  <c r="B15292" i="1"/>
  <c r="A15293" i="1"/>
  <c r="B15293" i="1"/>
  <c r="A15294" i="1"/>
  <c r="B15294" i="1"/>
  <c r="A15295" i="1"/>
  <c r="B15295" i="1"/>
  <c r="A15296" i="1"/>
  <c r="B15296" i="1"/>
  <c r="A15297" i="1"/>
  <c r="B15297" i="1"/>
  <c r="A15298" i="1"/>
  <c r="B15298" i="1"/>
  <c r="A15299" i="1"/>
  <c r="B15299" i="1"/>
  <c r="A15300" i="1"/>
  <c r="B15300" i="1"/>
  <c r="A15301" i="1"/>
  <c r="B15301" i="1"/>
  <c r="A15302" i="1"/>
  <c r="B15302" i="1"/>
  <c r="A15303" i="1"/>
  <c r="B15303" i="1"/>
  <c r="A15304" i="1"/>
  <c r="B15304" i="1"/>
  <c r="A15305" i="1"/>
  <c r="B15305" i="1"/>
  <c r="A15306" i="1"/>
  <c r="B15306" i="1"/>
  <c r="A15307" i="1"/>
  <c r="B15307" i="1"/>
  <c r="A15308" i="1"/>
  <c r="B15308" i="1"/>
  <c r="A15309" i="1"/>
  <c r="B15309" i="1"/>
  <c r="A15310" i="1"/>
  <c r="B15310" i="1"/>
  <c r="A15311" i="1"/>
  <c r="B15311" i="1"/>
  <c r="A15312" i="1"/>
  <c r="B15312" i="1"/>
  <c r="A15313" i="1"/>
  <c r="B15313" i="1"/>
  <c r="A15314" i="1"/>
  <c r="B15314" i="1"/>
  <c r="A15315" i="1"/>
  <c r="B15315" i="1"/>
  <c r="A15316" i="1"/>
  <c r="B15316" i="1"/>
  <c r="A15317" i="1"/>
  <c r="B15317" i="1"/>
  <c r="A15318" i="1"/>
  <c r="B15318" i="1"/>
  <c r="A15319" i="1"/>
  <c r="B15319" i="1"/>
  <c r="A15320" i="1"/>
  <c r="B15320" i="1"/>
  <c r="A15321" i="1"/>
  <c r="B15321" i="1"/>
  <c r="A15322" i="1"/>
  <c r="B15322" i="1"/>
  <c r="A15323" i="1"/>
  <c r="B15323" i="1"/>
  <c r="A15324" i="1"/>
  <c r="B15324" i="1"/>
  <c r="A15325" i="1"/>
  <c r="B15325" i="1"/>
  <c r="A15326" i="1"/>
  <c r="B15326" i="1"/>
  <c r="A15327" i="1"/>
  <c r="B15327" i="1"/>
  <c r="A15328" i="1"/>
  <c r="B15328" i="1"/>
  <c r="A15329" i="1"/>
  <c r="B15329" i="1"/>
  <c r="A15330" i="1"/>
  <c r="B15330" i="1"/>
  <c r="A15331" i="1"/>
  <c r="B15331" i="1"/>
  <c r="A15332" i="1"/>
  <c r="B15332" i="1"/>
  <c r="A15333" i="1"/>
  <c r="B15333" i="1"/>
  <c r="A15334" i="1"/>
  <c r="B15334" i="1"/>
  <c r="A15335" i="1"/>
  <c r="B15335" i="1"/>
  <c r="A15336" i="1"/>
  <c r="B15336" i="1"/>
  <c r="A15337" i="1"/>
  <c r="B15337" i="1"/>
  <c r="A15338" i="1"/>
  <c r="B15338" i="1"/>
  <c r="A15339" i="1"/>
  <c r="B15339" i="1"/>
  <c r="A15340" i="1"/>
  <c r="B15340" i="1"/>
  <c r="A15341" i="1"/>
  <c r="B15341" i="1"/>
  <c r="A15342" i="1"/>
  <c r="B15342" i="1"/>
  <c r="A15343" i="1"/>
  <c r="B15343" i="1"/>
  <c r="A15344" i="1"/>
  <c r="B15344" i="1"/>
  <c r="A15345" i="1"/>
  <c r="B15345" i="1"/>
  <c r="A15346" i="1"/>
  <c r="B15346" i="1"/>
  <c r="A15347" i="1"/>
  <c r="B15347" i="1"/>
  <c r="A15348" i="1"/>
  <c r="B15348" i="1"/>
  <c r="A15349" i="1"/>
  <c r="B15349" i="1"/>
  <c r="A15350" i="1"/>
  <c r="B15350" i="1"/>
  <c r="A15351" i="1"/>
  <c r="B15351" i="1"/>
  <c r="A15352" i="1"/>
  <c r="B15352" i="1"/>
  <c r="A15353" i="1"/>
  <c r="B15353" i="1"/>
  <c r="A15354" i="1"/>
  <c r="B15354" i="1"/>
  <c r="A15355" i="1"/>
  <c r="B15355" i="1"/>
  <c r="A15356" i="1"/>
  <c r="B15356" i="1"/>
  <c r="A15357" i="1"/>
  <c r="B15357" i="1"/>
  <c r="A15358" i="1"/>
  <c r="B15358" i="1"/>
  <c r="A15359" i="1"/>
  <c r="B15359" i="1"/>
  <c r="A15360" i="1"/>
  <c r="B15360" i="1"/>
  <c r="A15361" i="1"/>
  <c r="B15361" i="1"/>
  <c r="A15362" i="1"/>
  <c r="B15362" i="1"/>
  <c r="A15363" i="1"/>
  <c r="B15363" i="1"/>
  <c r="A15364" i="1"/>
  <c r="B15364" i="1"/>
  <c r="A15365" i="1"/>
  <c r="B15365" i="1"/>
  <c r="A15366" i="1"/>
  <c r="B15366" i="1"/>
  <c r="A15367" i="1"/>
  <c r="B15367" i="1"/>
  <c r="A15368" i="1"/>
  <c r="B15368" i="1"/>
  <c r="A15369" i="1"/>
  <c r="B15369" i="1"/>
  <c r="A15370" i="1"/>
  <c r="B15370" i="1"/>
  <c r="A15371" i="1"/>
  <c r="B15371" i="1"/>
  <c r="A15372" i="1"/>
  <c r="B15372" i="1"/>
  <c r="A15373" i="1"/>
  <c r="B15373" i="1"/>
  <c r="A15374" i="1"/>
  <c r="B15374" i="1"/>
  <c r="A15375" i="1"/>
  <c r="B15375" i="1"/>
  <c r="A15376" i="1"/>
  <c r="B15376" i="1"/>
  <c r="A15377" i="1"/>
  <c r="B15377" i="1"/>
  <c r="A15378" i="1"/>
  <c r="B15378" i="1"/>
  <c r="A15379" i="1"/>
  <c r="B15379" i="1"/>
  <c r="A15380" i="1"/>
  <c r="B15380" i="1"/>
  <c r="A15381" i="1"/>
  <c r="B15381" i="1"/>
  <c r="A15382" i="1"/>
  <c r="B15382" i="1"/>
  <c r="A15383" i="1"/>
  <c r="B15383" i="1"/>
  <c r="A15384" i="1"/>
  <c r="B15384" i="1"/>
  <c r="A15385" i="1"/>
  <c r="B15385" i="1"/>
  <c r="A15386" i="1"/>
  <c r="B15386" i="1"/>
  <c r="A15387" i="1"/>
  <c r="B15387" i="1"/>
  <c r="A15388" i="1"/>
  <c r="B15388" i="1"/>
  <c r="A15389" i="1"/>
  <c r="B15389" i="1"/>
  <c r="A15390" i="1"/>
  <c r="B15390" i="1"/>
  <c r="A15391" i="1"/>
  <c r="B15391" i="1"/>
  <c r="A15392" i="1"/>
  <c r="B15392" i="1"/>
  <c r="A15393" i="1"/>
  <c r="B15393" i="1"/>
  <c r="A15394" i="1"/>
  <c r="B15394" i="1"/>
  <c r="A15395" i="1"/>
  <c r="B15395" i="1"/>
  <c r="A15396" i="1"/>
  <c r="B15396" i="1"/>
  <c r="A15397" i="1"/>
  <c r="B15397" i="1"/>
  <c r="A15398" i="1"/>
  <c r="B15398" i="1"/>
  <c r="A15399" i="1"/>
  <c r="B15399" i="1"/>
  <c r="A15400" i="1"/>
  <c r="B15400" i="1"/>
  <c r="A15401" i="1"/>
  <c r="B15401" i="1"/>
  <c r="A15402" i="1"/>
  <c r="B15402" i="1"/>
  <c r="A15403" i="1"/>
  <c r="B15403" i="1"/>
  <c r="A15404" i="1"/>
  <c r="B15404" i="1"/>
  <c r="A15405" i="1"/>
  <c r="B15405" i="1"/>
  <c r="A15406" i="1"/>
  <c r="B15406" i="1"/>
  <c r="A15407" i="1"/>
  <c r="B15407" i="1"/>
  <c r="A15408" i="1"/>
  <c r="B15408" i="1"/>
  <c r="A15409" i="1"/>
  <c r="B15409" i="1"/>
  <c r="A15410" i="1"/>
  <c r="B15410" i="1"/>
  <c r="A15411" i="1"/>
  <c r="B15411" i="1"/>
  <c r="A15412" i="1"/>
  <c r="B15412" i="1"/>
  <c r="A15413" i="1"/>
  <c r="B15413" i="1"/>
  <c r="A15414" i="1"/>
  <c r="B15414" i="1"/>
  <c r="A15415" i="1"/>
  <c r="B15415" i="1"/>
  <c r="A15416" i="1"/>
  <c r="B15416" i="1"/>
  <c r="A15417" i="1"/>
  <c r="B15417" i="1"/>
  <c r="A15418" i="1"/>
  <c r="B15418" i="1"/>
  <c r="A15419" i="1"/>
  <c r="B15419" i="1"/>
  <c r="A15420" i="1"/>
  <c r="B15420" i="1"/>
  <c r="A15421" i="1"/>
  <c r="B15421" i="1"/>
  <c r="A15422" i="1"/>
  <c r="B15422" i="1"/>
  <c r="A15423" i="1"/>
  <c r="B15423" i="1"/>
  <c r="A15424" i="1"/>
  <c r="B15424" i="1"/>
  <c r="A15425" i="1"/>
  <c r="B15425" i="1"/>
  <c r="A15426" i="1"/>
  <c r="B15426" i="1"/>
  <c r="A15427" i="1"/>
  <c r="B15427" i="1"/>
  <c r="A15428" i="1"/>
  <c r="B15428" i="1"/>
  <c r="A15429" i="1"/>
  <c r="B15429" i="1"/>
  <c r="A15430" i="1"/>
  <c r="B15430" i="1"/>
  <c r="A15431" i="1"/>
  <c r="B15431" i="1"/>
  <c r="A15432" i="1"/>
  <c r="B15432" i="1"/>
  <c r="A15433" i="1"/>
  <c r="B15433" i="1"/>
  <c r="A15434" i="1"/>
  <c r="B15434" i="1"/>
  <c r="A15435" i="1"/>
  <c r="B15435" i="1"/>
  <c r="A15436" i="1"/>
  <c r="B15436" i="1"/>
  <c r="A15437" i="1"/>
  <c r="B15437" i="1"/>
  <c r="A15438" i="1"/>
  <c r="B15438" i="1"/>
  <c r="A15439" i="1"/>
  <c r="B15439" i="1"/>
  <c r="A15440" i="1"/>
  <c r="B15440" i="1"/>
  <c r="A15441" i="1"/>
  <c r="B15441" i="1"/>
  <c r="A15442" i="1"/>
  <c r="B15442" i="1"/>
  <c r="A15443" i="1"/>
  <c r="B15443" i="1"/>
  <c r="A15444" i="1"/>
  <c r="B15444" i="1"/>
  <c r="A15445" i="1"/>
  <c r="B15445" i="1"/>
  <c r="A15446" i="1"/>
  <c r="B15446" i="1"/>
  <c r="A15447" i="1"/>
  <c r="B15447" i="1"/>
  <c r="A15448" i="1"/>
  <c r="B15448" i="1"/>
  <c r="A15449" i="1"/>
  <c r="B15449" i="1"/>
  <c r="A15450" i="1"/>
  <c r="B15450" i="1"/>
  <c r="A15451" i="1"/>
  <c r="B15451" i="1"/>
  <c r="A15452" i="1"/>
  <c r="B15452" i="1"/>
  <c r="A15453" i="1"/>
  <c r="B15453" i="1"/>
  <c r="A15454" i="1"/>
  <c r="B15454" i="1"/>
  <c r="A15455" i="1"/>
  <c r="B15455" i="1"/>
  <c r="A15456" i="1"/>
  <c r="B15456" i="1"/>
  <c r="A15457" i="1"/>
  <c r="B15457" i="1"/>
  <c r="A15458" i="1"/>
  <c r="B15458" i="1"/>
  <c r="A15459" i="1"/>
  <c r="B15459" i="1"/>
  <c r="A15460" i="1"/>
  <c r="B15460" i="1"/>
  <c r="A15461" i="1"/>
  <c r="B15461" i="1"/>
  <c r="A15462" i="1"/>
  <c r="B15462" i="1"/>
  <c r="A15463" i="1"/>
  <c r="B15463" i="1"/>
  <c r="A15464" i="1"/>
  <c r="B15464" i="1"/>
  <c r="A15465" i="1"/>
  <c r="B15465" i="1"/>
  <c r="A15466" i="1"/>
  <c r="B15466" i="1"/>
  <c r="A15467" i="1"/>
  <c r="B15467" i="1"/>
  <c r="A15468" i="1"/>
  <c r="B15468" i="1"/>
  <c r="A15469" i="1"/>
  <c r="B15469" i="1"/>
  <c r="A15470" i="1"/>
  <c r="B15470" i="1"/>
  <c r="A15471" i="1"/>
  <c r="B15471" i="1"/>
  <c r="A15472" i="1"/>
  <c r="B15472" i="1"/>
  <c r="A15473" i="1"/>
  <c r="B15473" i="1"/>
  <c r="A15474" i="1"/>
  <c r="B15474" i="1"/>
  <c r="A15475" i="1"/>
  <c r="B15475" i="1"/>
  <c r="A15476" i="1"/>
  <c r="B15476" i="1"/>
  <c r="A15477" i="1"/>
  <c r="B15477" i="1"/>
  <c r="A15478" i="1"/>
  <c r="B15478" i="1"/>
  <c r="A15479" i="1"/>
  <c r="B15479" i="1"/>
  <c r="A15480" i="1"/>
  <c r="B15480" i="1"/>
  <c r="A15481" i="1"/>
  <c r="B15481" i="1"/>
  <c r="A15482" i="1"/>
  <c r="B15482" i="1"/>
  <c r="A15483" i="1"/>
  <c r="B15483" i="1"/>
  <c r="A15484" i="1"/>
  <c r="B15484" i="1"/>
  <c r="A15485" i="1"/>
  <c r="B15485" i="1"/>
  <c r="A15486" i="1"/>
  <c r="B15486" i="1"/>
  <c r="A15487" i="1"/>
  <c r="B15487" i="1"/>
  <c r="A15488" i="1"/>
  <c r="B15488" i="1"/>
  <c r="A15489" i="1"/>
  <c r="B15489" i="1"/>
  <c r="A15490" i="1"/>
  <c r="B15490" i="1"/>
  <c r="A15491" i="1"/>
  <c r="B15491" i="1"/>
  <c r="A15492" i="1"/>
  <c r="B15492" i="1"/>
  <c r="A15493" i="1"/>
  <c r="B15493" i="1"/>
  <c r="A15494" i="1"/>
  <c r="B15494" i="1"/>
  <c r="A15495" i="1"/>
  <c r="B15495" i="1"/>
  <c r="A15496" i="1"/>
  <c r="B15496" i="1"/>
  <c r="A15497" i="1"/>
  <c r="B15497" i="1"/>
  <c r="A15498" i="1"/>
  <c r="B15498" i="1"/>
  <c r="A15499" i="1"/>
  <c r="B15499" i="1"/>
  <c r="A15500" i="1"/>
  <c r="B15500" i="1"/>
  <c r="A15501" i="1"/>
  <c r="B15501" i="1"/>
  <c r="A15502" i="1"/>
  <c r="B15502" i="1"/>
  <c r="A15503" i="1"/>
  <c r="B15503" i="1"/>
  <c r="A15504" i="1"/>
  <c r="B15504" i="1"/>
  <c r="A15505" i="1"/>
  <c r="B15505" i="1"/>
  <c r="A15506" i="1"/>
  <c r="B15506" i="1"/>
  <c r="A15507" i="1"/>
  <c r="B15507" i="1"/>
  <c r="A15508" i="1"/>
  <c r="B15508" i="1"/>
  <c r="A15509" i="1"/>
  <c r="B15509" i="1"/>
  <c r="A15510" i="1"/>
  <c r="B15510" i="1"/>
  <c r="A15511" i="1"/>
  <c r="B15511" i="1"/>
  <c r="A15512" i="1"/>
  <c r="B15512" i="1"/>
  <c r="A15513" i="1"/>
  <c r="B15513" i="1"/>
  <c r="A15514" i="1"/>
  <c r="B15514" i="1"/>
  <c r="A15515" i="1"/>
  <c r="B15515" i="1"/>
  <c r="A15516" i="1"/>
  <c r="B15516" i="1"/>
  <c r="A15517" i="1"/>
  <c r="B15517" i="1"/>
  <c r="A15518" i="1"/>
  <c r="B15518" i="1"/>
  <c r="A15519" i="1"/>
  <c r="B15519" i="1"/>
  <c r="A15520" i="1"/>
  <c r="B15520" i="1"/>
  <c r="A15521" i="1"/>
  <c r="B15521" i="1"/>
  <c r="A15522" i="1"/>
  <c r="B15522" i="1"/>
  <c r="A15523" i="1"/>
  <c r="B15523" i="1"/>
  <c r="A15524" i="1"/>
  <c r="B15524" i="1"/>
  <c r="A15525" i="1"/>
  <c r="B15525" i="1"/>
  <c r="A15526" i="1"/>
  <c r="B15526" i="1"/>
  <c r="A15527" i="1"/>
  <c r="B15527" i="1"/>
  <c r="A15528" i="1"/>
  <c r="B15528" i="1"/>
  <c r="A15529" i="1"/>
  <c r="B15529" i="1"/>
  <c r="A15530" i="1"/>
  <c r="B15530" i="1"/>
  <c r="A15531" i="1"/>
  <c r="B15531" i="1"/>
  <c r="A15532" i="1"/>
  <c r="B15532" i="1"/>
  <c r="A15533" i="1"/>
  <c r="B15533" i="1"/>
  <c r="A15534" i="1"/>
  <c r="B15534" i="1"/>
  <c r="A15535" i="1"/>
  <c r="B15535" i="1"/>
  <c r="A15536" i="1"/>
  <c r="B15536" i="1"/>
  <c r="A15537" i="1"/>
  <c r="B15537" i="1"/>
  <c r="A15538" i="1"/>
  <c r="B15538" i="1"/>
  <c r="A15539" i="1"/>
  <c r="B15539" i="1"/>
  <c r="A15540" i="1"/>
  <c r="B15540" i="1"/>
  <c r="A15541" i="1"/>
  <c r="B15541" i="1"/>
  <c r="A15542" i="1"/>
  <c r="B15542" i="1"/>
  <c r="A15543" i="1"/>
  <c r="B15543" i="1"/>
  <c r="A15544" i="1"/>
  <c r="B15544" i="1"/>
  <c r="A15545" i="1"/>
  <c r="B15545" i="1"/>
  <c r="A15546" i="1"/>
  <c r="B15546" i="1"/>
  <c r="A15547" i="1"/>
  <c r="B15547" i="1"/>
  <c r="A15548" i="1"/>
  <c r="B15548" i="1"/>
  <c r="A15549" i="1"/>
  <c r="B15549" i="1"/>
  <c r="A15550" i="1"/>
  <c r="B15550" i="1"/>
  <c r="A15551" i="1"/>
  <c r="B15551" i="1"/>
  <c r="A15552" i="1"/>
  <c r="B15552" i="1"/>
  <c r="A15553" i="1"/>
  <c r="B15553" i="1"/>
  <c r="A15554" i="1"/>
  <c r="B15554" i="1"/>
  <c r="A15555" i="1"/>
  <c r="B15555" i="1"/>
  <c r="A15556" i="1"/>
  <c r="B15556" i="1"/>
  <c r="A15557" i="1"/>
  <c r="B15557" i="1"/>
  <c r="A15558" i="1"/>
  <c r="B15558" i="1"/>
  <c r="A15559" i="1"/>
  <c r="B15559" i="1"/>
  <c r="A15560" i="1"/>
  <c r="B15560" i="1"/>
  <c r="A15561" i="1"/>
  <c r="B15561" i="1"/>
  <c r="A15562" i="1"/>
  <c r="B15562" i="1"/>
  <c r="A15563" i="1"/>
  <c r="B15563" i="1"/>
  <c r="A15564" i="1"/>
  <c r="B15564" i="1"/>
  <c r="A15565" i="1"/>
  <c r="B15565" i="1"/>
  <c r="A15566" i="1"/>
  <c r="B15566" i="1"/>
  <c r="A15567" i="1"/>
  <c r="B15567" i="1"/>
  <c r="A15568" i="1"/>
  <c r="B15568" i="1"/>
  <c r="A15569" i="1"/>
  <c r="B15569" i="1"/>
  <c r="A15570" i="1"/>
  <c r="B15570" i="1"/>
  <c r="A15571" i="1"/>
  <c r="B15571" i="1"/>
  <c r="A15572" i="1"/>
  <c r="B15572" i="1"/>
  <c r="A15573" i="1"/>
  <c r="B15573" i="1"/>
  <c r="A15574" i="1"/>
  <c r="B15574" i="1"/>
  <c r="A15575" i="1"/>
  <c r="B15575" i="1"/>
  <c r="A15576" i="1"/>
  <c r="B15576" i="1"/>
  <c r="A15577" i="1"/>
  <c r="B15577" i="1"/>
  <c r="A15578" i="1"/>
  <c r="B15578" i="1"/>
  <c r="A15579" i="1"/>
  <c r="B15579" i="1"/>
  <c r="A15580" i="1"/>
  <c r="B15580" i="1"/>
  <c r="A15581" i="1"/>
  <c r="B15581" i="1"/>
  <c r="A15582" i="1"/>
  <c r="B15582" i="1"/>
  <c r="A15583" i="1"/>
  <c r="B15583" i="1"/>
  <c r="A15584" i="1"/>
  <c r="B15584" i="1"/>
  <c r="A15585" i="1"/>
  <c r="B15585" i="1"/>
  <c r="A15586" i="1"/>
  <c r="B15586" i="1"/>
  <c r="A15587" i="1"/>
  <c r="B15587" i="1"/>
  <c r="A15588" i="1"/>
  <c r="B15588" i="1"/>
  <c r="A15589" i="1"/>
  <c r="B15589" i="1"/>
  <c r="A15590" i="1"/>
  <c r="B15590" i="1"/>
  <c r="A15591" i="1"/>
  <c r="B15591" i="1"/>
  <c r="A15592" i="1"/>
  <c r="B15592" i="1"/>
  <c r="A15593" i="1"/>
  <c r="B15593" i="1"/>
  <c r="A15594" i="1"/>
  <c r="B15594" i="1"/>
  <c r="A15595" i="1"/>
  <c r="B15595" i="1"/>
  <c r="A15596" i="1"/>
  <c r="B15596" i="1"/>
  <c r="A15597" i="1"/>
  <c r="B15597" i="1"/>
  <c r="A15598" i="1"/>
  <c r="B15598" i="1"/>
  <c r="A15599" i="1"/>
  <c r="B15599" i="1"/>
  <c r="A15600" i="1"/>
  <c r="B15600" i="1"/>
  <c r="A15601" i="1"/>
  <c r="B15601" i="1"/>
  <c r="A15602" i="1"/>
  <c r="B15602" i="1"/>
  <c r="A15603" i="1"/>
  <c r="B15603" i="1"/>
  <c r="A15604" i="1"/>
  <c r="B15604" i="1"/>
  <c r="A15605" i="1"/>
  <c r="B15605" i="1"/>
  <c r="A15606" i="1"/>
  <c r="B15606" i="1"/>
  <c r="A15607" i="1"/>
  <c r="B15607" i="1"/>
  <c r="A15608" i="1"/>
  <c r="B15608" i="1"/>
  <c r="A15609" i="1"/>
  <c r="B15609" i="1"/>
  <c r="A15610" i="1"/>
  <c r="B15610" i="1"/>
  <c r="A15611" i="1"/>
  <c r="B15611" i="1"/>
  <c r="A15612" i="1"/>
  <c r="B15612" i="1"/>
  <c r="A15613" i="1"/>
  <c r="B15613" i="1"/>
  <c r="A15614" i="1"/>
  <c r="B15614" i="1"/>
  <c r="A15615" i="1"/>
  <c r="B15615" i="1"/>
  <c r="A15616" i="1"/>
  <c r="B15616" i="1"/>
  <c r="A15617" i="1"/>
  <c r="B15617" i="1"/>
  <c r="A15618" i="1"/>
  <c r="B15618" i="1"/>
  <c r="A15619" i="1"/>
  <c r="B15619" i="1"/>
  <c r="A15620" i="1"/>
  <c r="B15620" i="1"/>
  <c r="A15621" i="1"/>
  <c r="B15621" i="1"/>
  <c r="A15622" i="1"/>
  <c r="B15622" i="1"/>
  <c r="A15623" i="1"/>
  <c r="B15623" i="1"/>
  <c r="A15624" i="1"/>
  <c r="B15624" i="1"/>
  <c r="A15625" i="1"/>
  <c r="B15625" i="1"/>
  <c r="A15626" i="1"/>
  <c r="B15626" i="1"/>
  <c r="A15627" i="1"/>
  <c r="B15627" i="1"/>
  <c r="A15628" i="1"/>
  <c r="B15628" i="1"/>
  <c r="A15629" i="1"/>
  <c r="B15629" i="1"/>
  <c r="A15630" i="1"/>
  <c r="B15630" i="1"/>
  <c r="A15631" i="1"/>
  <c r="B15631" i="1"/>
  <c r="A15632" i="1"/>
  <c r="B15632" i="1"/>
  <c r="A15633" i="1"/>
  <c r="B15633" i="1"/>
  <c r="A15634" i="1"/>
  <c r="B15634" i="1"/>
  <c r="A15635" i="1"/>
  <c r="B15635" i="1"/>
  <c r="A15636" i="1"/>
  <c r="B15636" i="1"/>
  <c r="A15637" i="1"/>
  <c r="B15637" i="1"/>
  <c r="A15638" i="1"/>
  <c r="B15638" i="1"/>
  <c r="A15639" i="1"/>
  <c r="B15639" i="1"/>
  <c r="A15640" i="1"/>
  <c r="B15640" i="1"/>
  <c r="A15641" i="1"/>
  <c r="B15641" i="1"/>
  <c r="A15642" i="1"/>
  <c r="B15642" i="1"/>
  <c r="A15643" i="1"/>
  <c r="B15643" i="1"/>
  <c r="A15644" i="1"/>
  <c r="B15644" i="1"/>
  <c r="A15645" i="1"/>
  <c r="B15645" i="1"/>
  <c r="A15646" i="1"/>
  <c r="B15646" i="1"/>
  <c r="A15647" i="1"/>
  <c r="B15647" i="1"/>
  <c r="A15648" i="1"/>
  <c r="B15648" i="1"/>
  <c r="A15649" i="1"/>
  <c r="B15649" i="1"/>
  <c r="A15650" i="1"/>
  <c r="B15650" i="1"/>
  <c r="A15651" i="1"/>
  <c r="B15651" i="1"/>
  <c r="A15652" i="1"/>
  <c r="B15652" i="1"/>
  <c r="A15653" i="1"/>
  <c r="B15653" i="1"/>
  <c r="A15654" i="1"/>
  <c r="B15654" i="1"/>
  <c r="A15655" i="1"/>
  <c r="B15655" i="1"/>
  <c r="A15656" i="1"/>
  <c r="B15656" i="1"/>
  <c r="A15657" i="1"/>
  <c r="B15657" i="1"/>
  <c r="A15658" i="1"/>
  <c r="B15658" i="1"/>
  <c r="A15659" i="1"/>
  <c r="B15659" i="1"/>
  <c r="A15660" i="1"/>
  <c r="B15660" i="1"/>
  <c r="A15661" i="1"/>
  <c r="B15661" i="1"/>
  <c r="A15662" i="1"/>
  <c r="B15662" i="1"/>
  <c r="A15663" i="1"/>
  <c r="B15663" i="1"/>
  <c r="A15664" i="1"/>
  <c r="B15664" i="1"/>
  <c r="A15665" i="1"/>
  <c r="B15665" i="1"/>
  <c r="A15666" i="1"/>
  <c r="B15666" i="1"/>
  <c r="A15667" i="1"/>
  <c r="B15667" i="1"/>
  <c r="A15668" i="1"/>
  <c r="B15668" i="1"/>
  <c r="A15669" i="1"/>
  <c r="B15669" i="1"/>
  <c r="A15670" i="1"/>
  <c r="B15670" i="1"/>
  <c r="A15671" i="1"/>
  <c r="B15671" i="1"/>
  <c r="A15672" i="1"/>
  <c r="B15672" i="1"/>
  <c r="A15673" i="1"/>
  <c r="B15673" i="1"/>
  <c r="A15674" i="1"/>
  <c r="B15674" i="1"/>
  <c r="A15675" i="1"/>
  <c r="B15675" i="1"/>
  <c r="A15676" i="1"/>
  <c r="B15676" i="1"/>
  <c r="A15677" i="1"/>
  <c r="B15677" i="1"/>
  <c r="A15678" i="1"/>
  <c r="B15678" i="1"/>
  <c r="A15679" i="1"/>
  <c r="B15679" i="1"/>
  <c r="A15680" i="1"/>
  <c r="B15680" i="1"/>
  <c r="A15681" i="1"/>
  <c r="B15681" i="1"/>
  <c r="A15682" i="1"/>
  <c r="B15682" i="1"/>
  <c r="A15683" i="1"/>
  <c r="B15683" i="1"/>
  <c r="A15684" i="1"/>
  <c r="B15684" i="1"/>
  <c r="A15685" i="1"/>
  <c r="B15685" i="1"/>
  <c r="A15686" i="1"/>
  <c r="B15686" i="1"/>
  <c r="A15687" i="1"/>
  <c r="B15687" i="1"/>
  <c r="A15688" i="1"/>
  <c r="B15688" i="1"/>
  <c r="A15689" i="1"/>
  <c r="B15689" i="1"/>
  <c r="A15690" i="1"/>
  <c r="B15690" i="1"/>
  <c r="A15691" i="1"/>
  <c r="B15691" i="1"/>
  <c r="A15692" i="1"/>
  <c r="B15692" i="1"/>
  <c r="A15693" i="1"/>
  <c r="B15693" i="1"/>
  <c r="A15694" i="1"/>
  <c r="B15694" i="1"/>
  <c r="A15695" i="1"/>
  <c r="B15695" i="1"/>
  <c r="A15696" i="1"/>
  <c r="B15696" i="1"/>
  <c r="A15697" i="1"/>
  <c r="B15697" i="1"/>
  <c r="A15698" i="1"/>
  <c r="B15698" i="1"/>
  <c r="A15699" i="1"/>
  <c r="B15699" i="1"/>
  <c r="A15700" i="1"/>
  <c r="B15700" i="1"/>
  <c r="A15701" i="1"/>
  <c r="B15701" i="1"/>
  <c r="A15702" i="1"/>
  <c r="B15702" i="1"/>
  <c r="A15703" i="1"/>
  <c r="B15703" i="1"/>
  <c r="A15704" i="1"/>
  <c r="B15704" i="1"/>
  <c r="A15705" i="1"/>
  <c r="B15705" i="1"/>
  <c r="A15706" i="1"/>
  <c r="B15706" i="1"/>
  <c r="A15707" i="1"/>
  <c r="B15707" i="1"/>
  <c r="A15708" i="1"/>
  <c r="B15708" i="1"/>
  <c r="A15709" i="1"/>
  <c r="B15709" i="1"/>
  <c r="A15710" i="1"/>
  <c r="B15710" i="1"/>
  <c r="A15711" i="1"/>
  <c r="B15711" i="1"/>
  <c r="A15712" i="1"/>
  <c r="B15712" i="1"/>
  <c r="A15713" i="1"/>
  <c r="B15713" i="1"/>
  <c r="A15714" i="1"/>
  <c r="B15714" i="1"/>
  <c r="A15715" i="1"/>
  <c r="B15715" i="1"/>
  <c r="A15716" i="1"/>
  <c r="B15716" i="1"/>
  <c r="A15717" i="1"/>
  <c r="B15717" i="1"/>
  <c r="A15718" i="1"/>
  <c r="B15718" i="1"/>
  <c r="A15719" i="1"/>
  <c r="B15719" i="1"/>
  <c r="A15720" i="1"/>
  <c r="B15720" i="1"/>
  <c r="A15721" i="1"/>
  <c r="B15721" i="1"/>
  <c r="A15722" i="1"/>
  <c r="B15722" i="1"/>
  <c r="A15723" i="1"/>
  <c r="B15723" i="1"/>
  <c r="A15724" i="1"/>
  <c r="B15724" i="1"/>
  <c r="A15725" i="1"/>
  <c r="B15725" i="1"/>
  <c r="A15726" i="1"/>
  <c r="B15726" i="1"/>
  <c r="A15727" i="1"/>
  <c r="B15727" i="1"/>
  <c r="A15728" i="1"/>
  <c r="B15728" i="1"/>
  <c r="A15729" i="1"/>
  <c r="B15729" i="1"/>
  <c r="A15730" i="1"/>
  <c r="B15730" i="1"/>
  <c r="A15731" i="1"/>
  <c r="B15731" i="1"/>
  <c r="A15732" i="1"/>
  <c r="B15732" i="1"/>
  <c r="A15733" i="1"/>
  <c r="B15733" i="1"/>
  <c r="A15734" i="1"/>
  <c r="B15734" i="1"/>
  <c r="A15735" i="1"/>
  <c r="B15735" i="1"/>
  <c r="A15736" i="1"/>
  <c r="B15736" i="1"/>
  <c r="A15737" i="1"/>
  <c r="B15737" i="1"/>
  <c r="A15738" i="1"/>
  <c r="B15738" i="1"/>
  <c r="A15739" i="1"/>
  <c r="B15739" i="1"/>
  <c r="A15740" i="1"/>
  <c r="B15740" i="1"/>
  <c r="A15741" i="1"/>
  <c r="B15741" i="1"/>
  <c r="A15742" i="1"/>
  <c r="B15742" i="1"/>
  <c r="A15743" i="1"/>
  <c r="B15743" i="1"/>
  <c r="A15744" i="1"/>
  <c r="B15744" i="1"/>
  <c r="A15745" i="1"/>
  <c r="B15745" i="1"/>
  <c r="A15746" i="1"/>
  <c r="B15746" i="1"/>
  <c r="A15747" i="1"/>
  <c r="B15747" i="1"/>
  <c r="A15748" i="1"/>
  <c r="B15748" i="1"/>
  <c r="A15749" i="1"/>
  <c r="B15749" i="1"/>
  <c r="A15750" i="1"/>
  <c r="B15750" i="1"/>
  <c r="A15751" i="1"/>
  <c r="B15751" i="1"/>
  <c r="A15752" i="1"/>
  <c r="B15752" i="1"/>
  <c r="A15753" i="1"/>
  <c r="B15753" i="1"/>
  <c r="A15754" i="1"/>
  <c r="B15754" i="1"/>
  <c r="A15755" i="1"/>
  <c r="B15755" i="1"/>
  <c r="A15756" i="1"/>
  <c r="B15756" i="1"/>
  <c r="A15757" i="1"/>
  <c r="B15757" i="1"/>
  <c r="A15758" i="1"/>
  <c r="B15758" i="1"/>
  <c r="A15759" i="1"/>
  <c r="B15759" i="1"/>
  <c r="A15760" i="1"/>
  <c r="B15760" i="1"/>
  <c r="A15761" i="1"/>
  <c r="B15761" i="1"/>
  <c r="A15762" i="1"/>
  <c r="B15762" i="1"/>
  <c r="A15763" i="1"/>
  <c r="B15763" i="1"/>
  <c r="A15764" i="1"/>
  <c r="B15764" i="1"/>
  <c r="A15765" i="1"/>
  <c r="B15765" i="1"/>
  <c r="A15766" i="1"/>
  <c r="B15766" i="1"/>
  <c r="A15767" i="1"/>
  <c r="B15767" i="1"/>
  <c r="A15768" i="1"/>
  <c r="B15768" i="1"/>
  <c r="A15769" i="1"/>
  <c r="B15769" i="1"/>
  <c r="A15770" i="1"/>
  <c r="B15770" i="1"/>
  <c r="A15771" i="1"/>
  <c r="B15771" i="1"/>
  <c r="A15772" i="1"/>
  <c r="B15772" i="1"/>
  <c r="A15773" i="1"/>
  <c r="B15773" i="1"/>
  <c r="A15774" i="1"/>
  <c r="B15774" i="1"/>
  <c r="A15775" i="1"/>
  <c r="B15775" i="1"/>
  <c r="A15776" i="1"/>
  <c r="B15776" i="1"/>
  <c r="A15777" i="1"/>
  <c r="B15777" i="1"/>
  <c r="A15778" i="1"/>
  <c r="B15778" i="1"/>
  <c r="A15779" i="1"/>
  <c r="B15779" i="1"/>
  <c r="A15780" i="1"/>
  <c r="B15780" i="1"/>
  <c r="A15781" i="1"/>
  <c r="B15781" i="1"/>
  <c r="A15782" i="1"/>
  <c r="B15782" i="1"/>
  <c r="A15783" i="1"/>
  <c r="B15783" i="1"/>
  <c r="A15784" i="1"/>
  <c r="B15784" i="1"/>
  <c r="A15785" i="1"/>
  <c r="B15785" i="1"/>
  <c r="A15786" i="1"/>
  <c r="B15786" i="1"/>
  <c r="A15787" i="1"/>
  <c r="B15787" i="1"/>
  <c r="A15788" i="1"/>
  <c r="B15788" i="1"/>
  <c r="A15789" i="1"/>
  <c r="B15789" i="1"/>
  <c r="A15790" i="1"/>
  <c r="B15790" i="1"/>
  <c r="A15791" i="1"/>
  <c r="B15791" i="1"/>
  <c r="A15792" i="1"/>
  <c r="B15792" i="1"/>
  <c r="A15793" i="1"/>
  <c r="B15793" i="1"/>
  <c r="A15794" i="1"/>
  <c r="B15794" i="1"/>
  <c r="A15795" i="1"/>
  <c r="B15795" i="1"/>
  <c r="A15796" i="1"/>
  <c r="B15796" i="1"/>
  <c r="A15797" i="1"/>
  <c r="B15797" i="1"/>
  <c r="A15798" i="1"/>
  <c r="B15798" i="1"/>
  <c r="A15799" i="1"/>
  <c r="B15799" i="1"/>
  <c r="A15800" i="1"/>
  <c r="B15800" i="1"/>
  <c r="A15801" i="1"/>
  <c r="B15801" i="1"/>
  <c r="A15802" i="1"/>
  <c r="B15802" i="1"/>
  <c r="A15803" i="1"/>
  <c r="B15803" i="1"/>
  <c r="A15804" i="1"/>
  <c r="B15804" i="1"/>
  <c r="A15805" i="1"/>
  <c r="B15805" i="1"/>
  <c r="A15806" i="1"/>
  <c r="B15806" i="1"/>
  <c r="A15807" i="1"/>
  <c r="B15807" i="1"/>
  <c r="A15808" i="1"/>
  <c r="B15808" i="1"/>
  <c r="A15809" i="1"/>
  <c r="B15809" i="1"/>
  <c r="A15810" i="1"/>
  <c r="B15810" i="1"/>
  <c r="A15811" i="1"/>
  <c r="B15811" i="1"/>
  <c r="A15812" i="1"/>
  <c r="B15812" i="1"/>
  <c r="A15813" i="1"/>
  <c r="B15813" i="1"/>
  <c r="A15814" i="1"/>
  <c r="B15814" i="1"/>
  <c r="A15815" i="1"/>
  <c r="B15815" i="1"/>
  <c r="A15816" i="1"/>
  <c r="B15816" i="1"/>
  <c r="A15817" i="1"/>
  <c r="B15817" i="1"/>
  <c r="A15818" i="1"/>
  <c r="B15818" i="1"/>
  <c r="A15819" i="1"/>
  <c r="B15819" i="1"/>
  <c r="A15820" i="1"/>
  <c r="B15820" i="1"/>
  <c r="A15821" i="1"/>
  <c r="B15821" i="1"/>
  <c r="A15822" i="1"/>
  <c r="B15822" i="1"/>
  <c r="A15823" i="1"/>
  <c r="B15823" i="1"/>
  <c r="A15824" i="1"/>
  <c r="B15824" i="1"/>
  <c r="A15825" i="1"/>
  <c r="B15825" i="1"/>
  <c r="A15826" i="1"/>
  <c r="B15826" i="1"/>
  <c r="A15827" i="1"/>
  <c r="B15827" i="1"/>
  <c r="A15828" i="1"/>
  <c r="B15828" i="1"/>
  <c r="A15829" i="1"/>
  <c r="B15829" i="1"/>
  <c r="A15830" i="1"/>
  <c r="B15830" i="1"/>
  <c r="A15831" i="1"/>
  <c r="B15831" i="1"/>
  <c r="A15832" i="1"/>
  <c r="B15832" i="1"/>
  <c r="A15833" i="1"/>
  <c r="B15833" i="1"/>
  <c r="A15834" i="1"/>
  <c r="B15834" i="1"/>
  <c r="A15835" i="1"/>
  <c r="B15835" i="1"/>
  <c r="A15836" i="1"/>
  <c r="B15836" i="1"/>
  <c r="A15837" i="1"/>
  <c r="B15837" i="1"/>
  <c r="A15838" i="1"/>
  <c r="B15838" i="1"/>
  <c r="A15839" i="1"/>
  <c r="B15839" i="1"/>
  <c r="A15840" i="1"/>
  <c r="B15840" i="1"/>
  <c r="A15841" i="1"/>
  <c r="B15841" i="1"/>
  <c r="A15842" i="1"/>
  <c r="B15842" i="1"/>
  <c r="A15843" i="1"/>
  <c r="B15843" i="1"/>
  <c r="A15844" i="1"/>
  <c r="B15844" i="1"/>
  <c r="A15845" i="1"/>
  <c r="B15845" i="1"/>
  <c r="A15846" i="1"/>
  <c r="B15846" i="1"/>
  <c r="A15847" i="1"/>
  <c r="B15847" i="1"/>
  <c r="A15848" i="1"/>
  <c r="B15848" i="1"/>
  <c r="A15849" i="1"/>
  <c r="B15849" i="1"/>
  <c r="A15850" i="1"/>
  <c r="B15850" i="1"/>
  <c r="A15851" i="1"/>
  <c r="B15851" i="1"/>
  <c r="A15852" i="1"/>
  <c r="B15852" i="1"/>
  <c r="A15853" i="1"/>
  <c r="B15853" i="1"/>
  <c r="A15854" i="1"/>
  <c r="B15854" i="1"/>
  <c r="A15855" i="1"/>
  <c r="B15855" i="1"/>
  <c r="A15856" i="1"/>
  <c r="B15856" i="1"/>
  <c r="A15857" i="1"/>
  <c r="B15857" i="1"/>
  <c r="A15858" i="1"/>
  <c r="B15858" i="1"/>
  <c r="A15859" i="1"/>
  <c r="B15859" i="1"/>
  <c r="A15860" i="1"/>
  <c r="B15860" i="1"/>
  <c r="A15861" i="1"/>
  <c r="B15861" i="1"/>
  <c r="A15862" i="1"/>
  <c r="B15862" i="1"/>
  <c r="A15863" i="1"/>
  <c r="B15863" i="1"/>
  <c r="A15864" i="1"/>
  <c r="B15864" i="1"/>
  <c r="A15865" i="1"/>
  <c r="B15865" i="1"/>
  <c r="A15866" i="1"/>
  <c r="B15866" i="1"/>
  <c r="A15867" i="1"/>
  <c r="B15867" i="1"/>
  <c r="A15868" i="1"/>
  <c r="B15868" i="1"/>
  <c r="A15869" i="1"/>
  <c r="B15869" i="1"/>
  <c r="A15870" i="1"/>
  <c r="B15870" i="1"/>
  <c r="A15871" i="1"/>
  <c r="B15871" i="1"/>
  <c r="A15872" i="1"/>
  <c r="B15872" i="1"/>
  <c r="A15873" i="1"/>
  <c r="B15873" i="1"/>
  <c r="A15874" i="1"/>
  <c r="B15874" i="1"/>
  <c r="A15875" i="1"/>
  <c r="B15875" i="1"/>
  <c r="A15876" i="1"/>
  <c r="B15876" i="1"/>
  <c r="A15877" i="1"/>
  <c r="B15877" i="1"/>
  <c r="A15878" i="1"/>
  <c r="B15878" i="1"/>
  <c r="A15879" i="1"/>
  <c r="B15879" i="1"/>
  <c r="A15880" i="1"/>
  <c r="B15880" i="1"/>
  <c r="A15881" i="1"/>
  <c r="B15881" i="1"/>
  <c r="A15882" i="1"/>
  <c r="B15882" i="1"/>
  <c r="A15883" i="1"/>
  <c r="B15883" i="1"/>
  <c r="A15884" i="1"/>
  <c r="B15884" i="1"/>
  <c r="A15885" i="1"/>
  <c r="B15885" i="1"/>
  <c r="A15886" i="1"/>
  <c r="B15886" i="1"/>
  <c r="A15887" i="1"/>
  <c r="B15887" i="1"/>
  <c r="A15888" i="1"/>
  <c r="B15888" i="1"/>
  <c r="A15889" i="1"/>
  <c r="B15889" i="1"/>
  <c r="A15890" i="1"/>
  <c r="B15890" i="1"/>
  <c r="A15891" i="1"/>
  <c r="B15891" i="1"/>
  <c r="A15892" i="1"/>
  <c r="B15892" i="1"/>
  <c r="A15893" i="1"/>
  <c r="B15893" i="1"/>
  <c r="A15894" i="1"/>
  <c r="B15894" i="1"/>
  <c r="A15895" i="1"/>
  <c r="B15895" i="1"/>
  <c r="A15896" i="1"/>
  <c r="B15896" i="1"/>
  <c r="A15897" i="1"/>
  <c r="B15897" i="1"/>
  <c r="A15898" i="1"/>
  <c r="B15898" i="1"/>
  <c r="A15899" i="1"/>
  <c r="B15899" i="1"/>
  <c r="A15900" i="1"/>
  <c r="B15900" i="1"/>
  <c r="A15901" i="1"/>
  <c r="B15901" i="1"/>
  <c r="A15902" i="1"/>
  <c r="B15902" i="1"/>
  <c r="A15903" i="1"/>
  <c r="B15903" i="1"/>
  <c r="A15904" i="1"/>
  <c r="B15904" i="1"/>
  <c r="A15905" i="1"/>
  <c r="B15905" i="1"/>
  <c r="A15906" i="1"/>
  <c r="B15906" i="1"/>
  <c r="A15907" i="1"/>
  <c r="B15907" i="1"/>
  <c r="A15908" i="1"/>
  <c r="B15908" i="1"/>
  <c r="A15909" i="1"/>
  <c r="B15909" i="1"/>
  <c r="A15910" i="1"/>
  <c r="B15910" i="1"/>
  <c r="A15911" i="1"/>
  <c r="B15911" i="1"/>
  <c r="A15912" i="1"/>
  <c r="B15912" i="1"/>
  <c r="A15913" i="1"/>
  <c r="B15913" i="1"/>
  <c r="A15914" i="1"/>
  <c r="B15914" i="1"/>
  <c r="A15915" i="1"/>
  <c r="B15915" i="1"/>
  <c r="A15916" i="1"/>
  <c r="B15916" i="1"/>
  <c r="A15917" i="1"/>
  <c r="B15917" i="1"/>
  <c r="A15918" i="1"/>
  <c r="B15918" i="1"/>
  <c r="A15919" i="1"/>
  <c r="B15919" i="1"/>
  <c r="A15920" i="1"/>
  <c r="B15920" i="1"/>
  <c r="A15921" i="1"/>
  <c r="B15921" i="1"/>
  <c r="A15922" i="1"/>
  <c r="B15922" i="1"/>
  <c r="A15923" i="1"/>
  <c r="B15923" i="1"/>
  <c r="A15924" i="1"/>
  <c r="B15924" i="1"/>
  <c r="A15925" i="1"/>
  <c r="B15925" i="1"/>
  <c r="A15926" i="1"/>
  <c r="B15926" i="1"/>
  <c r="A15927" i="1"/>
  <c r="B15927" i="1"/>
  <c r="A15928" i="1"/>
  <c r="B15928" i="1"/>
  <c r="A15929" i="1"/>
  <c r="B15929" i="1"/>
  <c r="A15930" i="1"/>
  <c r="B15930" i="1"/>
  <c r="A15931" i="1"/>
  <c r="B15931" i="1"/>
  <c r="A15932" i="1"/>
  <c r="B15932" i="1"/>
  <c r="A15933" i="1"/>
  <c r="B15933" i="1"/>
  <c r="A15934" i="1"/>
  <c r="B15934" i="1"/>
  <c r="A15935" i="1"/>
  <c r="B15935" i="1"/>
  <c r="A15936" i="1"/>
  <c r="B15936" i="1"/>
  <c r="A15937" i="1"/>
  <c r="B15937" i="1"/>
  <c r="A15938" i="1"/>
  <c r="B15938" i="1"/>
  <c r="A15939" i="1"/>
  <c r="B15939" i="1"/>
  <c r="A15940" i="1"/>
  <c r="B15940" i="1"/>
  <c r="A15941" i="1"/>
  <c r="B15941" i="1"/>
  <c r="A15942" i="1"/>
  <c r="B15942" i="1"/>
  <c r="A15943" i="1"/>
  <c r="B15943" i="1"/>
  <c r="A15944" i="1"/>
  <c r="B15944" i="1"/>
  <c r="A15945" i="1"/>
  <c r="B15945" i="1"/>
  <c r="A15946" i="1"/>
  <c r="B15946" i="1"/>
  <c r="A15947" i="1"/>
  <c r="B15947" i="1"/>
  <c r="A15948" i="1"/>
  <c r="B15948" i="1"/>
  <c r="A15949" i="1"/>
  <c r="B15949" i="1"/>
  <c r="A15950" i="1"/>
  <c r="B15950" i="1"/>
  <c r="A15951" i="1"/>
  <c r="B15951" i="1"/>
  <c r="A15952" i="1"/>
  <c r="B15952" i="1"/>
  <c r="A15953" i="1"/>
  <c r="B15953" i="1"/>
  <c r="A15954" i="1"/>
  <c r="B15954" i="1"/>
  <c r="A15955" i="1"/>
  <c r="B15955" i="1"/>
  <c r="A15956" i="1"/>
  <c r="B15956" i="1"/>
  <c r="A15957" i="1"/>
  <c r="B15957" i="1"/>
  <c r="A15958" i="1"/>
  <c r="B15958" i="1"/>
  <c r="A15959" i="1"/>
  <c r="B15959" i="1"/>
  <c r="A15960" i="1"/>
  <c r="B15960" i="1"/>
  <c r="A15961" i="1"/>
  <c r="B15961" i="1"/>
  <c r="A15962" i="1"/>
  <c r="B15962" i="1"/>
  <c r="A15963" i="1"/>
  <c r="B15963" i="1"/>
  <c r="A15964" i="1"/>
  <c r="B15964" i="1"/>
  <c r="A15965" i="1"/>
  <c r="B15965" i="1"/>
  <c r="A15966" i="1"/>
  <c r="B15966" i="1"/>
  <c r="A15967" i="1"/>
  <c r="B15967" i="1"/>
  <c r="A15968" i="1"/>
  <c r="B15968" i="1"/>
  <c r="A15969" i="1"/>
  <c r="B15969" i="1"/>
  <c r="A15970" i="1"/>
  <c r="B15970" i="1"/>
  <c r="A15971" i="1"/>
  <c r="B15971" i="1"/>
  <c r="A15972" i="1"/>
  <c r="B15972" i="1"/>
  <c r="A15973" i="1"/>
  <c r="B15973" i="1"/>
  <c r="A15974" i="1"/>
  <c r="B15974" i="1"/>
  <c r="A15975" i="1"/>
  <c r="B15975" i="1"/>
  <c r="A15976" i="1"/>
  <c r="B15976" i="1"/>
  <c r="A15977" i="1"/>
  <c r="B15977" i="1"/>
  <c r="A15978" i="1"/>
  <c r="B15978" i="1"/>
  <c r="A15979" i="1"/>
  <c r="B15979" i="1"/>
  <c r="A15980" i="1"/>
  <c r="B15980" i="1"/>
  <c r="A15981" i="1"/>
  <c r="B15981" i="1"/>
  <c r="A15982" i="1"/>
  <c r="B15982" i="1"/>
  <c r="A15983" i="1"/>
  <c r="B15983" i="1"/>
  <c r="A15984" i="1"/>
  <c r="B15984" i="1"/>
  <c r="A15985" i="1"/>
  <c r="B15985" i="1"/>
  <c r="A15986" i="1"/>
  <c r="B15986" i="1"/>
  <c r="A15987" i="1"/>
  <c r="B15987" i="1"/>
  <c r="A15988" i="1"/>
  <c r="B15988" i="1"/>
  <c r="A15989" i="1"/>
  <c r="B15989" i="1"/>
  <c r="A15990" i="1"/>
  <c r="B15990" i="1"/>
  <c r="A15991" i="1"/>
  <c r="B15991" i="1"/>
  <c r="A15992" i="1"/>
  <c r="B15992" i="1"/>
  <c r="A15993" i="1"/>
  <c r="B15993" i="1"/>
  <c r="A15994" i="1"/>
  <c r="B15994" i="1"/>
  <c r="A15995" i="1"/>
  <c r="B15995" i="1"/>
  <c r="A15996" i="1"/>
  <c r="B15996" i="1"/>
  <c r="A15997" i="1"/>
  <c r="B15997" i="1"/>
  <c r="A15998" i="1"/>
  <c r="B15998" i="1"/>
  <c r="A15999" i="1"/>
  <c r="B15999" i="1"/>
  <c r="A16000" i="1"/>
  <c r="B16000" i="1"/>
  <c r="A16001" i="1"/>
  <c r="B16001" i="1"/>
  <c r="A16002" i="1"/>
  <c r="B16002" i="1"/>
</calcChain>
</file>

<file path=xl/sharedStrings.xml><?xml version="1.0" encoding="utf-8"?>
<sst xmlns="http://schemas.openxmlformats.org/spreadsheetml/2006/main" count="48" uniqueCount="48">
  <si>
    <t>Produced:</t>
  </si>
  <si>
    <t>Mois(C):</t>
  </si>
  <si>
    <t>Annee(C):</t>
  </si>
  <si>
    <t>BUREAU(C):</t>
  </si>
  <si>
    <t>SYSCOM(C):</t>
  </si>
  <si>
    <t>FLUX(C):</t>
  </si>
  <si>
    <t>PROVDEST(C):</t>
  </si>
  <si>
    <t>PRODUIT(B):</t>
  </si>
  <si>
    <t>Y Axis (1)</t>
  </si>
  <si>
    <t>PARTENAIRE(B):</t>
  </si>
  <si>
    <t>Y Axis (2)</t>
  </si>
  <si>
    <t>INDICATORS(B):</t>
  </si>
  <si>
    <t>X Axis (1)</t>
  </si>
  <si>
    <t>=t("Citrons "Citrus limon, Citrus limonum" et limes "Citrus aurantifolia, Citrus latifolia", frais ou secs")</t>
  </si>
  <si>
    <t>=t("Huiles de navette ou de colza à faible teneur en acide érucique "huiles fixes dont la teneur en acide érucique est &lt; 2%" et leurs fractions, même raffinées, mais non chimiquement modifiées (à l'excl. des huiles brutes)")</t>
  </si>
  <si>
    <t>=t("CIRES ARTIFICIELLES ET CIRES PRÉPARÉES (À L'EXCL. DES CIRES DE LIGNITE MODIFIÉ CHIMIQUEMENT ET DES CIRES DE POLY"OXYÉTHYLÈNE" [POLYÉTHYLÈNEGLYCOLS])")</t>
  </si>
  <si>
    <t>=t("PELLICULES PHOTOGRAPHIQUES "Y.C. À DÉVELOPPEMENT ET TIRAGE INSTANTANÉS", SENSIBILISÉES, NON-IMPRESSIONNÉES, NON-PERFORÉES, EN ROULEAUX, D'UNE LARGEUR &lt;= 105 MM, POUR LA PHOTOGRAPHIE EN COULEURS [POLYCHROME] (À L'EXCL. DES PRODUITS EN PAPIER, EN CARTON</t>
  </si>
  <si>
    <t>=t("MOTEURS HORS-BORD À ALLUMAGE PAR ÉTINCELLES "MOTEURS À EXPLOSION" POUR LA PROPULSION DE BATEAUX")</t>
  </si>
  <si>
    <t>=t("MOTEURS À PISTON ALTERNATIF OU ROTATIF, À ALLUMAGE PAR ÉTINCELLES "MOTEURS À EXPLOSION", POUR BATEAUX (SAUF MOTEURS HORS-BORD)")</t>
  </si>
  <si>
    <t>=t("MOTEURS À PISTON ALTERNATIF À ALLUMAGE PAR ÉTINCELLES "MOTEURS À EXPLOSION", DES TYPES UTILISÉS POUR LA PROPULSION DES VÉHICULES DU CHAPITRE 87, CYLINDRÉE &gt; 50 CM³ MAIS &lt;= 250 CM³")</t>
  </si>
  <si>
    <t>=t("MOTEURS À PISTON ALTERNATIF À ALLUMAGE PAR ÉTINCELLES "MOTEURS À EXPLOSION", DES TYPES UTILISÉS POUR LA PROPULSION DES VÉHICULES DU CHAPITRE 87, CYLINDRÉE &gt; 250 CM³ MAIS &lt;= 1000 CM³")</t>
  </si>
  <si>
    <t>=t("MOTEURS À PISTON ALTERNATIF À ALLUMAGE PAR ÉTINCELLES "MOTEURS À EXPLOSION", DES TYPES UTILISÉS POUR LA PROPULSION DES VÉHICULES DU CHAPITRE 87, CYLINDRÉE &gt; 1000 CM³"")</t>
  </si>
  <si>
    <t>=t("MOTEURS À PISTON ALTERNATIF OU ROTATIF, À ALLUMAGE PAR ÉTINCELLES "MOTEURS À EXPLOSION" (AUTRES QUE MOTEURS POUR AÉRONEFS, MOTEURS POUR LA PROPULSION DE BATEAUX ET AUTRES QUE LES MOTEURS À PISTON ALTERNATIF DES TYPES UTILISÉS POUR LA PROPULSION DES VÉ</t>
  </si>
  <si>
    <t>=t("MOTEURS À PISTON, À ALLUMAGE PAR COMPRESSION "MOTEURS DIESEL OU SEMI-DIESEL", DES TYPES UTILISÉS POUR LA PROPULSION DES VÉHICULES DU CHAPITRE 87"")</t>
  </si>
  <si>
    <t>=t("MOTEURS À PISTON, À ALLUMAGE PAR COMPRESSION "MOTEURS DIESEL OU SEMI-DIESEL" (AUTRES QUE MOTEURS DE PROPULSION POUR BATEAUX ET SAUF MOTEURS DES TYPES UTILISÉS POUR LA PROPULSION DES VÉHICULES DU CHAPITRE 87)")</t>
  </si>
  <si>
    <t xml:space="preserve">=t("POMPES POUR LIQUIDES VOLUMÉTRIQUES ALTERNATIVES, À MOTEUR (SAUF POMPES AVEC DISPOSITIF MESUREUR OU CONÇUES POUR EN COMPORTER DU N° 8413.11 OU 8413.19, POMPES À CARBURANT, À HUILE OU À LIQUIDE DE REFROIDISSEMENT POUR MOTEURS À ALLUMAGE PAR ÉTINCELLES" </t>
  </si>
  <si>
    <t>=t("MACHINES ET APPAREILS POUR LE CONDITIONNEMENT DE L'AIR, FORMANT UN SEUL CORPS OU DU TYPE "SPLIT-SYSTEM" [SYSTÈMES À ÉLÉMENTS SÉPARÉS], DU TYPE MURAL OU POUR FENÊTRES"")</t>
  </si>
  <si>
    <t>=t("Groupes électrogènes à moteur à piston à allumage par compression "moteurs diesel ou semi-diesel", puissance &lt;= 75 kVA")</t>
  </si>
  <si>
    <t>=t("GROUPES ÉLECTROGÈNES À MOTEUR À PISTON À ALLUMAGE PAR COMPRESSION "MOTEUR DIESEL OU SEMI-DIESEL", PUISSANCE &gt; 375 KVA")</t>
  </si>
  <si>
    <t>=t("GROUPES ÉLECTROGÈNES À MOTEUR À PISTON À ALLUMAGE PAR ÉTINCELLES "MOTEUR À EXPLOSION"")</t>
  </si>
  <si>
    <t>=t("Lecteurs de cassettes "uniquement pour la reproduction du son" (autres que de poche et machines à dicter)")</t>
  </si>
  <si>
    <t>=t("VÉHICULES POUR LE TRANSPORT DE &gt;= 10 PERSONNES, CHAUFFEUR INCLUS, À MOTEUR À PISTON À ALLUMAGE PAR COMPRESSION "MOTEUR DIESEL OU SEMI-DIESEL"")</t>
  </si>
  <si>
    <t>=t("VÉHICULES POUR LE TRANSPORT DE &gt;= 10 PERSONNES, CHAUFFEUR INCLUS, AUTRES QU'À MOTEUR À PISTON À ALLUMAGE PAR COMPRESSION "MOTEUR DIESEL OU SEMI-DIESEL"")</t>
  </si>
  <si>
    <t>=t("VOITURES DE TOURISME ET AUTRES VÉHICULES PRINCIPALEMENT CONÇUS POUR LE TRANSPORT DE PERSONNES, Y.C. LES VOITURES DU TYPE 'BREAK' ET LES VOITURES DE COURSE, À MOTEUR À PISTON ALTERNATIF À ALLUMAGE PAR ÉTINCELLES "MOTEUR À EXPLOSION", CYLINDRÉE &lt;= 1.000</t>
  </si>
  <si>
    <t xml:space="preserve">=t("VOITURES DE TOURISME ET AUTRES VÉHICULES PRINCIPALEMENT CONÇUS POUR LE TRANSPORT DE PERSONNES, Y.C. LES VOITURES DU TYPE 'BREAK' ET LES VOITURES DE COURSE, À MOTEUR À PISTON ALTERNATIF À ALLUMAGE PAR ÉTINCELLES "MOTEUR À EXPLOSION", CYLINDRÉE &gt; 1.000 </t>
  </si>
  <si>
    <t xml:space="preserve">=t("VOITURES DE TOURISME ET AUTRES VÉHICULES PRINCIPALEMENT CONÇUS POUR LE TRANSPORT DE PERSONNES, Y.C. LES VOITURES DU TYPE 'BREAK' ET LES VOITURES DE COURSE, À MOTEUR À PISTON ALTERNATIF À ALLUMAGE PAR ÉTINCELLES "MOTEUR À EXPLOSION", CYLINDRÉE &gt; 1.500 </t>
  </si>
  <si>
    <t xml:space="preserve">=t("VOITURES DE TOURISME ET AUTRES VÉHICULES PRINCIPALEMENT CONÇUS POUR LE TRANSPORT DE PERSONNES, Y.C. LES VOITURES DU TYPE 'BREAK' ET LES VOITURES DE COURSE, À MOTEUR À PISTON ALTERNATIF À ALLUMAGE PAR ÉTINCELLES "MOTEUR À EXPLOSION", CYLINDRÉE &gt; 3.000 </t>
  </si>
  <si>
    <t>=t("VOITURES DE TOURISME ET AUTRES VÉHICULES PRINCIPALEMENT CONÇUS POUR LE TRANSPORT DE PERSONNES, Y.C. LES VOITURES DU TYPE 'BREAK' ET LES VOITURES DE COURSE, À MOTEUR À PISTON À ALLUMAGE PAR COMPRESSION "MOTEUR DIESEL OU SEMI-DIESEL", CYLINDRÉE &lt;= 1.500</t>
  </si>
  <si>
    <t xml:space="preserve">=t("VOITURES DE TOURISME ET AUTRES VÉHICULES PRINCIPALEMENT CONÇUS POUR LE TRANSPORT DE PERSONNES, Y.C. LES VOITURES DU TYPE 'BREAK' ET LES VOITURES DE COURSE, À MOTEUR À PISTON À ALLUMAGE PAR COMPRESSION "MOTEUR DIESEL OU SEMI-DIESEL", CYLINDRÉE &gt; 1.500 </t>
  </si>
  <si>
    <t>=t("VOITURES DE TOURISME ET AUTRES VÉHICULES PRINCIPALEMENT CONÇUS POUR LE TRANSPORT DE PERSONNES, Y.C. LES VOITURES DU TYPE 'BREAK' ET LES VOITURES DE COURSE, À MOTEUR À PISTON À ALLUMAGE PAR COMPRESSION "MOTEUR DIESEL OU SEMI-DIESEL", CYLINDRÉE &gt; 2500 C</t>
  </si>
  <si>
    <t>=t("VÉHICULES POUR LE TRANSPORT DE MARCHANDISES, À MOTEUR À PISTON À ALLUMAGE PAR COMPRESSION "MOTEUR DIESEL OU SEMI-DIESEL", POIDS EN CHARGE MAXIMAL &lt;= 5 T (SAUF TOMBEREAUX AUTOMOTEURS DU N° 8704 ET VÉHICULES AUTOMOBILES À USAGES SPÉCIAUX DU N° 8705)")</t>
  </si>
  <si>
    <t>=t("VÉHICULES POUR LE TRANSPORT DE MARCHANDISES, À MOTEUR À PISTON À ALLUMAGE PAR COMPRESSION "MOTEUR DIESEL OU SEMI-DIESEL", POIDS EN CHARGE MAXIMAL &gt; 5 T MAIS &lt;= 20 T (SAUF TOMBEREAUX AUTOMOTEURS DU N° 8704.10, VÉHICULES AUTOMOBILES À USAGES SPÉCIAUX DU</t>
  </si>
  <si>
    <t>=t("VÉHICULES POUR LE TRANSPORT DE MARCHANDISES, À MOTEUR À PISTON À ALLUMAGE PAR COMPRESSION "MOTEUR DIESEL OU SEMI-DIESEL", POIDS EN CHARGE MAXIMAL &gt; 20 T (SAUF TOMBEREAUX AUTOMOTEURS DU N° 8704.10, VÉHICULES AUTOMOBILES À USAGES SPÉCIAUX DU N° 8705)")</t>
  </si>
  <si>
    <t>=t("VÉHICULES POUR LE TRANSPORT DE MARCHANDISES, À MOTEUR À PISTON À ALLUMAGE PAR ÉTINCELLES "MOTEUR À EXPLOSION", POIDS EN CHARGE MAXIMAL &lt;= 5 T (SAUF TOMBEREAUX AUTOMOTEURS DU N° 8704.10, VÉHICULES AUTOMOBILES À USAGES SPÉCIAUX DU N° 8705)")</t>
  </si>
  <si>
    <t>=t("VÉHICULES POUR LE TRANSPORT DE MARCHANDISES, À MOTEUR À PISTON À ALLUMAGE PAR ÉTINCELLES "MOTEUR À EXPLOSION", POIDS EN CHARGE MAXIMAL &gt; 5 T (SAUF TOMBEREAUX AUTOMOTEURS DU N° 8704.10, VÉHICULES AUTOMOBILES À USAGES SPÉCIAUX DU N° 8705)")</t>
  </si>
  <si>
    <t>=t("PARTIES ET ACCESSOIRES D'INSTRUMENTS DE MUSIQUE "P.EX. MÉCANISMES DE BOÎTES À MUSIQUE, CARTES, DISQUES ET ROULEAUX POUR APPAREILS À JOUER MÉCANIQUEMENT", N.D.A.; MÉTRONOMES ET DIAPASONS DE TOUS TYPES (À L'EXCL. DES CORDES HARMONIQUES ET DES PARTIES ET</t>
  </si>
  <si>
    <t>Source: Copyright © 1958 - 2003 European Community, Eurostat. All Rights Reserved. Comext: k0000019.txt  Extracted: 07/10/2014</t>
  </si>
  <si>
    <t>Table generation of Extraction from Plan "k0000016,mtx"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</si>
</sst>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005"/>
  <sheetViews>
    <sheetView tabSelected="1" workbookViewId="0">
      <selection activeCell="D16092" sqref="D16092"/>
    </sheetView>
  </sheetViews>
  <sheetFormatPr baseColWidth="10" defaultRowHeight="15" x14ac:dyDescent="0.25"/>
  <sheetData>
    <row r="1" spans="1:4" x14ac:dyDescent="0.25">
      <c r="C1" t="s">
        <v>47</v>
      </c>
    </row>
    <row r="3" spans="1:4" x14ac:dyDescent="0.25">
      <c r="A3" t="s">
        <v>0</v>
      </c>
      <c r="B3" t="str">
        <f>T("07/10/2014")</f>
        <v>07/10/2014</v>
      </c>
    </row>
    <row r="4" spans="1:4" x14ac:dyDescent="0.25">
      <c r="A4" t="s">
        <v>1</v>
      </c>
      <c r="B4" t="str">
        <f>T("00")</f>
        <v>00</v>
      </c>
    </row>
    <row r="5" spans="1:4" x14ac:dyDescent="0.25">
      <c r="A5" t="s">
        <v>2</v>
      </c>
      <c r="B5" t="str">
        <f>T("2012")</f>
        <v>2012</v>
      </c>
    </row>
    <row r="6" spans="1:4" x14ac:dyDescent="0.25">
      <c r="A6" t="s">
        <v>3</v>
      </c>
      <c r="B6" t="str">
        <f>T("ZZ_7Bureaux")</f>
        <v>ZZ_7Bureaux</v>
      </c>
    </row>
    <row r="7" spans="1:4" x14ac:dyDescent="0.25">
      <c r="A7" t="s">
        <v>4</v>
      </c>
      <c r="B7" t="str">
        <f>T("CS")</f>
        <v>CS</v>
      </c>
    </row>
    <row r="8" spans="1:4" x14ac:dyDescent="0.25">
      <c r="A8" t="s">
        <v>5</v>
      </c>
      <c r="B8" t="str">
        <f>T("I")</f>
        <v>I</v>
      </c>
    </row>
    <row r="9" spans="1:4" x14ac:dyDescent="0.25">
      <c r="A9" t="s">
        <v>6</v>
      </c>
      <c r="B9" t="str">
        <f>T("ZZZ_Monde")</f>
        <v>ZZZ_Monde</v>
      </c>
    </row>
    <row r="10" spans="1:4" x14ac:dyDescent="0.25">
      <c r="A10" t="s">
        <v>7</v>
      </c>
      <c r="B10" t="s">
        <v>8</v>
      </c>
    </row>
    <row r="11" spans="1:4" x14ac:dyDescent="0.25">
      <c r="A11" t="s">
        <v>9</v>
      </c>
      <c r="B11" t="s">
        <v>10</v>
      </c>
    </row>
    <row r="12" spans="1:4" x14ac:dyDescent="0.25">
      <c r="A12" t="s">
        <v>11</v>
      </c>
      <c r="B12" t="s">
        <v>12</v>
      </c>
    </row>
    <row r="14" spans="1:4" x14ac:dyDescent="0.25">
      <c r="C14" t="str">
        <f>T("Valstat")</f>
        <v>Valstat</v>
      </c>
      <c r="D14" t="str">
        <f>T("Poidsnet")</f>
        <v>Poidsnet</v>
      </c>
    </row>
    <row r="15" spans="1:4" x14ac:dyDescent="0.25">
      <c r="C15" t="str">
        <f>T("Valstat")</f>
        <v>Valstat</v>
      </c>
      <c r="D15" t="str">
        <f>T("Poidsnet")</f>
        <v>Poidsnet</v>
      </c>
    </row>
    <row r="16" spans="1:4" x14ac:dyDescent="0.25">
      <c r="A16" t="str">
        <f>T("010511")</f>
        <v>010511</v>
      </c>
      <c r="B16" t="str">
        <f>T("Coqs et poules [des espèces domestiques], vivants, d'un poids &lt;= 185 g")</f>
        <v>Coqs et poules [des espèces domestiques], vivants, d'un poids &lt;= 185 g</v>
      </c>
    </row>
    <row r="17" spans="1:4" x14ac:dyDescent="0.25">
      <c r="A17" t="str">
        <f>T("   ZZZ_Monde")</f>
        <v xml:space="preserve">   ZZZ_Monde</v>
      </c>
      <c r="B17" t="str">
        <f>T("   ZZZ_Monde")</f>
        <v xml:space="preserve">   ZZZ_Monde</v>
      </c>
      <c r="C17">
        <v>13982443</v>
      </c>
      <c r="D17">
        <v>8303.4</v>
      </c>
    </row>
    <row r="18" spans="1:4" x14ac:dyDescent="0.25">
      <c r="A18" t="str">
        <f>T("   BE")</f>
        <v xml:space="preserve">   BE</v>
      </c>
      <c r="B18" t="str">
        <f>T("   Belgique")</f>
        <v xml:space="preserve">   Belgique</v>
      </c>
      <c r="C18">
        <v>5498257</v>
      </c>
      <c r="D18">
        <v>3618.4</v>
      </c>
    </row>
    <row r="19" spans="1:4" x14ac:dyDescent="0.25">
      <c r="A19" t="str">
        <f>T("   FR")</f>
        <v xml:space="preserve">   FR</v>
      </c>
      <c r="B19" t="str">
        <f>T("   France")</f>
        <v xml:space="preserve">   France</v>
      </c>
      <c r="C19">
        <v>8484186</v>
      </c>
      <c r="D19">
        <v>4685</v>
      </c>
    </row>
    <row r="20" spans="1:4" x14ac:dyDescent="0.25">
      <c r="A20" t="str">
        <f>T("010599")</f>
        <v>010599</v>
      </c>
      <c r="B20" t="str">
        <f>T("Canards, oies, dindons, dindes et pintades [des espèces domestiques], vivants, d'un poids &gt; 185 g")</f>
        <v>Canards, oies, dindons, dindes et pintades [des espèces domestiques], vivants, d'un poids &gt; 185 g</v>
      </c>
    </row>
    <row r="21" spans="1:4" x14ac:dyDescent="0.25">
      <c r="A21" t="str">
        <f>T("   ZZZ_Monde")</f>
        <v xml:space="preserve">   ZZZ_Monde</v>
      </c>
      <c r="B21" t="str">
        <f>T("   ZZZ_Monde")</f>
        <v xml:space="preserve">   ZZZ_Monde</v>
      </c>
      <c r="C21">
        <v>7966228</v>
      </c>
      <c r="D21">
        <v>80719</v>
      </c>
    </row>
    <row r="22" spans="1:4" x14ac:dyDescent="0.25">
      <c r="A22" t="str">
        <f>T("   BE")</f>
        <v xml:space="preserve">   BE</v>
      </c>
      <c r="B22" t="str">
        <f>T("   Belgique")</f>
        <v xml:space="preserve">   Belgique</v>
      </c>
      <c r="C22">
        <v>1154228</v>
      </c>
      <c r="D22">
        <v>2295</v>
      </c>
    </row>
    <row r="23" spans="1:4" x14ac:dyDescent="0.25">
      <c r="A23" t="str">
        <f>T("   Z2")</f>
        <v xml:space="preserve">   Z2</v>
      </c>
      <c r="B23" t="str">
        <f>T("   Pays non défini")</f>
        <v xml:space="preserve">   Pays non défini</v>
      </c>
      <c r="C23">
        <v>6812000</v>
      </c>
      <c r="D23">
        <v>78424</v>
      </c>
    </row>
    <row r="24" spans="1:4" x14ac:dyDescent="0.25">
      <c r="A24" t="str">
        <f>T("020210")</f>
        <v>020210</v>
      </c>
      <c r="B24" t="str">
        <f>T("Carcasses ou demi-carcasses, de bovins, congelées")</f>
        <v>Carcasses ou demi-carcasses, de bovins, congelées</v>
      </c>
    </row>
    <row r="25" spans="1:4" x14ac:dyDescent="0.25">
      <c r="A25" t="str">
        <f>T("   ZZZ_Monde")</f>
        <v xml:space="preserve">   ZZZ_Monde</v>
      </c>
      <c r="B25" t="str">
        <f>T("   ZZZ_Monde")</f>
        <v xml:space="preserve">   ZZZ_Monde</v>
      </c>
      <c r="C25">
        <v>13750889</v>
      </c>
      <c r="D25">
        <v>12500</v>
      </c>
    </row>
    <row r="26" spans="1:4" x14ac:dyDescent="0.25">
      <c r="A26" t="str">
        <f>T("   FR")</f>
        <v xml:space="preserve">   FR</v>
      </c>
      <c r="B26" t="str">
        <f>T("   France")</f>
        <v xml:space="preserve">   France</v>
      </c>
      <c r="C26">
        <v>13750889</v>
      </c>
      <c r="D26">
        <v>12500</v>
      </c>
    </row>
    <row r="27" spans="1:4" x14ac:dyDescent="0.25">
      <c r="A27" t="str">
        <f>T("020220")</f>
        <v>020220</v>
      </c>
      <c r="B27" t="str">
        <f>T("MORCEAUX NON-DÉSOSSÉS, DE BOVINS, CONGELÉS (À L'EXCL, DES CARCASSES ET DES DEMI-CARCASSES)")</f>
        <v>MORCEAUX NON-DÉSOSSÉS, DE BOVINS, CONGELÉS (À L'EXCL, DES CARCASSES ET DES DEMI-CARCASSES)</v>
      </c>
    </row>
    <row r="28" spans="1:4" x14ac:dyDescent="0.25">
      <c r="A28" t="str">
        <f>T("   ZZZ_Monde")</f>
        <v xml:space="preserve">   ZZZ_Monde</v>
      </c>
      <c r="B28" t="str">
        <f>T("   ZZZ_Monde")</f>
        <v xml:space="preserve">   ZZZ_Monde</v>
      </c>
      <c r="C28">
        <v>37873819</v>
      </c>
      <c r="D28">
        <v>58788</v>
      </c>
    </row>
    <row r="29" spans="1:4" x14ac:dyDescent="0.25">
      <c r="A29" t="str">
        <f>T("   FR")</f>
        <v xml:space="preserve">   FR</v>
      </c>
      <c r="B29" t="str">
        <f>T("   France")</f>
        <v xml:space="preserve">   France</v>
      </c>
      <c r="C29">
        <v>3041031</v>
      </c>
      <c r="D29">
        <v>2788</v>
      </c>
    </row>
    <row r="30" spans="1:4" x14ac:dyDescent="0.25">
      <c r="A30" t="str">
        <f>T("   GB")</f>
        <v xml:space="preserve">   GB</v>
      </c>
      <c r="B30" t="str">
        <f>T("   Royaume-Uni")</f>
        <v xml:space="preserve">   Royaume-Uni</v>
      </c>
      <c r="C30">
        <v>34832788</v>
      </c>
      <c r="D30">
        <v>56000</v>
      </c>
    </row>
    <row r="31" spans="1:4" x14ac:dyDescent="0.25">
      <c r="A31" t="str">
        <f>T("020230")</f>
        <v>020230</v>
      </c>
      <c r="B31" t="str">
        <f>T("Viandes désossées de bovins, congelées")</f>
        <v>Viandes désossées de bovins, congelées</v>
      </c>
    </row>
    <row r="32" spans="1:4" x14ac:dyDescent="0.25">
      <c r="A32" t="str">
        <f>T("   ZZZ_Monde")</f>
        <v xml:space="preserve">   ZZZ_Monde</v>
      </c>
      <c r="B32" t="str">
        <f>T("   ZZZ_Monde")</f>
        <v xml:space="preserve">   ZZZ_Monde</v>
      </c>
      <c r="C32">
        <v>97564162</v>
      </c>
      <c r="D32">
        <v>154404</v>
      </c>
    </row>
    <row r="33" spans="1:4" x14ac:dyDescent="0.25">
      <c r="A33" t="str">
        <f>T("   FR")</f>
        <v xml:space="preserve">   FR</v>
      </c>
      <c r="B33" t="str">
        <f>T("   France")</f>
        <v xml:space="preserve">   France</v>
      </c>
      <c r="C33">
        <v>31320392</v>
      </c>
      <c r="D33">
        <v>41904</v>
      </c>
    </row>
    <row r="34" spans="1:4" x14ac:dyDescent="0.25">
      <c r="A34" t="str">
        <f>T("   GB")</f>
        <v xml:space="preserve">   GB</v>
      </c>
      <c r="B34" t="str">
        <f>T("   Royaume-Uni")</f>
        <v xml:space="preserve">   Royaume-Uni</v>
      </c>
      <c r="C34">
        <v>17416394</v>
      </c>
      <c r="D34">
        <v>28000</v>
      </c>
    </row>
    <row r="35" spans="1:4" x14ac:dyDescent="0.25">
      <c r="A35" t="str">
        <f>T("   IN")</f>
        <v xml:space="preserve">   IN</v>
      </c>
      <c r="B35" t="str">
        <f>T("   Inde")</f>
        <v xml:space="preserve">   Inde</v>
      </c>
      <c r="C35">
        <v>17727000</v>
      </c>
      <c r="D35">
        <v>28500</v>
      </c>
    </row>
    <row r="36" spans="1:4" x14ac:dyDescent="0.25">
      <c r="A36" t="str">
        <f>T("   NL")</f>
        <v xml:space="preserve">   NL</v>
      </c>
      <c r="B36" t="str">
        <f>T("   Pays-bas")</f>
        <v xml:space="preserve">   Pays-bas</v>
      </c>
      <c r="C36">
        <v>31100376</v>
      </c>
      <c r="D36">
        <v>56000</v>
      </c>
    </row>
    <row r="37" spans="1:4" x14ac:dyDescent="0.25">
      <c r="A37" t="str">
        <f>T("020312")</f>
        <v>020312</v>
      </c>
      <c r="B37" t="str">
        <f>T("JAMBONS, ÉPAULES ET LEURS MORCEAUX, NON-DÉSOSSÉS, DE PORCINS, FRAIS OU RÉFRIGÉRÉS")</f>
        <v>JAMBONS, ÉPAULES ET LEURS MORCEAUX, NON-DÉSOSSÉS, DE PORCINS, FRAIS OU RÉFRIGÉRÉS</v>
      </c>
    </row>
    <row r="38" spans="1:4" x14ac:dyDescent="0.25">
      <c r="A38" t="str">
        <f>T("   ZZZ_Monde")</f>
        <v xml:space="preserve">   ZZZ_Monde</v>
      </c>
      <c r="B38" t="str">
        <f>T("   ZZZ_Monde")</f>
        <v xml:space="preserve">   ZZZ_Monde</v>
      </c>
      <c r="C38">
        <v>2125697</v>
      </c>
      <c r="D38">
        <v>6237</v>
      </c>
    </row>
    <row r="39" spans="1:4" x14ac:dyDescent="0.25">
      <c r="A39" t="str">
        <f>T("   FR")</f>
        <v xml:space="preserve">   FR</v>
      </c>
      <c r="B39" t="str">
        <f>T("   France")</f>
        <v xml:space="preserve">   France</v>
      </c>
      <c r="C39">
        <v>2125697</v>
      </c>
      <c r="D39">
        <v>6237</v>
      </c>
    </row>
    <row r="40" spans="1:4" x14ac:dyDescent="0.25">
      <c r="A40" t="str">
        <f>T("020319")</f>
        <v>020319</v>
      </c>
      <c r="B40" t="str">
        <f>T("VIANDES DES ANIMAUX DE L'ESPÈCE PORCINE, FRAÎCHES OU RÉFRIGÉRÉES (À L'EXCL, DES CARCASSES ET DEMI-CARCASSES AINSI QUE DES JAMBONS, ÉPAULES ET LEURS MORCEAUX, NON-DÉSOSSÉS)")</f>
        <v>VIANDES DES ANIMAUX DE L'ESPÈCE PORCINE, FRAÎCHES OU RÉFRIGÉRÉES (À L'EXCL, DES CARCASSES ET DEMI-CARCASSES AINSI QUE DES JAMBONS, ÉPAULES ET LEURS MORCEAUX, NON-DÉSOSSÉS)</v>
      </c>
    </row>
    <row r="41" spans="1:4" x14ac:dyDescent="0.25">
      <c r="A41" t="str">
        <f>T("   ZZZ_Monde")</f>
        <v xml:space="preserve">   ZZZ_Monde</v>
      </c>
      <c r="B41" t="str">
        <f>T("   ZZZ_Monde")</f>
        <v xml:space="preserve">   ZZZ_Monde</v>
      </c>
      <c r="C41">
        <v>2261892</v>
      </c>
      <c r="D41">
        <v>1859</v>
      </c>
    </row>
    <row r="42" spans="1:4" x14ac:dyDescent="0.25">
      <c r="A42" t="str">
        <f>T("   ES")</f>
        <v xml:space="preserve">   ES</v>
      </c>
      <c r="B42" t="str">
        <f>T("   Espagne")</f>
        <v xml:space="preserve">   Espagne</v>
      </c>
      <c r="C42">
        <v>2174508</v>
      </c>
      <c r="D42">
        <v>1184</v>
      </c>
    </row>
    <row r="43" spans="1:4" x14ac:dyDescent="0.25">
      <c r="A43" t="str">
        <f>T("   TG")</f>
        <v xml:space="preserve">   TG</v>
      </c>
      <c r="B43" t="str">
        <f>T("   Togo")</f>
        <v xml:space="preserve">   Togo</v>
      </c>
      <c r="C43">
        <v>87384</v>
      </c>
      <c r="D43">
        <v>675</v>
      </c>
    </row>
    <row r="44" spans="1:4" x14ac:dyDescent="0.25">
      <c r="A44" t="str">
        <f>T("020322")</f>
        <v>020322</v>
      </c>
      <c r="B44" t="str">
        <f>T("JAMBONS, ÉPAULES ET LEURS MORCEAUX, NON-DÉSOSSÉS, DE PORCINS, CONGELÉS")</f>
        <v>JAMBONS, ÉPAULES ET LEURS MORCEAUX, NON-DÉSOSSÉS, DE PORCINS, CONGELÉS</v>
      </c>
    </row>
    <row r="45" spans="1:4" x14ac:dyDescent="0.25">
      <c r="A45" t="str">
        <f>T("   ZZZ_Monde")</f>
        <v xml:space="preserve">   ZZZ_Monde</v>
      </c>
      <c r="B45" t="str">
        <f>T("   ZZZ_Monde")</f>
        <v xml:space="preserve">   ZZZ_Monde</v>
      </c>
      <c r="C45">
        <v>563470</v>
      </c>
      <c r="D45">
        <v>904</v>
      </c>
    </row>
    <row r="46" spans="1:4" x14ac:dyDescent="0.25">
      <c r="A46" t="str">
        <f>T("   FR")</f>
        <v xml:space="preserve">   FR</v>
      </c>
      <c r="B46" t="str">
        <f>T("   France")</f>
        <v xml:space="preserve">   France</v>
      </c>
      <c r="C46">
        <v>563470</v>
      </c>
      <c r="D46">
        <v>904</v>
      </c>
    </row>
    <row r="47" spans="1:4" x14ac:dyDescent="0.25">
      <c r="A47" t="str">
        <f>T("020329")</f>
        <v>020329</v>
      </c>
      <c r="B47" t="str">
        <f>T("VIANDES DES ANIMAUX DE L'ESPÈCE PORCINE, CONGELÉES (À L'EXCL, DES CARCASSES OU DEMI-CARCASSES ET DES JAMBONS, ÉPAULES ET LEURS MORCEAUX, NON-DÉSOSSÉS)")</f>
        <v>VIANDES DES ANIMAUX DE L'ESPÈCE PORCINE, CONGELÉES (À L'EXCL, DES CARCASSES OU DEMI-CARCASSES ET DES JAMBONS, ÉPAULES ET LEURS MORCEAUX, NON-DÉSOSSÉS)</v>
      </c>
    </row>
    <row r="48" spans="1:4" x14ac:dyDescent="0.25">
      <c r="A48" t="str">
        <f>T("   ZZZ_Monde")</f>
        <v xml:space="preserve">   ZZZ_Monde</v>
      </c>
      <c r="B48" t="str">
        <f>T("   ZZZ_Monde")</f>
        <v xml:space="preserve">   ZZZ_Monde</v>
      </c>
      <c r="C48">
        <v>18753692</v>
      </c>
      <c r="D48">
        <v>46805</v>
      </c>
    </row>
    <row r="49" spans="1:4" x14ac:dyDescent="0.25">
      <c r="A49" t="str">
        <f>T("   ES")</f>
        <v xml:space="preserve">   ES</v>
      </c>
      <c r="B49" t="str">
        <f>T("   Espagne")</f>
        <v xml:space="preserve">   Espagne</v>
      </c>
      <c r="C49">
        <v>15550000</v>
      </c>
      <c r="D49">
        <v>19925</v>
      </c>
    </row>
    <row r="50" spans="1:4" x14ac:dyDescent="0.25">
      <c r="A50" t="str">
        <f>T("   TG")</f>
        <v xml:space="preserve">   TG</v>
      </c>
      <c r="B50" t="str">
        <f>T("   Togo")</f>
        <v xml:space="preserve">   Togo</v>
      </c>
      <c r="C50">
        <v>43692</v>
      </c>
      <c r="D50">
        <v>200</v>
      </c>
    </row>
    <row r="51" spans="1:4" x14ac:dyDescent="0.25">
      <c r="A51" t="str">
        <f>T("   Z2")</f>
        <v xml:space="preserve">   Z2</v>
      </c>
      <c r="B51" t="str">
        <f>T("   Pays non défini")</f>
        <v xml:space="preserve">   Pays non défini</v>
      </c>
      <c r="C51">
        <v>3160000</v>
      </c>
      <c r="D51">
        <v>26680</v>
      </c>
    </row>
    <row r="52" spans="1:4" x14ac:dyDescent="0.25">
      <c r="A52" t="str">
        <f>T("020422")</f>
        <v>020422</v>
      </c>
      <c r="B52" t="str">
        <f>T("MORCEAUX NON-DÉSOSSÉS, D'OVINS, FRAIS OU RÉFRIGÉRÉS (À L'EXCL, DES CARCASSES OU DEMI-CARCASSES)")</f>
        <v>MORCEAUX NON-DÉSOSSÉS, D'OVINS, FRAIS OU RÉFRIGÉRÉS (À L'EXCL, DES CARCASSES OU DEMI-CARCASSES)</v>
      </c>
    </row>
    <row r="53" spans="1:4" x14ac:dyDescent="0.25">
      <c r="A53" t="str">
        <f>T("   ZZZ_Monde")</f>
        <v xml:space="preserve">   ZZZ_Monde</v>
      </c>
      <c r="B53" t="str">
        <f>T("   ZZZ_Monde")</f>
        <v xml:space="preserve">   ZZZ_Monde</v>
      </c>
      <c r="C53">
        <v>2999706</v>
      </c>
      <c r="D53">
        <v>4794</v>
      </c>
    </row>
    <row r="54" spans="1:4" x14ac:dyDescent="0.25">
      <c r="A54" t="str">
        <f>T("   FR")</f>
        <v xml:space="preserve">   FR</v>
      </c>
      <c r="B54" t="str">
        <f>T("   France")</f>
        <v xml:space="preserve">   France</v>
      </c>
      <c r="C54">
        <v>2999706</v>
      </c>
      <c r="D54">
        <v>4794</v>
      </c>
    </row>
    <row r="55" spans="1:4" x14ac:dyDescent="0.25">
      <c r="A55" t="str">
        <f>T("020430")</f>
        <v>020430</v>
      </c>
      <c r="B55" t="str">
        <f>T("Carcasses ou demi-carcasses, d'agneaux, congelées")</f>
        <v>Carcasses ou demi-carcasses, d'agneaux, congelées</v>
      </c>
    </row>
    <row r="56" spans="1:4" x14ac:dyDescent="0.25">
      <c r="A56" t="str">
        <f>T("   ZZZ_Monde")</f>
        <v xml:space="preserve">   ZZZ_Monde</v>
      </c>
      <c r="B56" t="str">
        <f>T("   ZZZ_Monde")</f>
        <v xml:space="preserve">   ZZZ_Monde</v>
      </c>
      <c r="C56">
        <v>35577959</v>
      </c>
      <c r="D56">
        <v>27520</v>
      </c>
    </row>
    <row r="57" spans="1:4" x14ac:dyDescent="0.25">
      <c r="A57" t="str">
        <f>T("   FR")</f>
        <v xml:space="preserve">   FR</v>
      </c>
      <c r="B57" t="str">
        <f>T("   France")</f>
        <v xml:space="preserve">   France</v>
      </c>
      <c r="C57">
        <v>35577959</v>
      </c>
      <c r="D57">
        <v>27520</v>
      </c>
    </row>
    <row r="58" spans="1:4" x14ac:dyDescent="0.25">
      <c r="A58" t="str">
        <f>T("020442")</f>
        <v>020442</v>
      </c>
      <c r="B58" t="str">
        <f>T("MORCEAUX NON-DÉSOSSÉS, D'OVINS, CONGELÉS (À L'EXCL, DES CARCASSES OU DEMI-CARCASSES)")</f>
        <v>MORCEAUX NON-DÉSOSSÉS, D'OVINS, CONGELÉS (À L'EXCL, DES CARCASSES OU DEMI-CARCASSES)</v>
      </c>
    </row>
    <row r="59" spans="1:4" x14ac:dyDescent="0.25">
      <c r="A59" t="str">
        <f>T("   ZZZ_Monde")</f>
        <v xml:space="preserve">   ZZZ_Monde</v>
      </c>
      <c r="B59" t="str">
        <f>T("   ZZZ_Monde")</f>
        <v xml:space="preserve">   ZZZ_Monde</v>
      </c>
      <c r="C59">
        <v>3870820</v>
      </c>
      <c r="D59">
        <v>2486</v>
      </c>
    </row>
    <row r="60" spans="1:4" x14ac:dyDescent="0.25">
      <c r="A60" t="str">
        <f>T("   FR")</f>
        <v xml:space="preserve">   FR</v>
      </c>
      <c r="B60" t="str">
        <f>T("   France")</f>
        <v xml:space="preserve">   France</v>
      </c>
      <c r="C60">
        <v>3870820</v>
      </c>
      <c r="D60">
        <v>2486</v>
      </c>
    </row>
    <row r="61" spans="1:4" x14ac:dyDescent="0.25">
      <c r="A61" t="str">
        <f>T("020621")</f>
        <v>020621</v>
      </c>
      <c r="B61" t="str">
        <f>T("Langues de bovins, comestibles, congelées")</f>
        <v>Langues de bovins, comestibles, congelées</v>
      </c>
    </row>
    <row r="62" spans="1:4" x14ac:dyDescent="0.25">
      <c r="A62" t="str">
        <f>T("   ZZZ_Monde")</f>
        <v xml:space="preserve">   ZZZ_Monde</v>
      </c>
      <c r="B62" t="str">
        <f>T("   ZZZ_Monde")</f>
        <v xml:space="preserve">   ZZZ_Monde</v>
      </c>
      <c r="C62">
        <v>12463</v>
      </c>
      <c r="D62">
        <v>4</v>
      </c>
    </row>
    <row r="63" spans="1:4" x14ac:dyDescent="0.25">
      <c r="A63" t="str">
        <f>T("   FR")</f>
        <v xml:space="preserve">   FR</v>
      </c>
      <c r="B63" t="str">
        <f>T("   France")</f>
        <v xml:space="preserve">   France</v>
      </c>
      <c r="C63">
        <v>12463</v>
      </c>
      <c r="D63">
        <v>4</v>
      </c>
    </row>
    <row r="64" spans="1:4" x14ac:dyDescent="0.25">
      <c r="A64" t="str">
        <f>T("020629")</f>
        <v>020629</v>
      </c>
      <c r="B64" t="str">
        <f>T("Abats comestibles de bovins, congelés (à l'excl, des langues et des foies)")</f>
        <v>Abats comestibles de bovins, congelés (à l'excl, des langues et des foies)</v>
      </c>
    </row>
    <row r="65" spans="1:4" x14ac:dyDescent="0.25">
      <c r="A65" t="str">
        <f>T("   ZZZ_Monde")</f>
        <v xml:space="preserve">   ZZZ_Monde</v>
      </c>
      <c r="B65" t="str">
        <f>T("   ZZZ_Monde")</f>
        <v xml:space="preserve">   ZZZ_Monde</v>
      </c>
      <c r="C65">
        <v>259921197</v>
      </c>
      <c r="D65">
        <v>407260</v>
      </c>
    </row>
    <row r="66" spans="1:4" x14ac:dyDescent="0.25">
      <c r="A66" t="str">
        <f>T("   CH")</f>
        <v xml:space="preserve">   CH</v>
      </c>
      <c r="B66" t="str">
        <f>T("   Suisse")</f>
        <v xml:space="preserve">   Suisse</v>
      </c>
      <c r="C66">
        <v>31100000</v>
      </c>
      <c r="D66">
        <v>50000</v>
      </c>
    </row>
    <row r="67" spans="1:4" x14ac:dyDescent="0.25">
      <c r="A67" t="str">
        <f>T("   FR")</f>
        <v xml:space="preserve">   FR</v>
      </c>
      <c r="B67" t="str">
        <f>T("   France")</f>
        <v xml:space="preserve">   France</v>
      </c>
      <c r="C67">
        <v>67723161</v>
      </c>
      <c r="D67">
        <v>98260</v>
      </c>
    </row>
    <row r="68" spans="1:4" x14ac:dyDescent="0.25">
      <c r="A68" t="str">
        <f>T("   IN")</f>
        <v xml:space="preserve">   IN</v>
      </c>
      <c r="B68" t="str">
        <f>T("   Inde")</f>
        <v xml:space="preserve">   Inde</v>
      </c>
      <c r="C68">
        <v>161098036</v>
      </c>
      <c r="D68">
        <v>259000</v>
      </c>
    </row>
    <row r="69" spans="1:4" x14ac:dyDescent="0.25">
      <c r="A69" t="str">
        <f>T("020649")</f>
        <v>020649</v>
      </c>
      <c r="B69" t="str">
        <f>T("Abats comestibles de porcins, congelés (à l'excl, des foies)")</f>
        <v>Abats comestibles de porcins, congelés (à l'excl, des foies)</v>
      </c>
    </row>
    <row r="70" spans="1:4" x14ac:dyDescent="0.25">
      <c r="A70" t="str">
        <f>T("   ZZZ_Monde")</f>
        <v xml:space="preserve">   ZZZ_Monde</v>
      </c>
      <c r="B70" t="str">
        <f>T("   ZZZ_Monde")</f>
        <v xml:space="preserve">   ZZZ_Monde</v>
      </c>
      <c r="C70">
        <v>635625</v>
      </c>
      <c r="D70">
        <v>404</v>
      </c>
    </row>
    <row r="71" spans="1:4" x14ac:dyDescent="0.25">
      <c r="A71" t="str">
        <f>T("   FR")</f>
        <v xml:space="preserve">   FR</v>
      </c>
      <c r="B71" t="str">
        <f>T("   France")</f>
        <v xml:space="preserve">   France</v>
      </c>
      <c r="C71">
        <v>635625</v>
      </c>
      <c r="D71">
        <v>404</v>
      </c>
    </row>
    <row r="72" spans="1:4" x14ac:dyDescent="0.25">
      <c r="A72" t="str">
        <f>T("020690")</f>
        <v>020690</v>
      </c>
      <c r="B72" t="str">
        <f>T("Abats comestibles des animaux des espèces ovine, caprine, chevaline, asine ou mulassière, congelés")</f>
        <v>Abats comestibles des animaux des espèces ovine, caprine, chevaline, asine ou mulassière, congelés</v>
      </c>
    </row>
    <row r="73" spans="1:4" x14ac:dyDescent="0.25">
      <c r="A73" t="str">
        <f>T("   ZZZ_Monde")</f>
        <v xml:space="preserve">   ZZZ_Monde</v>
      </c>
      <c r="B73" t="str">
        <f>T("   ZZZ_Monde")</f>
        <v xml:space="preserve">   ZZZ_Monde</v>
      </c>
      <c r="C73">
        <v>46650032</v>
      </c>
      <c r="D73">
        <v>75000</v>
      </c>
    </row>
    <row r="74" spans="1:4" x14ac:dyDescent="0.25">
      <c r="A74" t="str">
        <f>T("   IN")</f>
        <v xml:space="preserve">   IN</v>
      </c>
      <c r="B74" t="str">
        <f>T("   Inde")</f>
        <v xml:space="preserve">   Inde</v>
      </c>
      <c r="C74">
        <v>46650032</v>
      </c>
      <c r="D74">
        <v>75000</v>
      </c>
    </row>
    <row r="75" spans="1:4" x14ac:dyDescent="0.25">
      <c r="A75" t="str">
        <f>T("020711")</f>
        <v>020711</v>
      </c>
      <c r="B75" t="str">
        <f>T("COQS ET POULES [DES ESPÈCES DOMESTIQUES], NON-DÉCOUPÉS EN MORCEAUX, FRAIS OU RÉFRIGÉRÉS")</f>
        <v>COQS ET POULES [DES ESPÈCES DOMESTIQUES], NON-DÉCOUPÉS EN MORCEAUX, FRAIS OU RÉFRIGÉRÉS</v>
      </c>
    </row>
    <row r="76" spans="1:4" x14ac:dyDescent="0.25">
      <c r="A76" t="str">
        <f>T("   ZZZ_Monde")</f>
        <v xml:space="preserve">   ZZZ_Monde</v>
      </c>
      <c r="B76" t="str">
        <f>T("   ZZZ_Monde")</f>
        <v xml:space="preserve">   ZZZ_Monde</v>
      </c>
      <c r="C76">
        <v>98211038</v>
      </c>
      <c r="D76">
        <v>157992.53</v>
      </c>
    </row>
    <row r="77" spans="1:4" x14ac:dyDescent="0.25">
      <c r="A77" t="str">
        <f>T("   BR")</f>
        <v xml:space="preserve">   BR</v>
      </c>
      <c r="B77" t="str">
        <f>T("   Brésil")</f>
        <v xml:space="preserve">   Brésil</v>
      </c>
      <c r="C77">
        <v>16825374</v>
      </c>
      <c r="D77">
        <v>27000</v>
      </c>
    </row>
    <row r="78" spans="1:4" x14ac:dyDescent="0.25">
      <c r="A78" t="str">
        <f>T("   FR")</f>
        <v xml:space="preserve">   FR</v>
      </c>
      <c r="B78" t="str">
        <f>T("   France")</f>
        <v xml:space="preserve">   France</v>
      </c>
      <c r="C78">
        <v>1526465</v>
      </c>
      <c r="D78">
        <v>2602.5300000000002</v>
      </c>
    </row>
    <row r="79" spans="1:4" x14ac:dyDescent="0.25">
      <c r="A79" t="str">
        <f>T("   NL")</f>
        <v xml:space="preserve">   NL</v>
      </c>
      <c r="B79" t="str">
        <f>T("   Pays-bas")</f>
        <v xml:space="preserve">   Pays-bas</v>
      </c>
      <c r="C79">
        <v>79859199</v>
      </c>
      <c r="D79">
        <v>128390</v>
      </c>
    </row>
    <row r="80" spans="1:4" x14ac:dyDescent="0.25">
      <c r="A80" t="str">
        <f>T("020712")</f>
        <v>020712</v>
      </c>
      <c r="B80" t="str">
        <f>T("COQS ET POULES [DES ESPÈCES DOMESTIQUES], NON-DÉCOUPÉS EN MORCEAUX, CONGELÉS")</f>
        <v>COQS ET POULES [DES ESPÈCES DOMESTIQUES], NON-DÉCOUPÉS EN MORCEAUX, CONGELÉS</v>
      </c>
    </row>
    <row r="81" spans="1:4" x14ac:dyDescent="0.25">
      <c r="A81" t="str">
        <f>T("   ZZZ_Monde")</f>
        <v xml:space="preserve">   ZZZ_Monde</v>
      </c>
      <c r="B81" t="str">
        <f>T("   ZZZ_Monde")</f>
        <v xml:space="preserve">   ZZZ_Monde</v>
      </c>
      <c r="C81">
        <v>18082098103</v>
      </c>
      <c r="D81">
        <v>29091207</v>
      </c>
    </row>
    <row r="82" spans="1:4" x14ac:dyDescent="0.25">
      <c r="A82" t="str">
        <f>T("   AE")</f>
        <v xml:space="preserve">   AE</v>
      </c>
      <c r="B82" t="str">
        <f>T("   Emirats Arabes Unis")</f>
        <v xml:space="preserve">   Emirats Arabes Unis</v>
      </c>
      <c r="C82">
        <v>15550188</v>
      </c>
      <c r="D82">
        <v>25000</v>
      </c>
    </row>
    <row r="83" spans="1:4" x14ac:dyDescent="0.25">
      <c r="A83" t="str">
        <f>T("   AN")</f>
        <v xml:space="preserve">   AN</v>
      </c>
      <c r="B83" t="str">
        <f>T("   Antilles Néerlandaises")</f>
        <v xml:space="preserve">   Antilles Néerlandaises</v>
      </c>
      <c r="C83">
        <v>12587872</v>
      </c>
      <c r="D83">
        <v>20200</v>
      </c>
    </row>
    <row r="84" spans="1:4" x14ac:dyDescent="0.25">
      <c r="A84" t="str">
        <f>T("   AR")</f>
        <v xml:space="preserve">   AR</v>
      </c>
      <c r="B84" t="str">
        <f>T("   Argentine")</f>
        <v xml:space="preserve">   Argentine</v>
      </c>
      <c r="C84">
        <v>342176447</v>
      </c>
      <c r="D84">
        <v>550100</v>
      </c>
    </row>
    <row r="85" spans="1:4" x14ac:dyDescent="0.25">
      <c r="A85" t="str">
        <f>T("   AU")</f>
        <v xml:space="preserve">   AU</v>
      </c>
      <c r="B85" t="str">
        <f>T("   Australie")</f>
        <v xml:space="preserve">   Australie</v>
      </c>
      <c r="C85">
        <v>30478526</v>
      </c>
      <c r="D85">
        <v>44354</v>
      </c>
    </row>
    <row r="86" spans="1:4" x14ac:dyDescent="0.25">
      <c r="A86" t="str">
        <f>T("   BE")</f>
        <v xml:space="preserve">   BE</v>
      </c>
      <c r="B86" t="str">
        <f>T("   Belgique")</f>
        <v xml:space="preserve">   Belgique</v>
      </c>
      <c r="C86">
        <v>559885381</v>
      </c>
      <c r="D86">
        <v>895930</v>
      </c>
    </row>
    <row r="87" spans="1:4" x14ac:dyDescent="0.25">
      <c r="A87" t="str">
        <f>T("   BR")</f>
        <v xml:space="preserve">   BR</v>
      </c>
      <c r="B87" t="str">
        <f>T("   Brésil")</f>
        <v xml:space="preserve">   Brésil</v>
      </c>
      <c r="C87">
        <v>508206846</v>
      </c>
      <c r="D87">
        <v>819212</v>
      </c>
    </row>
    <row r="88" spans="1:4" x14ac:dyDescent="0.25">
      <c r="A88" t="str">
        <f>T("   CA")</f>
        <v xml:space="preserve">   CA</v>
      </c>
      <c r="B88" t="str">
        <f>T("   Canada")</f>
        <v xml:space="preserve">   Canada</v>
      </c>
      <c r="C88">
        <v>124557621</v>
      </c>
      <c r="D88">
        <v>199892</v>
      </c>
    </row>
    <row r="89" spans="1:4" x14ac:dyDescent="0.25">
      <c r="A89" t="str">
        <f>T("   CH")</f>
        <v xml:space="preserve">   CH</v>
      </c>
      <c r="B89" t="str">
        <f>T("   Suisse")</f>
        <v xml:space="preserve">   Suisse</v>
      </c>
      <c r="C89">
        <v>273058089</v>
      </c>
      <c r="D89">
        <v>439000</v>
      </c>
    </row>
    <row r="90" spans="1:4" x14ac:dyDescent="0.25">
      <c r="A90" t="str">
        <f>T("   CN")</f>
        <v xml:space="preserve">   CN</v>
      </c>
      <c r="B90" t="str">
        <f>T("   Chine")</f>
        <v xml:space="preserve">   Chine</v>
      </c>
      <c r="C90">
        <v>15550188</v>
      </c>
      <c r="D90">
        <v>25000</v>
      </c>
    </row>
    <row r="91" spans="1:4" x14ac:dyDescent="0.25">
      <c r="A91" t="str">
        <f>T("   CZ")</f>
        <v xml:space="preserve">   CZ</v>
      </c>
      <c r="B91" t="str">
        <f>T("   Tchèque, République")</f>
        <v xml:space="preserve">   Tchèque, République</v>
      </c>
      <c r="C91">
        <v>624769266</v>
      </c>
      <c r="D91">
        <v>1005910</v>
      </c>
    </row>
    <row r="92" spans="1:4" x14ac:dyDescent="0.25">
      <c r="A92" t="str">
        <f>T("   DK")</f>
        <v xml:space="preserve">   DK</v>
      </c>
      <c r="B92" t="str">
        <f>T("   Danemark")</f>
        <v xml:space="preserve">   Danemark</v>
      </c>
      <c r="C92">
        <v>431301814</v>
      </c>
      <c r="D92">
        <v>692856</v>
      </c>
    </row>
    <row r="93" spans="1:4" x14ac:dyDescent="0.25">
      <c r="A93" t="str">
        <f>T("   ES")</f>
        <v xml:space="preserve">   ES</v>
      </c>
      <c r="B93" t="str">
        <f>T("   Espagne")</f>
        <v xml:space="preserve">   Espagne</v>
      </c>
      <c r="C93">
        <v>5977281259</v>
      </c>
      <c r="D93">
        <v>9607127</v>
      </c>
    </row>
    <row r="94" spans="1:4" x14ac:dyDescent="0.25">
      <c r="A94" t="str">
        <f>T("   FR")</f>
        <v xml:space="preserve">   FR</v>
      </c>
      <c r="B94" t="str">
        <f>T("   France")</f>
        <v xml:space="preserve">   France</v>
      </c>
      <c r="C94">
        <v>3129783974</v>
      </c>
      <c r="D94">
        <v>4995760</v>
      </c>
    </row>
    <row r="95" spans="1:4" x14ac:dyDescent="0.25">
      <c r="A95" t="str">
        <f>T("   GB")</f>
        <v xml:space="preserve">   GB</v>
      </c>
      <c r="B95" t="str">
        <f>T("   Royaume-Uni")</f>
        <v xml:space="preserve">   Royaume-Uni</v>
      </c>
      <c r="C95">
        <v>155626050</v>
      </c>
      <c r="D95">
        <v>250201</v>
      </c>
    </row>
    <row r="96" spans="1:4" x14ac:dyDescent="0.25">
      <c r="A96" t="str">
        <f>T("   GR")</f>
        <v xml:space="preserve">   GR</v>
      </c>
      <c r="B96" t="str">
        <f>T("   Grèce")</f>
        <v xml:space="preserve">   Grèce</v>
      </c>
      <c r="C96">
        <v>2069395</v>
      </c>
      <c r="D96">
        <v>3327</v>
      </c>
    </row>
    <row r="97" spans="1:4" x14ac:dyDescent="0.25">
      <c r="A97" t="str">
        <f>T("   IE")</f>
        <v xml:space="preserve">   IE</v>
      </c>
      <c r="B97" t="str">
        <f>T("   Irlande")</f>
        <v xml:space="preserve">   Irlande</v>
      </c>
      <c r="C97">
        <v>18660016</v>
      </c>
      <c r="D97">
        <v>30000</v>
      </c>
    </row>
    <row r="98" spans="1:4" x14ac:dyDescent="0.25">
      <c r="A98" t="str">
        <f>T("   IT")</f>
        <v xml:space="preserve">   IT</v>
      </c>
      <c r="B98" t="str">
        <f>T("   Italie")</f>
        <v xml:space="preserve">   Italie</v>
      </c>
      <c r="C98">
        <v>2962951068</v>
      </c>
      <c r="D98">
        <v>4758844</v>
      </c>
    </row>
    <row r="99" spans="1:4" x14ac:dyDescent="0.25">
      <c r="A99" t="str">
        <f>T("   MX")</f>
        <v xml:space="preserve">   MX</v>
      </c>
      <c r="B99" t="str">
        <f>T("   Mexique")</f>
        <v xml:space="preserve">   Mexique</v>
      </c>
      <c r="C99">
        <v>43732847</v>
      </c>
      <c r="D99">
        <v>70310</v>
      </c>
    </row>
    <row r="100" spans="1:4" x14ac:dyDescent="0.25">
      <c r="A100" t="str">
        <f>T("   NL")</f>
        <v xml:space="preserve">   NL</v>
      </c>
      <c r="B100" t="str">
        <f>T("   Pays-bas")</f>
        <v xml:space="preserve">   Pays-bas</v>
      </c>
      <c r="C100">
        <v>2099834982</v>
      </c>
      <c r="D100">
        <v>3448686</v>
      </c>
    </row>
    <row r="101" spans="1:4" x14ac:dyDescent="0.25">
      <c r="A101" t="str">
        <f>T("   PL")</f>
        <v xml:space="preserve">   PL</v>
      </c>
      <c r="B101" t="str">
        <f>T("   Pologne")</f>
        <v xml:space="preserve">   Pologne</v>
      </c>
      <c r="C101">
        <v>425619721</v>
      </c>
      <c r="D101">
        <v>685323</v>
      </c>
    </row>
    <row r="102" spans="1:4" x14ac:dyDescent="0.25">
      <c r="A102" t="str">
        <f>T("   TR")</f>
        <v xml:space="preserve">   TR</v>
      </c>
      <c r="B102" t="str">
        <f>T("   Turquie")</f>
        <v xml:space="preserve">   Turquie</v>
      </c>
      <c r="C102">
        <v>266216327</v>
      </c>
      <c r="D102">
        <v>424175</v>
      </c>
    </row>
    <row r="103" spans="1:4" x14ac:dyDescent="0.25">
      <c r="A103" t="str">
        <f>T("   US")</f>
        <v xml:space="preserve">   US</v>
      </c>
      <c r="B103" t="str">
        <f>T("   Etats-Unis")</f>
        <v xml:space="preserve">   Etats-Unis</v>
      </c>
      <c r="C103">
        <v>30478000</v>
      </c>
      <c r="D103">
        <v>49000</v>
      </c>
    </row>
    <row r="104" spans="1:4" x14ac:dyDescent="0.25">
      <c r="A104" t="str">
        <f>T("   UY")</f>
        <v xml:space="preserve">   UY</v>
      </c>
      <c r="B104" t="str">
        <f>T("   Uruguay")</f>
        <v xml:space="preserve">   Uruguay</v>
      </c>
      <c r="C104">
        <v>16172038</v>
      </c>
      <c r="D104">
        <v>26000</v>
      </c>
    </row>
    <row r="105" spans="1:4" x14ac:dyDescent="0.25">
      <c r="A105" t="str">
        <f>T("   VE")</f>
        <v xml:space="preserve">   VE</v>
      </c>
      <c r="B105" t="str">
        <f>T("   Venezuela")</f>
        <v xml:space="preserve">   Venezuela</v>
      </c>
      <c r="C105">
        <v>15550188</v>
      </c>
      <c r="D105">
        <v>25000</v>
      </c>
    </row>
    <row r="106" spans="1:4" x14ac:dyDescent="0.25">
      <c r="A106" t="str">
        <f>T("020713")</f>
        <v>020713</v>
      </c>
      <c r="B106" t="str">
        <f>T("Morceaux et abats comestibles de coqs et de poules [des espèces domestiques], frais ou réfrigérés")</f>
        <v>Morceaux et abats comestibles de coqs et de poules [des espèces domestiques], frais ou réfrigérés</v>
      </c>
    </row>
    <row r="107" spans="1:4" x14ac:dyDescent="0.25">
      <c r="A107" t="str">
        <f>T("   ZZZ_Monde")</f>
        <v xml:space="preserve">   ZZZ_Monde</v>
      </c>
      <c r="B107" t="str">
        <f>T("   ZZZ_Monde")</f>
        <v xml:space="preserve">   ZZZ_Monde</v>
      </c>
      <c r="C107">
        <v>95195783</v>
      </c>
      <c r="D107">
        <v>156260</v>
      </c>
    </row>
    <row r="108" spans="1:4" x14ac:dyDescent="0.25">
      <c r="A108" t="str">
        <f>T("   BR")</f>
        <v xml:space="preserve">   BR</v>
      </c>
      <c r="B108" t="str">
        <f>T("   Brésil")</f>
        <v xml:space="preserve">   Brésil</v>
      </c>
      <c r="C108">
        <v>32373595</v>
      </c>
      <c r="D108">
        <v>52000</v>
      </c>
    </row>
    <row r="109" spans="1:4" x14ac:dyDescent="0.25">
      <c r="A109" t="str">
        <f>T("   FR")</f>
        <v xml:space="preserve">   FR</v>
      </c>
      <c r="B109" t="str">
        <f>T("   France")</f>
        <v xml:space="preserve">   France</v>
      </c>
      <c r="C109">
        <v>62822188</v>
      </c>
      <c r="D109">
        <v>104260</v>
      </c>
    </row>
    <row r="110" spans="1:4" x14ac:dyDescent="0.25">
      <c r="A110" t="str">
        <f>T("020714")</f>
        <v>020714</v>
      </c>
      <c r="B110" t="str">
        <f>T("Morceaux et abats comestibles de coqs et de poules [des espèces domestiques], congelés")</f>
        <v>Morceaux et abats comestibles de coqs et de poules [des espèces domestiques], congelés</v>
      </c>
    </row>
    <row r="111" spans="1:4" x14ac:dyDescent="0.25">
      <c r="A111" t="str">
        <f>T("   ZZZ_Monde")</f>
        <v xml:space="preserve">   ZZZ_Monde</v>
      </c>
      <c r="B111" t="str">
        <f>T("   ZZZ_Monde")</f>
        <v xml:space="preserve">   ZZZ_Monde</v>
      </c>
      <c r="C111">
        <v>53612898743</v>
      </c>
      <c r="D111">
        <v>86625892</v>
      </c>
    </row>
    <row r="112" spans="1:4" x14ac:dyDescent="0.25">
      <c r="A112" t="str">
        <f>T("   AR")</f>
        <v xml:space="preserve">   AR</v>
      </c>
      <c r="B112" t="str">
        <f>T("   Argentine")</f>
        <v xml:space="preserve">   Argentine</v>
      </c>
      <c r="C112">
        <v>62200376</v>
      </c>
      <c r="D112">
        <v>102000</v>
      </c>
    </row>
    <row r="113" spans="1:4" x14ac:dyDescent="0.25">
      <c r="A113" t="str">
        <f>T("   AU")</f>
        <v xml:space="preserve">   AU</v>
      </c>
      <c r="B113" t="str">
        <f>T("   Australie")</f>
        <v xml:space="preserve">   Australie</v>
      </c>
      <c r="C113">
        <v>249389977</v>
      </c>
      <c r="D113">
        <v>398390</v>
      </c>
    </row>
    <row r="114" spans="1:4" x14ac:dyDescent="0.25">
      <c r="A114" t="str">
        <f>T("   BE")</f>
        <v xml:space="preserve">   BE</v>
      </c>
      <c r="B114" t="str">
        <f>T("   Belgique")</f>
        <v xml:space="preserve">   Belgique</v>
      </c>
      <c r="C114">
        <v>2520416528</v>
      </c>
      <c r="D114">
        <v>4070010</v>
      </c>
    </row>
    <row r="115" spans="1:4" x14ac:dyDescent="0.25">
      <c r="A115" t="str">
        <f>T("   BR")</f>
        <v xml:space="preserve">   BR</v>
      </c>
      <c r="B115" t="str">
        <f>T("   Brésil")</f>
        <v xml:space="preserve">   Brésil</v>
      </c>
      <c r="C115">
        <v>5975496289</v>
      </c>
      <c r="D115">
        <v>9642326</v>
      </c>
    </row>
    <row r="116" spans="1:4" x14ac:dyDescent="0.25">
      <c r="A116" t="str">
        <f>T("   BZ")</f>
        <v xml:space="preserve">   BZ</v>
      </c>
      <c r="B116" t="str">
        <f>T("   Belize")</f>
        <v xml:space="preserve">   Belize</v>
      </c>
      <c r="C116">
        <v>62200752</v>
      </c>
      <c r="D116">
        <v>100000</v>
      </c>
    </row>
    <row r="117" spans="1:4" x14ac:dyDescent="0.25">
      <c r="A117" t="str">
        <f>T("   CA")</f>
        <v xml:space="preserve">   CA</v>
      </c>
      <c r="B117" t="str">
        <f>T("   Canada")</f>
        <v xml:space="preserve">   Canada</v>
      </c>
      <c r="C117">
        <v>2279750165</v>
      </c>
      <c r="D117">
        <v>3682336</v>
      </c>
    </row>
    <row r="118" spans="1:4" x14ac:dyDescent="0.25">
      <c r="A118" t="str">
        <f>T("   CN")</f>
        <v xml:space="preserve">   CN</v>
      </c>
      <c r="B118" t="str">
        <f>T("   Chine")</f>
        <v xml:space="preserve">   Chine</v>
      </c>
      <c r="C118">
        <v>250044622</v>
      </c>
      <c r="D118">
        <v>403486</v>
      </c>
    </row>
    <row r="119" spans="1:4" x14ac:dyDescent="0.25">
      <c r="A119" t="str">
        <f>T("   CZ")</f>
        <v xml:space="preserve">   CZ</v>
      </c>
      <c r="B119" t="str">
        <f>T("   Tchèque, République")</f>
        <v xml:space="preserve">   Tchèque, République</v>
      </c>
      <c r="C119">
        <v>561082834</v>
      </c>
      <c r="D119">
        <v>907650</v>
      </c>
    </row>
    <row r="120" spans="1:4" x14ac:dyDescent="0.25">
      <c r="A120" t="str">
        <f>T("   DE")</f>
        <v xml:space="preserve">   DE</v>
      </c>
      <c r="B120" t="str">
        <f>T("   Allemagne")</f>
        <v xml:space="preserve">   Allemagne</v>
      </c>
      <c r="C120">
        <v>376985039</v>
      </c>
      <c r="D120">
        <v>608505</v>
      </c>
    </row>
    <row r="121" spans="1:4" x14ac:dyDescent="0.25">
      <c r="A121" t="str">
        <f>T("   DK")</f>
        <v xml:space="preserve">   DK</v>
      </c>
      <c r="B121" t="str">
        <f>T("   Danemark")</f>
        <v xml:space="preserve">   Danemark</v>
      </c>
      <c r="C121">
        <v>1454782083</v>
      </c>
      <c r="D121">
        <v>2358037</v>
      </c>
    </row>
    <row r="122" spans="1:4" x14ac:dyDescent="0.25">
      <c r="A122" t="str">
        <f>T("   DZ")</f>
        <v xml:space="preserve">   DZ</v>
      </c>
      <c r="B122" t="str">
        <f>T("   Algérie")</f>
        <v xml:space="preserve">   Algérie</v>
      </c>
      <c r="C122">
        <v>46650000</v>
      </c>
      <c r="D122">
        <v>75000</v>
      </c>
    </row>
    <row r="123" spans="1:4" x14ac:dyDescent="0.25">
      <c r="A123" t="str">
        <f>T("   ES")</f>
        <v xml:space="preserve">   ES</v>
      </c>
      <c r="B123" t="str">
        <f>T("   Espagne")</f>
        <v xml:space="preserve">   Espagne</v>
      </c>
      <c r="C123">
        <v>2398191218</v>
      </c>
      <c r="D123">
        <v>3857625</v>
      </c>
    </row>
    <row r="124" spans="1:4" x14ac:dyDescent="0.25">
      <c r="A124" t="str">
        <f>T("   FR")</f>
        <v xml:space="preserve">   FR</v>
      </c>
      <c r="B124" t="str">
        <f>T("   France")</f>
        <v xml:space="preserve">   France</v>
      </c>
      <c r="C124">
        <v>10765892216</v>
      </c>
      <c r="D124">
        <v>17274890</v>
      </c>
    </row>
    <row r="125" spans="1:4" x14ac:dyDescent="0.25">
      <c r="A125" t="str">
        <f>T("   GB")</f>
        <v xml:space="preserve">   GB</v>
      </c>
      <c r="B125" t="str">
        <f>T("   Royaume-Uni")</f>
        <v xml:space="preserve">   Royaume-Uni</v>
      </c>
      <c r="C125">
        <v>5844741793</v>
      </c>
      <c r="D125">
        <v>9398628</v>
      </c>
    </row>
    <row r="126" spans="1:4" x14ac:dyDescent="0.25">
      <c r="A126" t="str">
        <f>T("   GR")</f>
        <v xml:space="preserve">   GR</v>
      </c>
      <c r="B126" t="str">
        <f>T("   Grèce")</f>
        <v xml:space="preserve">   Grèce</v>
      </c>
      <c r="C126">
        <v>13480616</v>
      </c>
      <c r="D126">
        <v>21673</v>
      </c>
    </row>
    <row r="127" spans="1:4" x14ac:dyDescent="0.25">
      <c r="A127" t="str">
        <f>T("   IE")</f>
        <v xml:space="preserve">   IE</v>
      </c>
      <c r="B127" t="str">
        <f>T("   Irlande")</f>
        <v xml:space="preserve">   Irlande</v>
      </c>
      <c r="C127">
        <v>214590105</v>
      </c>
      <c r="D127">
        <v>345000</v>
      </c>
    </row>
    <row r="128" spans="1:4" x14ac:dyDescent="0.25">
      <c r="A128" t="str">
        <f>T("   IS")</f>
        <v xml:space="preserve">   IS</v>
      </c>
      <c r="B128" t="str">
        <f>T("   Islande")</f>
        <v xml:space="preserve">   Islande</v>
      </c>
      <c r="C128">
        <v>29396192</v>
      </c>
      <c r="D128">
        <v>47260</v>
      </c>
    </row>
    <row r="129" spans="1:4" x14ac:dyDescent="0.25">
      <c r="A129" t="str">
        <f>T("   IT")</f>
        <v xml:space="preserve">   IT</v>
      </c>
      <c r="B129" t="str">
        <f>T("   Italie")</f>
        <v xml:space="preserve">   Italie</v>
      </c>
      <c r="C129">
        <v>900935529</v>
      </c>
      <c r="D129">
        <v>1441888</v>
      </c>
    </row>
    <row r="130" spans="1:4" x14ac:dyDescent="0.25">
      <c r="A130" t="str">
        <f>T("   MX")</f>
        <v xml:space="preserve">   MX</v>
      </c>
      <c r="B130" t="str">
        <f>T("   Mexique")</f>
        <v xml:space="preserve">   Mexique</v>
      </c>
      <c r="C130">
        <v>88324040</v>
      </c>
      <c r="D130">
        <v>142000</v>
      </c>
    </row>
    <row r="131" spans="1:4" x14ac:dyDescent="0.25">
      <c r="A131" t="str">
        <f>T("   NL")</f>
        <v xml:space="preserve">   NL</v>
      </c>
      <c r="B131" t="str">
        <f>T("   Pays-bas")</f>
        <v xml:space="preserve">   Pays-bas</v>
      </c>
      <c r="C131">
        <v>11799721375</v>
      </c>
      <c r="D131">
        <v>19339752</v>
      </c>
    </row>
    <row r="132" spans="1:4" x14ac:dyDescent="0.25">
      <c r="A132" t="str">
        <f>T("   PL")</f>
        <v xml:space="preserve">   PL</v>
      </c>
      <c r="B132" t="str">
        <f>T("   Pologne")</f>
        <v xml:space="preserve">   Pologne</v>
      </c>
      <c r="C132">
        <v>6996654299</v>
      </c>
      <c r="D132">
        <v>11248661</v>
      </c>
    </row>
    <row r="133" spans="1:4" x14ac:dyDescent="0.25">
      <c r="A133" t="str">
        <f>T("   TR")</f>
        <v xml:space="preserve">   TR</v>
      </c>
      <c r="B133" t="str">
        <f>T("   Turquie")</f>
        <v xml:space="preserve">   Turquie</v>
      </c>
      <c r="C133">
        <v>15550188</v>
      </c>
      <c r="D133">
        <v>26000</v>
      </c>
    </row>
    <row r="134" spans="1:4" x14ac:dyDescent="0.25">
      <c r="A134" t="str">
        <f>T("   US")</f>
        <v xml:space="preserve">   US</v>
      </c>
      <c r="B134" t="str">
        <f>T("   Etats-Unis")</f>
        <v xml:space="preserve">   Etats-Unis</v>
      </c>
      <c r="C134">
        <v>690623707</v>
      </c>
      <c r="D134">
        <v>1109375</v>
      </c>
    </row>
    <row r="135" spans="1:4" x14ac:dyDescent="0.25">
      <c r="A135" t="str">
        <f>T("   UY")</f>
        <v xml:space="preserve">   UY</v>
      </c>
      <c r="B135" t="str">
        <f>T("   Uruguay")</f>
        <v xml:space="preserve">   Uruguay</v>
      </c>
      <c r="C135">
        <v>15798800</v>
      </c>
      <c r="D135">
        <v>25400</v>
      </c>
    </row>
    <row r="136" spans="1:4" x14ac:dyDescent="0.25">
      <c r="A136" t="str">
        <f>T("020725")</f>
        <v>020725</v>
      </c>
      <c r="B136" t="str">
        <f>T("DINDES ET DINDONS [DES ESPÈCES DOMESTIQUES], NON-DÉCOUPÉS EN MORCEAUX, CONGELÉS")</f>
        <v>DINDES ET DINDONS [DES ESPÈCES DOMESTIQUES], NON-DÉCOUPÉS EN MORCEAUX, CONGELÉS</v>
      </c>
    </row>
    <row r="137" spans="1:4" x14ac:dyDescent="0.25">
      <c r="A137" t="str">
        <f>T("   ZZZ_Monde")</f>
        <v xml:space="preserve">   ZZZ_Monde</v>
      </c>
      <c r="B137" t="str">
        <f>T("   ZZZ_Monde")</f>
        <v xml:space="preserve">   ZZZ_Monde</v>
      </c>
      <c r="C137">
        <v>15486836</v>
      </c>
      <c r="D137">
        <v>24881</v>
      </c>
    </row>
    <row r="138" spans="1:4" x14ac:dyDescent="0.25">
      <c r="A138" t="str">
        <f>T("   BR")</f>
        <v xml:space="preserve">   BR</v>
      </c>
      <c r="B138" t="str">
        <f>T("   Brésil")</f>
        <v xml:space="preserve">   Brésil</v>
      </c>
      <c r="C138">
        <v>3732412</v>
      </c>
      <c r="D138">
        <v>6000</v>
      </c>
    </row>
    <row r="139" spans="1:4" x14ac:dyDescent="0.25">
      <c r="A139" t="str">
        <f>T("   FR")</f>
        <v xml:space="preserve">   FR</v>
      </c>
      <c r="B139" t="str">
        <f>T("   France")</f>
        <v xml:space="preserve">   France</v>
      </c>
      <c r="C139">
        <v>11754424</v>
      </c>
      <c r="D139">
        <v>18881</v>
      </c>
    </row>
    <row r="140" spans="1:4" x14ac:dyDescent="0.25">
      <c r="A140" t="str">
        <f>T("020726")</f>
        <v>020726</v>
      </c>
      <c r="B140" t="str">
        <f>T("Morceaux et abats comestibles de dindes et dindons [des espèces domestiques], frais ou réfrigérés")</f>
        <v>Morceaux et abats comestibles de dindes et dindons [des espèces domestiques], frais ou réfrigérés</v>
      </c>
    </row>
    <row r="141" spans="1:4" x14ac:dyDescent="0.25">
      <c r="A141" t="str">
        <f>T("   ZZZ_Monde")</f>
        <v xml:space="preserve">   ZZZ_Monde</v>
      </c>
      <c r="B141" t="str">
        <f>T("   ZZZ_Monde")</f>
        <v xml:space="preserve">   ZZZ_Monde</v>
      </c>
      <c r="C141">
        <v>94174970</v>
      </c>
      <c r="D141">
        <v>159975</v>
      </c>
    </row>
    <row r="142" spans="1:4" x14ac:dyDescent="0.25">
      <c r="A142" t="str">
        <f>T("   BE")</f>
        <v xml:space="preserve">   BE</v>
      </c>
      <c r="B142" t="str">
        <f>T("   Belgique")</f>
        <v xml:space="preserve">   Belgique</v>
      </c>
      <c r="C142">
        <v>16395920</v>
      </c>
      <c r="D142">
        <v>26900</v>
      </c>
    </row>
    <row r="143" spans="1:4" x14ac:dyDescent="0.25">
      <c r="A143" t="str">
        <f>T("   DE")</f>
        <v xml:space="preserve">   DE</v>
      </c>
      <c r="B143" t="str">
        <f>T("   Allemagne")</f>
        <v xml:space="preserve">   Allemagne</v>
      </c>
      <c r="C143">
        <v>31100000</v>
      </c>
      <c r="D143">
        <v>57055</v>
      </c>
    </row>
    <row r="144" spans="1:4" x14ac:dyDescent="0.25">
      <c r="A144" t="str">
        <f>T("   ES")</f>
        <v xml:space="preserve">   ES</v>
      </c>
      <c r="B144" t="str">
        <f>T("   Espagne")</f>
        <v xml:space="preserve">   Espagne</v>
      </c>
      <c r="C144">
        <v>15550000</v>
      </c>
      <c r="D144">
        <v>26020</v>
      </c>
    </row>
    <row r="145" spans="1:4" x14ac:dyDescent="0.25">
      <c r="A145" t="str">
        <f>T("   FR")</f>
        <v xml:space="preserve">   FR</v>
      </c>
      <c r="B145" t="str">
        <f>T("   France")</f>
        <v xml:space="preserve">   France</v>
      </c>
      <c r="C145">
        <v>15579050</v>
      </c>
      <c r="D145">
        <v>25000</v>
      </c>
    </row>
    <row r="146" spans="1:4" x14ac:dyDescent="0.25">
      <c r="A146" t="str">
        <f>T("   NL")</f>
        <v xml:space="preserve">   NL</v>
      </c>
      <c r="B146" t="str">
        <f>T("   Pays-bas")</f>
        <v xml:space="preserve">   Pays-bas</v>
      </c>
      <c r="C146">
        <v>15550000</v>
      </c>
      <c r="D146">
        <v>25000</v>
      </c>
    </row>
    <row r="147" spans="1:4" x14ac:dyDescent="0.25">
      <c r="A147" t="str">
        <f>T("020727")</f>
        <v>020727</v>
      </c>
      <c r="B147" t="str">
        <f>T("Morceaux et abats comestibles de dindes et dindons [des espèces domestiques], congelés")</f>
        <v>Morceaux et abats comestibles de dindes et dindons [des espèces domestiques], congelés</v>
      </c>
    </row>
    <row r="148" spans="1:4" x14ac:dyDescent="0.25">
      <c r="A148" t="str">
        <f>T("   ZZZ_Monde")</f>
        <v xml:space="preserve">   ZZZ_Monde</v>
      </c>
      <c r="B148" t="str">
        <f>T("   ZZZ_Monde")</f>
        <v xml:space="preserve">   ZZZ_Monde</v>
      </c>
      <c r="C148">
        <v>39017862222</v>
      </c>
      <c r="D148">
        <v>62681514.170000002</v>
      </c>
    </row>
    <row r="149" spans="1:4" x14ac:dyDescent="0.25">
      <c r="A149" t="str">
        <f>T("   AN")</f>
        <v xml:space="preserve">   AN</v>
      </c>
      <c r="B149" t="str">
        <f>T("   Antilles Néerlandaises")</f>
        <v xml:space="preserve">   Antilles Néerlandaises</v>
      </c>
      <c r="C149">
        <v>2991834</v>
      </c>
      <c r="D149">
        <v>4800</v>
      </c>
    </row>
    <row r="150" spans="1:4" x14ac:dyDescent="0.25">
      <c r="A150" t="str">
        <f>T("   AU")</f>
        <v xml:space="preserve">   AU</v>
      </c>
      <c r="B150" t="str">
        <f>T("   Australie")</f>
        <v xml:space="preserve">   Australie</v>
      </c>
      <c r="C150">
        <v>15550188</v>
      </c>
      <c r="D150">
        <v>25000</v>
      </c>
    </row>
    <row r="151" spans="1:4" x14ac:dyDescent="0.25">
      <c r="A151" t="str">
        <f>T("   BE")</f>
        <v xml:space="preserve">   BE</v>
      </c>
      <c r="B151" t="str">
        <f>T("   Belgique")</f>
        <v xml:space="preserve">   Belgique</v>
      </c>
      <c r="C151">
        <v>2352070239</v>
      </c>
      <c r="D151">
        <v>3781512</v>
      </c>
    </row>
    <row r="152" spans="1:4" x14ac:dyDescent="0.25">
      <c r="A152" t="str">
        <f>T("   BG")</f>
        <v xml:space="preserve">   BG</v>
      </c>
      <c r="B152" t="str">
        <f>T("   Bulgarie")</f>
        <v xml:space="preserve">   Bulgarie</v>
      </c>
      <c r="C152">
        <v>15550188</v>
      </c>
      <c r="D152">
        <v>25000</v>
      </c>
    </row>
    <row r="153" spans="1:4" x14ac:dyDescent="0.25">
      <c r="A153" t="str">
        <f>T("   BR")</f>
        <v xml:space="preserve">   BR</v>
      </c>
      <c r="B153" t="str">
        <f>T("   Brésil")</f>
        <v xml:space="preserve">   Brésil</v>
      </c>
      <c r="C153">
        <v>9095461607</v>
      </c>
      <c r="D153">
        <v>14623088</v>
      </c>
    </row>
    <row r="154" spans="1:4" x14ac:dyDescent="0.25">
      <c r="A154" t="str">
        <f>T("   CA")</f>
        <v xml:space="preserve">   CA</v>
      </c>
      <c r="B154" t="str">
        <f>T("   Canada")</f>
        <v xml:space="preserve">   Canada</v>
      </c>
      <c r="C154">
        <v>483653282</v>
      </c>
      <c r="D154">
        <v>775869</v>
      </c>
    </row>
    <row r="155" spans="1:4" x14ac:dyDescent="0.25">
      <c r="A155" t="str">
        <f>T("   CH")</f>
        <v xml:space="preserve">   CH</v>
      </c>
      <c r="B155" t="str">
        <f>T("   Suisse")</f>
        <v xml:space="preserve">   Suisse</v>
      </c>
      <c r="C155">
        <v>15550000</v>
      </c>
      <c r="D155">
        <v>25000</v>
      </c>
    </row>
    <row r="156" spans="1:4" x14ac:dyDescent="0.25">
      <c r="A156" t="str">
        <f>T("   CL")</f>
        <v xml:space="preserve">   CL</v>
      </c>
      <c r="B156" t="str">
        <f>T("   Chili")</f>
        <v xml:space="preserve">   Chili</v>
      </c>
      <c r="C156">
        <v>46028000</v>
      </c>
      <c r="D156">
        <v>74000</v>
      </c>
    </row>
    <row r="157" spans="1:4" x14ac:dyDescent="0.25">
      <c r="A157" t="str">
        <f>T("   CY")</f>
        <v xml:space="preserve">   CY</v>
      </c>
      <c r="B157" t="str">
        <f>T("   Chypre")</f>
        <v xml:space="preserve">   Chypre</v>
      </c>
      <c r="C157">
        <v>30801913</v>
      </c>
      <c r="D157">
        <v>49500</v>
      </c>
    </row>
    <row r="158" spans="1:4" x14ac:dyDescent="0.25">
      <c r="A158" t="str">
        <f>T("   CZ")</f>
        <v xml:space="preserve">   CZ</v>
      </c>
      <c r="B158" t="str">
        <f>T("   Tchèque, République")</f>
        <v xml:space="preserve">   Tchèque, République</v>
      </c>
      <c r="C158">
        <v>698970598</v>
      </c>
      <c r="D158">
        <v>1123230</v>
      </c>
    </row>
    <row r="159" spans="1:4" x14ac:dyDescent="0.25">
      <c r="A159" t="str">
        <f>T("   DE")</f>
        <v xml:space="preserve">   DE</v>
      </c>
      <c r="B159" t="str">
        <f>T("   Allemagne")</f>
        <v xml:space="preserve">   Allemagne</v>
      </c>
      <c r="C159">
        <v>1158404028</v>
      </c>
      <c r="D159">
        <v>1860864</v>
      </c>
    </row>
    <row r="160" spans="1:4" x14ac:dyDescent="0.25">
      <c r="A160" t="str">
        <f>T("   DK")</f>
        <v xml:space="preserve">   DK</v>
      </c>
      <c r="B160" t="str">
        <f>T("   Danemark")</f>
        <v xml:space="preserve">   Danemark</v>
      </c>
      <c r="C160">
        <v>992746502</v>
      </c>
      <c r="D160">
        <v>1590157</v>
      </c>
    </row>
    <row r="161" spans="1:4" x14ac:dyDescent="0.25">
      <c r="A161" t="str">
        <f>T("   DZ")</f>
        <v xml:space="preserve">   DZ</v>
      </c>
      <c r="B161" t="str">
        <f>T("   Algérie")</f>
        <v xml:space="preserve">   Algérie</v>
      </c>
      <c r="C161">
        <v>46650000</v>
      </c>
      <c r="D161">
        <v>75000</v>
      </c>
    </row>
    <row r="162" spans="1:4" x14ac:dyDescent="0.25">
      <c r="A162" t="str">
        <f>T("   ES")</f>
        <v xml:space="preserve">   ES</v>
      </c>
      <c r="B162" t="str">
        <f>T("   Espagne")</f>
        <v xml:space="preserve">   Espagne</v>
      </c>
      <c r="C162">
        <v>3349891903</v>
      </c>
      <c r="D162">
        <v>5368466</v>
      </c>
    </row>
    <row r="163" spans="1:4" x14ac:dyDescent="0.25">
      <c r="A163" t="str">
        <f>T("   FR")</f>
        <v xml:space="preserve">   FR</v>
      </c>
      <c r="B163" t="str">
        <f>T("   France")</f>
        <v xml:space="preserve">   France</v>
      </c>
      <c r="C163">
        <v>12389892035</v>
      </c>
      <c r="D163">
        <v>19893811.170000002</v>
      </c>
    </row>
    <row r="164" spans="1:4" x14ac:dyDescent="0.25">
      <c r="A164" t="str">
        <f>T("   GB")</f>
        <v xml:space="preserve">   GB</v>
      </c>
      <c r="B164" t="str">
        <f>T("   Royaume-Uni")</f>
        <v xml:space="preserve">   Royaume-Uni</v>
      </c>
      <c r="C164">
        <v>583750985</v>
      </c>
      <c r="D164">
        <v>943360</v>
      </c>
    </row>
    <row r="165" spans="1:4" x14ac:dyDescent="0.25">
      <c r="A165" t="str">
        <f>T("   HU")</f>
        <v xml:space="preserve">   HU</v>
      </c>
      <c r="B165" t="str">
        <f>T("   Hongrie")</f>
        <v xml:space="preserve">   Hongrie</v>
      </c>
      <c r="C165">
        <v>31100022</v>
      </c>
      <c r="D165">
        <v>47150</v>
      </c>
    </row>
    <row r="166" spans="1:4" x14ac:dyDescent="0.25">
      <c r="A166" t="str">
        <f>T("   IE")</f>
        <v xml:space="preserve">   IE</v>
      </c>
      <c r="B166" t="str">
        <f>T("   Irlande")</f>
        <v xml:space="preserve">   Irlande</v>
      </c>
      <c r="C166">
        <v>170309926</v>
      </c>
      <c r="D166">
        <v>273810</v>
      </c>
    </row>
    <row r="167" spans="1:4" x14ac:dyDescent="0.25">
      <c r="A167" t="str">
        <f>T("   IL")</f>
        <v xml:space="preserve">   IL</v>
      </c>
      <c r="B167" t="str">
        <f>T("   Israël")</f>
        <v xml:space="preserve">   Israël</v>
      </c>
      <c r="C167">
        <v>14433711</v>
      </c>
      <c r="D167">
        <v>23205</v>
      </c>
    </row>
    <row r="168" spans="1:4" x14ac:dyDescent="0.25">
      <c r="A168" t="str">
        <f>T("   IT")</f>
        <v xml:space="preserve">   IT</v>
      </c>
      <c r="B168" t="str">
        <f>T("   Italie")</f>
        <v xml:space="preserve">   Italie</v>
      </c>
      <c r="C168">
        <v>1248308614</v>
      </c>
      <c r="D168">
        <v>2005660</v>
      </c>
    </row>
    <row r="169" spans="1:4" x14ac:dyDescent="0.25">
      <c r="A169" t="str">
        <f>T("   MA")</f>
        <v xml:space="preserve">   MA</v>
      </c>
      <c r="B169" t="str">
        <f>T("   Maroc")</f>
        <v xml:space="preserve">   Maroc</v>
      </c>
      <c r="C169">
        <v>31100000</v>
      </c>
      <c r="D169">
        <v>50000</v>
      </c>
    </row>
    <row r="170" spans="1:4" x14ac:dyDescent="0.25">
      <c r="A170" t="str">
        <f>T("   NL")</f>
        <v xml:space="preserve">   NL</v>
      </c>
      <c r="B170" t="str">
        <f>T("   Pays-bas")</f>
        <v xml:space="preserve">   Pays-bas</v>
      </c>
      <c r="C170">
        <v>4082564119</v>
      </c>
      <c r="D170">
        <v>6588082</v>
      </c>
    </row>
    <row r="171" spans="1:4" x14ac:dyDescent="0.25">
      <c r="A171" t="str">
        <f>T("   PL")</f>
        <v xml:space="preserve">   PL</v>
      </c>
      <c r="B171" t="str">
        <f>T("   Pologne")</f>
        <v xml:space="preserve">   Pologne</v>
      </c>
      <c r="C171">
        <v>1102825800</v>
      </c>
      <c r="D171">
        <v>1763398</v>
      </c>
    </row>
    <row r="172" spans="1:4" x14ac:dyDescent="0.25">
      <c r="A172" t="str">
        <f>T("   PT")</f>
        <v xml:space="preserve">   PT</v>
      </c>
      <c r="B172" t="str">
        <f>T("   Portugal")</f>
        <v xml:space="preserve">   Portugal</v>
      </c>
      <c r="C172">
        <v>62201511</v>
      </c>
      <c r="D172">
        <v>100000</v>
      </c>
    </row>
    <row r="173" spans="1:4" x14ac:dyDescent="0.25">
      <c r="A173" t="str">
        <f>T("   TN")</f>
        <v xml:space="preserve">   TN</v>
      </c>
      <c r="B173" t="str">
        <f>T("   Tunisie")</f>
        <v xml:space="preserve">   Tunisie</v>
      </c>
      <c r="C173">
        <v>77750000</v>
      </c>
      <c r="D173">
        <v>125000</v>
      </c>
    </row>
    <row r="174" spans="1:4" x14ac:dyDescent="0.25">
      <c r="A174" t="str">
        <f>T("   TR")</f>
        <v xml:space="preserve">   TR</v>
      </c>
      <c r="B174" t="str">
        <f>T("   Turquie")</f>
        <v xml:space="preserve">   Turquie</v>
      </c>
      <c r="C174">
        <v>107606429</v>
      </c>
      <c r="D174">
        <v>164300</v>
      </c>
    </row>
    <row r="175" spans="1:4" x14ac:dyDescent="0.25">
      <c r="A175" t="str">
        <f>T("   US")</f>
        <v xml:space="preserve">   US</v>
      </c>
      <c r="B175" t="str">
        <f>T("   Etats-Unis")</f>
        <v xml:space="preserve">   Etats-Unis</v>
      </c>
      <c r="C175">
        <v>761923712</v>
      </c>
      <c r="D175">
        <v>1226952</v>
      </c>
    </row>
    <row r="176" spans="1:4" x14ac:dyDescent="0.25">
      <c r="A176" t="str">
        <f>T("   UY")</f>
        <v xml:space="preserve">   UY</v>
      </c>
      <c r="B176" t="str">
        <f>T("   Uruguay")</f>
        <v xml:space="preserve">   Uruguay</v>
      </c>
      <c r="C176">
        <v>30478526</v>
      </c>
      <c r="D176">
        <v>49000</v>
      </c>
    </row>
    <row r="177" spans="1:4" x14ac:dyDescent="0.25">
      <c r="A177" t="str">
        <f>T("   Z2")</f>
        <v xml:space="preserve">   Z2</v>
      </c>
      <c r="B177" t="str">
        <f>T("   Pays non défini")</f>
        <v xml:space="preserve">   Pays non défini</v>
      </c>
      <c r="C177">
        <v>19296550</v>
      </c>
      <c r="D177">
        <v>26300</v>
      </c>
    </row>
    <row r="178" spans="1:4" x14ac:dyDescent="0.25">
      <c r="A178" t="str">
        <f>T("020733")</f>
        <v>020733</v>
      </c>
      <c r="B178" t="str">
        <f>T("CANARDS, OIES OU PINTADES [DES ESPÈCES DOMESTIQUES], NON-DÉCOUPÉS EN MORCEAUX, CONGELÉS")</f>
        <v>CANARDS, OIES OU PINTADES [DES ESPÈCES DOMESTIQUES], NON-DÉCOUPÉS EN MORCEAUX, CONGELÉS</v>
      </c>
    </row>
    <row r="179" spans="1:4" x14ac:dyDescent="0.25">
      <c r="A179" t="str">
        <f>T("   ZZZ_Monde")</f>
        <v xml:space="preserve">   ZZZ_Monde</v>
      </c>
      <c r="B179" t="str">
        <f>T("   ZZZ_Monde")</f>
        <v xml:space="preserve">   ZZZ_Monde</v>
      </c>
      <c r="C179">
        <v>2115092</v>
      </c>
      <c r="D179">
        <v>3400</v>
      </c>
    </row>
    <row r="180" spans="1:4" x14ac:dyDescent="0.25">
      <c r="A180" t="str">
        <f>T("   FR")</f>
        <v xml:space="preserve">   FR</v>
      </c>
      <c r="B180" t="str">
        <f>T("   France")</f>
        <v xml:space="preserve">   France</v>
      </c>
      <c r="C180">
        <v>2115092</v>
      </c>
      <c r="D180">
        <v>3400</v>
      </c>
    </row>
    <row r="181" spans="1:4" x14ac:dyDescent="0.25">
      <c r="A181" t="str">
        <f>T("020736")</f>
        <v>020736</v>
      </c>
      <c r="B181" t="str">
        <f>T("Morceaux et abats comestibles de canards, d'oies ou de pintades [des espèces domestiques], congelés (à l'excl, des foies gras)")</f>
        <v>Morceaux et abats comestibles de canards, d'oies ou de pintades [des espèces domestiques], congelés (à l'excl, des foies gras)</v>
      </c>
    </row>
    <row r="182" spans="1:4" x14ac:dyDescent="0.25">
      <c r="A182" t="str">
        <f>T("   ZZZ_Monde")</f>
        <v xml:space="preserve">   ZZZ_Monde</v>
      </c>
      <c r="B182" t="str">
        <f>T("   ZZZ_Monde")</f>
        <v xml:space="preserve">   ZZZ_Monde</v>
      </c>
      <c r="C182">
        <v>118027376</v>
      </c>
      <c r="D182">
        <v>190745</v>
      </c>
    </row>
    <row r="183" spans="1:4" x14ac:dyDescent="0.25">
      <c r="A183" t="str">
        <f>T("   AE")</f>
        <v xml:space="preserve">   AE</v>
      </c>
      <c r="B183" t="str">
        <f>T("   Emirats Arabes Unis")</f>
        <v xml:space="preserve">   Emirats Arabes Unis</v>
      </c>
      <c r="C183">
        <v>4000655</v>
      </c>
      <c r="D183">
        <v>7746</v>
      </c>
    </row>
    <row r="184" spans="1:4" x14ac:dyDescent="0.25">
      <c r="A184" t="str">
        <f>T("   FR")</f>
        <v xml:space="preserve">   FR</v>
      </c>
      <c r="B184" t="str">
        <f>T("   France")</f>
        <v xml:space="preserve">   France</v>
      </c>
      <c r="C184">
        <v>98476533</v>
      </c>
      <c r="D184">
        <v>157999</v>
      </c>
    </row>
    <row r="185" spans="1:4" x14ac:dyDescent="0.25">
      <c r="A185" t="str">
        <f>T("   NL")</f>
        <v xml:space="preserve">   NL</v>
      </c>
      <c r="B185" t="str">
        <f>T("   Pays-bas")</f>
        <v xml:space="preserve">   Pays-bas</v>
      </c>
      <c r="C185">
        <v>15550188</v>
      </c>
      <c r="D185">
        <v>25000</v>
      </c>
    </row>
    <row r="186" spans="1:4" x14ac:dyDescent="0.25">
      <c r="A186" t="str">
        <f>T("020810")</f>
        <v>020810</v>
      </c>
      <c r="B186" t="str">
        <f>T("Viandes et abats comestibles de lapins ou de lièvres, frais, réfrigérés ou congelés")</f>
        <v>Viandes et abats comestibles de lapins ou de lièvres, frais, réfrigérés ou congelés</v>
      </c>
    </row>
    <row r="187" spans="1:4" x14ac:dyDescent="0.25">
      <c r="A187" t="str">
        <f>T("   ZZZ_Monde")</f>
        <v xml:space="preserve">   ZZZ_Monde</v>
      </c>
      <c r="B187" t="str">
        <f>T("   ZZZ_Monde")</f>
        <v xml:space="preserve">   ZZZ_Monde</v>
      </c>
      <c r="C187">
        <v>65157411</v>
      </c>
      <c r="D187">
        <v>73888.34</v>
      </c>
    </row>
    <row r="188" spans="1:4" x14ac:dyDescent="0.25">
      <c r="A188" t="str">
        <f>T("   FR")</f>
        <v xml:space="preserve">   FR</v>
      </c>
      <c r="B188" t="str">
        <f>T("   France")</f>
        <v xml:space="preserve">   France</v>
      </c>
      <c r="C188">
        <v>60650187</v>
      </c>
      <c r="D188">
        <v>66642</v>
      </c>
    </row>
    <row r="189" spans="1:4" x14ac:dyDescent="0.25">
      <c r="A189" t="str">
        <f>T("   IT")</f>
        <v xml:space="preserve">   IT</v>
      </c>
      <c r="B189" t="str">
        <f>T("   Italie")</f>
        <v xml:space="preserve">   Italie</v>
      </c>
      <c r="C189">
        <v>4507224</v>
      </c>
      <c r="D189">
        <v>7246.34</v>
      </c>
    </row>
    <row r="190" spans="1:4" x14ac:dyDescent="0.25">
      <c r="A190" t="str">
        <f>T("020890")</f>
        <v>020890</v>
      </c>
      <c r="B190" t="str">
        <f>T("Viandes et abats comestibles de pigeons, de phoques, de gibier, de rennes et d'autres espèces animales, frais, réfrigérés ou congelés (à l'excl, des viandes et abats d'animaux des espèces bovine, porcine, ovine, caprine, chevaline, asine ou mulassière, de")</f>
        <v>Viandes et abats comestibles de pigeons, de phoques, de gibier, de rennes et d'autres espèces animales, frais, réfrigérés ou congelés (à l'excl, des viandes et abats d'animaux des espèces bovine, porcine, ovine, caprine, chevaline, asine ou mulassière, de</v>
      </c>
    </row>
    <row r="191" spans="1:4" x14ac:dyDescent="0.25">
      <c r="A191" t="str">
        <f>T("   ZZZ_Monde")</f>
        <v xml:space="preserve">   ZZZ_Monde</v>
      </c>
      <c r="B191" t="str">
        <f>T("   ZZZ_Monde")</f>
        <v xml:space="preserve">   ZZZ_Monde</v>
      </c>
      <c r="C191">
        <v>15550188</v>
      </c>
      <c r="D191">
        <v>28000</v>
      </c>
    </row>
    <row r="192" spans="1:4" x14ac:dyDescent="0.25">
      <c r="A192" t="str">
        <f>T("   IN")</f>
        <v xml:space="preserve">   IN</v>
      </c>
      <c r="B192" t="str">
        <f>T("   Inde")</f>
        <v xml:space="preserve">   Inde</v>
      </c>
      <c r="C192">
        <v>15550188</v>
      </c>
      <c r="D192">
        <v>28000</v>
      </c>
    </row>
    <row r="193" spans="1:4" x14ac:dyDescent="0.25">
      <c r="A193" t="str">
        <f>T("021011")</f>
        <v>021011</v>
      </c>
      <c r="B193" t="str">
        <f>T("JAMBONS, ÉPAULES ET LEURS MORCEAUX, NON-DÉSOSSÉS, DE PORCINS, SALÉS OU EN SAUMURE, SÉCHÉS OU FUMÉS")</f>
        <v>JAMBONS, ÉPAULES ET LEURS MORCEAUX, NON-DÉSOSSÉS, DE PORCINS, SALÉS OU EN SAUMURE, SÉCHÉS OU FUMÉS</v>
      </c>
    </row>
    <row r="194" spans="1:4" x14ac:dyDescent="0.25">
      <c r="A194" t="str">
        <f>T("   ZZZ_Monde")</f>
        <v xml:space="preserve">   ZZZ_Monde</v>
      </c>
      <c r="B194" t="str">
        <f>T("   ZZZ_Monde")</f>
        <v xml:space="preserve">   ZZZ_Monde</v>
      </c>
      <c r="C194">
        <v>8292647</v>
      </c>
      <c r="D194">
        <v>9757</v>
      </c>
    </row>
    <row r="195" spans="1:4" x14ac:dyDescent="0.25">
      <c r="A195" t="str">
        <f>T("   ES")</f>
        <v xml:space="preserve">   ES</v>
      </c>
      <c r="B195" t="str">
        <f>T("   Espagne")</f>
        <v xml:space="preserve">   Espagne</v>
      </c>
      <c r="C195">
        <v>8114226</v>
      </c>
      <c r="D195">
        <v>9542</v>
      </c>
    </row>
    <row r="196" spans="1:4" x14ac:dyDescent="0.25">
      <c r="A196" t="str">
        <f>T("   FR")</f>
        <v xml:space="preserve">   FR</v>
      </c>
      <c r="B196" t="str">
        <f>T("   France")</f>
        <v xml:space="preserve">   France</v>
      </c>
      <c r="C196">
        <v>178421</v>
      </c>
      <c r="D196">
        <v>215</v>
      </c>
    </row>
    <row r="197" spans="1:4" x14ac:dyDescent="0.25">
      <c r="A197" t="str">
        <f>T("021012")</f>
        <v>021012</v>
      </c>
      <c r="B197" t="str">
        <f>T("Poitrines [entrelardés] et morceaux de poitrines, de porcins, salés ou en saumure, séchés ou fumés")</f>
        <v>Poitrines [entrelardés] et morceaux de poitrines, de porcins, salés ou en saumure, séchés ou fumés</v>
      </c>
    </row>
    <row r="198" spans="1:4" x14ac:dyDescent="0.25">
      <c r="A198" t="str">
        <f>T("   ZZZ_Monde")</f>
        <v xml:space="preserve">   ZZZ_Monde</v>
      </c>
      <c r="B198" t="str">
        <f>T("   ZZZ_Monde")</f>
        <v xml:space="preserve">   ZZZ_Monde</v>
      </c>
      <c r="C198">
        <v>17512163</v>
      </c>
      <c r="D198">
        <v>12489</v>
      </c>
    </row>
    <row r="199" spans="1:4" x14ac:dyDescent="0.25">
      <c r="A199" t="str">
        <f>T("   ES")</f>
        <v xml:space="preserve">   ES</v>
      </c>
      <c r="B199" t="str">
        <f>T("   Espagne")</f>
        <v xml:space="preserve">   Espagne</v>
      </c>
      <c r="C199">
        <v>17512163</v>
      </c>
      <c r="D199">
        <v>12489</v>
      </c>
    </row>
    <row r="200" spans="1:4" x14ac:dyDescent="0.25">
      <c r="A200" t="str">
        <f>T("021019")</f>
        <v>021019</v>
      </c>
      <c r="B200" t="str">
        <f>T("VIANDES DE PORCINS, SALÉES OU EN SAUMURE, SÉCHÉES OU FUMÉES (À L'EXCL, DES JAMBONS, ÉPAULES ET LEURS MORCEAUX, NON-DÉSOSSÉS, AINSI QUE DES POITRINES [ENTRELARDÉS] ET LEURS MORCEAUX)")</f>
        <v>VIANDES DE PORCINS, SALÉES OU EN SAUMURE, SÉCHÉES OU FUMÉES (À L'EXCL, DES JAMBONS, ÉPAULES ET LEURS MORCEAUX, NON-DÉSOSSÉS, AINSI QUE DES POITRINES [ENTRELARDÉS] ET LEURS MORCEAUX)</v>
      </c>
    </row>
    <row r="201" spans="1:4" x14ac:dyDescent="0.25">
      <c r="A201" t="str">
        <f>T("   ZZZ_Monde")</f>
        <v xml:space="preserve">   ZZZ_Monde</v>
      </c>
      <c r="B201" t="str">
        <f>T("   ZZZ_Monde")</f>
        <v xml:space="preserve">   ZZZ_Monde</v>
      </c>
      <c r="C201">
        <v>4846141</v>
      </c>
      <c r="D201">
        <v>7646</v>
      </c>
    </row>
    <row r="202" spans="1:4" x14ac:dyDescent="0.25">
      <c r="A202" t="str">
        <f>T("   FR")</f>
        <v xml:space="preserve">   FR</v>
      </c>
      <c r="B202" t="str">
        <f>T("   France")</f>
        <v xml:space="preserve">   France</v>
      </c>
      <c r="C202">
        <v>4846141</v>
      </c>
      <c r="D202">
        <v>7646</v>
      </c>
    </row>
    <row r="203" spans="1:4" x14ac:dyDescent="0.25">
      <c r="A203" t="str">
        <f>T("021099")</f>
        <v>021099</v>
      </c>
      <c r="B203" t="str">
        <f>T("VIANDES ET ABATS COMESTIBLES, SALÉS OU EN SAUMURE, SÉCHÉS OU FUMÉS, ET FARINES ET POUDRES COMESTIBLES DE VIANDES ET D'ABATS (À L'EXCL, DES VIANDES DES ESPÈCES PORCINE ET BOVINE AINSI QUE DES VIANDES ET ABATS COMESTIBLES DE PRIMATES, DE BALEINES, DE DAUPHI")</f>
        <v>VIANDES ET ABATS COMESTIBLES, SALÉS OU EN SAUMURE, SÉCHÉS OU FUMÉS, ET FARINES ET POUDRES COMESTIBLES DE VIANDES ET D'ABATS (À L'EXCL, DES VIANDES DES ESPÈCES PORCINE ET BOVINE AINSI QUE DES VIANDES ET ABATS COMESTIBLES DE PRIMATES, DE BALEINES, DE DAUPHI</v>
      </c>
    </row>
    <row r="204" spans="1:4" x14ac:dyDescent="0.25">
      <c r="A204" t="str">
        <f>T("   ZZZ_Monde")</f>
        <v xml:space="preserve">   ZZZ_Monde</v>
      </c>
      <c r="B204" t="str">
        <f>T("   ZZZ_Monde")</f>
        <v xml:space="preserve">   ZZZ_Monde</v>
      </c>
      <c r="C204">
        <v>13753702</v>
      </c>
      <c r="D204">
        <v>21798</v>
      </c>
    </row>
    <row r="205" spans="1:4" x14ac:dyDescent="0.25">
      <c r="A205" t="str">
        <f>T("   FR")</f>
        <v xml:space="preserve">   FR</v>
      </c>
      <c r="B205" t="str">
        <f>T("   France")</f>
        <v xml:space="preserve">   France</v>
      </c>
      <c r="C205">
        <v>13753702</v>
      </c>
      <c r="D205">
        <v>21798</v>
      </c>
    </row>
    <row r="206" spans="1:4" x14ac:dyDescent="0.25">
      <c r="A206" t="str">
        <f>T("030219")</f>
        <v>030219</v>
      </c>
      <c r="B206" t="str">
        <f>T("Salmonidés, frais ou réfrigérés (à l'excl, des truites et des saumons du Pacifique, de l'Atlantique et du Danube)")</f>
        <v>Salmonidés, frais ou réfrigérés (à l'excl, des truites et des saumons du Pacifique, de l'Atlantique et du Danube)</v>
      </c>
    </row>
    <row r="207" spans="1:4" x14ac:dyDescent="0.25">
      <c r="A207" t="str">
        <f>T("   ZZZ_Monde")</f>
        <v xml:space="preserve">   ZZZ_Monde</v>
      </c>
      <c r="B207" t="str">
        <f>T("   ZZZ_Monde")</f>
        <v xml:space="preserve">   ZZZ_Monde</v>
      </c>
      <c r="C207">
        <v>19321303</v>
      </c>
      <c r="D207">
        <v>83835</v>
      </c>
    </row>
    <row r="208" spans="1:4" x14ac:dyDescent="0.25">
      <c r="A208" t="str">
        <f>T("   CN")</f>
        <v xml:space="preserve">   CN</v>
      </c>
      <c r="B208" t="str">
        <f>T("   Chine")</f>
        <v xml:space="preserve">   Chine</v>
      </c>
      <c r="C208">
        <v>5624857</v>
      </c>
      <c r="D208">
        <v>25000</v>
      </c>
    </row>
    <row r="209" spans="1:4" x14ac:dyDescent="0.25">
      <c r="A209" t="str">
        <f>T("   LB")</f>
        <v xml:space="preserve">   LB</v>
      </c>
      <c r="B209" t="str">
        <f>T("   Liban")</f>
        <v xml:space="preserve">   Liban</v>
      </c>
      <c r="C209">
        <v>1096766</v>
      </c>
      <c r="D209">
        <v>2835</v>
      </c>
    </row>
    <row r="210" spans="1:4" x14ac:dyDescent="0.25">
      <c r="A210" t="str">
        <f>T("   UY")</f>
        <v xml:space="preserve">   UY</v>
      </c>
      <c r="B210" t="str">
        <f>T("   Uruguay")</f>
        <v xml:space="preserve">   Uruguay</v>
      </c>
      <c r="C210">
        <v>12599680</v>
      </c>
      <c r="D210">
        <v>56000</v>
      </c>
    </row>
    <row r="211" spans="1:4" x14ac:dyDescent="0.25">
      <c r="A211" t="str">
        <f>T("030229")</f>
        <v>030229</v>
      </c>
      <c r="B211" t="str">
        <f>T("POISSONS PLATS [PLEURONECTIDÉS, BOTHIDÉS, CYNOGLOSSIDÉS, SOLÉIDÉS, SCOPHTHALMIDÉS ET CITHARIDÉS], FRAIS OU RÉFRIGÉRÉS (À L'EXCL, DES FLÉTANS, DES PLIES OU CARRELETS ET DES SOLES)")</f>
        <v>POISSONS PLATS [PLEURONECTIDÉS, BOTHIDÉS, CYNOGLOSSIDÉS, SOLÉIDÉS, SCOPHTHALMIDÉS ET CITHARIDÉS], FRAIS OU RÉFRIGÉRÉS (À L'EXCL, DES FLÉTANS, DES PLIES OU CARRELETS ET DES SOLES)</v>
      </c>
    </row>
    <row r="212" spans="1:4" x14ac:dyDescent="0.25">
      <c r="A212" t="str">
        <f>T("   ZZZ_Monde")</f>
        <v xml:space="preserve">   ZZZ_Monde</v>
      </c>
      <c r="B212" t="str">
        <f>T("   ZZZ_Monde")</f>
        <v xml:space="preserve">   ZZZ_Monde</v>
      </c>
      <c r="C212">
        <v>25074670</v>
      </c>
      <c r="D212">
        <v>115144</v>
      </c>
    </row>
    <row r="213" spans="1:4" x14ac:dyDescent="0.25">
      <c r="A213" t="str">
        <f>T("   FR")</f>
        <v xml:space="preserve">   FR</v>
      </c>
      <c r="B213" t="str">
        <f>T("   France")</f>
        <v xml:space="preserve">   France</v>
      </c>
      <c r="C213">
        <v>11391138</v>
      </c>
      <c r="D213">
        <v>50625</v>
      </c>
    </row>
    <row r="214" spans="1:4" x14ac:dyDescent="0.25">
      <c r="A214" t="str">
        <f>T("   US")</f>
        <v xml:space="preserve">   US</v>
      </c>
      <c r="B214" t="str">
        <f>T("   Etats-Unis")</f>
        <v xml:space="preserve">   Etats-Unis</v>
      </c>
      <c r="C214">
        <v>6248019</v>
      </c>
      <c r="D214">
        <v>24500</v>
      </c>
    </row>
    <row r="215" spans="1:4" x14ac:dyDescent="0.25">
      <c r="A215" t="str">
        <f>T("   YE")</f>
        <v xml:space="preserve">   YE</v>
      </c>
      <c r="B215" t="str">
        <f>T("   Yémen")</f>
        <v xml:space="preserve">   Yémen</v>
      </c>
      <c r="C215">
        <v>5625513</v>
      </c>
      <c r="D215">
        <v>13769</v>
      </c>
    </row>
    <row r="216" spans="1:4" x14ac:dyDescent="0.25">
      <c r="A216" t="str">
        <f>T("   Z2")</f>
        <v xml:space="preserve">   Z2</v>
      </c>
      <c r="B216" t="str">
        <f>T("   Pays non défini")</f>
        <v xml:space="preserve">   Pays non défini</v>
      </c>
      <c r="C216">
        <v>1810000</v>
      </c>
      <c r="D216">
        <v>26250</v>
      </c>
    </row>
    <row r="217" spans="1:4" x14ac:dyDescent="0.25">
      <c r="A217" t="str">
        <f>T("030261")</f>
        <v>030261</v>
      </c>
      <c r="B217" t="str">
        <f>T("Sardines [Sardina pilchardus, Sardinops spp,], sardinelles 'Sardinella spp,', sprats ou esprots 'Sprattus sprattus', frais ou réfrigérés")</f>
        <v>Sardines [Sardina pilchardus, Sardinops spp,], sardinelles 'Sardinella spp,', sprats ou esprots 'Sprattus sprattus', frais ou réfrigérés</v>
      </c>
    </row>
    <row r="218" spans="1:4" x14ac:dyDescent="0.25">
      <c r="A218" t="str">
        <f>T("   ZZZ_Monde")</f>
        <v xml:space="preserve">   ZZZ_Monde</v>
      </c>
      <c r="B218" t="str">
        <f>T("   ZZZ_Monde")</f>
        <v xml:space="preserve">   ZZZ_Monde</v>
      </c>
      <c r="C218">
        <v>15000000</v>
      </c>
      <c r="D218">
        <v>55250</v>
      </c>
    </row>
    <row r="219" spans="1:4" x14ac:dyDescent="0.25">
      <c r="A219" t="str">
        <f>T("   MA")</f>
        <v xml:space="preserve">   MA</v>
      </c>
      <c r="B219" t="str">
        <f>T("   Maroc")</f>
        <v xml:space="preserve">   Maroc</v>
      </c>
      <c r="C219">
        <v>15000000</v>
      </c>
      <c r="D219">
        <v>55250</v>
      </c>
    </row>
    <row r="220" spans="1:4" x14ac:dyDescent="0.25">
      <c r="A220" t="str">
        <f>T("030264")</f>
        <v>030264</v>
      </c>
      <c r="B220" t="str">
        <f>T("Maquereaux [Scomber scombrus, Scomber australasicus, Scomber japonicus], frais ou réfrigérés")</f>
        <v>Maquereaux [Scomber scombrus, Scomber australasicus, Scomber japonicus], frais ou réfrigérés</v>
      </c>
    </row>
    <row r="221" spans="1:4" x14ac:dyDescent="0.25">
      <c r="A221" t="str">
        <f>T("   ZZZ_Monde")</f>
        <v xml:space="preserve">   ZZZ_Monde</v>
      </c>
      <c r="B221" t="str">
        <f>T("   ZZZ_Monde")</f>
        <v xml:space="preserve">   ZZZ_Monde</v>
      </c>
      <c r="C221">
        <v>23019379</v>
      </c>
      <c r="D221">
        <v>28350</v>
      </c>
    </row>
    <row r="222" spans="1:4" x14ac:dyDescent="0.25">
      <c r="A222" t="str">
        <f>T("   NZ")</f>
        <v xml:space="preserve">   NZ</v>
      </c>
      <c r="B222" t="str">
        <f>T("   Nouvelle-Zélande")</f>
        <v xml:space="preserve">   Nouvelle-Zélande</v>
      </c>
      <c r="C222">
        <v>23019379</v>
      </c>
      <c r="D222">
        <v>28350</v>
      </c>
    </row>
    <row r="223" spans="1:4" x14ac:dyDescent="0.25">
      <c r="A223" t="str">
        <f>T("030319")</f>
        <v>030319</v>
      </c>
      <c r="B223" t="str">
        <f>T("Saumons du Pacifique [Oncorhynchus gorbuscha, Oncorhynchus keta, Oncorhynchus tschawytscha, Oncorhynchus kisutch, Oncorhynchus masou et Oncorhynchus rhodurus], congelés (à l'excl, des saumons rouges [Oncorhynchus nerka])")</f>
        <v>Saumons du Pacifique [Oncorhynchus gorbuscha, Oncorhynchus keta, Oncorhynchus tschawytscha, Oncorhynchus kisutch, Oncorhynchus masou et Oncorhynchus rhodurus], congelés (à l'excl, des saumons rouges [Oncorhynchus nerka])</v>
      </c>
    </row>
    <row r="224" spans="1:4" x14ac:dyDescent="0.25">
      <c r="A224" t="str">
        <f>T("   ZZZ_Monde")</f>
        <v xml:space="preserve">   ZZZ_Monde</v>
      </c>
      <c r="B224" t="str">
        <f>T("   ZZZ_Monde")</f>
        <v xml:space="preserve">   ZZZ_Monde</v>
      </c>
      <c r="C224">
        <v>535264</v>
      </c>
      <c r="D224">
        <v>604</v>
      </c>
    </row>
    <row r="225" spans="1:4" x14ac:dyDescent="0.25">
      <c r="A225" t="str">
        <f>T("   FR")</f>
        <v xml:space="preserve">   FR</v>
      </c>
      <c r="B225" t="str">
        <f>T("   France")</f>
        <v xml:space="preserve">   France</v>
      </c>
      <c r="C225">
        <v>535264</v>
      </c>
      <c r="D225">
        <v>604</v>
      </c>
    </row>
    <row r="226" spans="1:4" x14ac:dyDescent="0.25">
      <c r="A226" t="str">
        <f>T("030322")</f>
        <v>030322</v>
      </c>
      <c r="B226" t="str">
        <f>T("Saumons de l'Atlantique [Salmo salar] et saumons du Danube [Hucho hucho], congelés")</f>
        <v>Saumons de l'Atlantique [Salmo salar] et saumons du Danube [Hucho hucho], congelés</v>
      </c>
    </row>
    <row r="227" spans="1:4" x14ac:dyDescent="0.25">
      <c r="A227" t="str">
        <f>T("   ZZZ_Monde")</f>
        <v xml:space="preserve">   ZZZ_Monde</v>
      </c>
      <c r="B227" t="str">
        <f>T("   ZZZ_Monde")</f>
        <v xml:space="preserve">   ZZZ_Monde</v>
      </c>
      <c r="C227">
        <v>245986</v>
      </c>
      <c r="D227">
        <v>319</v>
      </c>
    </row>
    <row r="228" spans="1:4" x14ac:dyDescent="0.25">
      <c r="A228" t="str">
        <f>T("   FR")</f>
        <v xml:space="preserve">   FR</v>
      </c>
      <c r="B228" t="str">
        <f>T("   France")</f>
        <v xml:space="preserve">   France</v>
      </c>
      <c r="C228">
        <v>245986</v>
      </c>
      <c r="D228">
        <v>319</v>
      </c>
    </row>
    <row r="229" spans="1:4" x14ac:dyDescent="0.25">
      <c r="A229" t="str">
        <f>T("030329")</f>
        <v>030329</v>
      </c>
      <c r="B229" t="str">
        <f>T("Salmonidés, congelés (à l'excl, des saumons du Pacifique, de l'Atlantique et du Danube ainsi que des truites)")</f>
        <v>Salmonidés, congelés (à l'excl, des saumons du Pacifique, de l'Atlantique et du Danube ainsi que des truites)</v>
      </c>
    </row>
    <row r="230" spans="1:4" x14ac:dyDescent="0.25">
      <c r="A230" t="str">
        <f>T("   ZZZ_Monde")</f>
        <v xml:space="preserve">   ZZZ_Monde</v>
      </c>
      <c r="B230" t="str">
        <f>T("   ZZZ_Monde")</f>
        <v xml:space="preserve">   ZZZ_Monde</v>
      </c>
      <c r="C230">
        <v>215976798</v>
      </c>
      <c r="D230">
        <v>961238</v>
      </c>
    </row>
    <row r="231" spans="1:4" x14ac:dyDescent="0.25">
      <c r="A231" t="str">
        <f>T("   BE")</f>
        <v xml:space="preserve">   BE</v>
      </c>
      <c r="B231" t="str">
        <f>T("   Belgique")</f>
        <v xml:space="preserve">   Belgique</v>
      </c>
      <c r="C231">
        <v>1955416</v>
      </c>
      <c r="D231">
        <v>8688</v>
      </c>
    </row>
    <row r="232" spans="1:4" x14ac:dyDescent="0.25">
      <c r="A232" t="str">
        <f>T("   IN")</f>
        <v xml:space="preserve">   IN</v>
      </c>
      <c r="B232" t="str">
        <f>T("   Inde")</f>
        <v xml:space="preserve">   Inde</v>
      </c>
      <c r="C232">
        <v>6075502</v>
      </c>
      <c r="D232">
        <v>28350</v>
      </c>
    </row>
    <row r="233" spans="1:4" x14ac:dyDescent="0.25">
      <c r="A233" t="str">
        <f>T("   MA")</f>
        <v xml:space="preserve">   MA</v>
      </c>
      <c r="B233" t="str">
        <f>T("   Maroc")</f>
        <v xml:space="preserve">   Maroc</v>
      </c>
      <c r="C233">
        <v>5696357</v>
      </c>
      <c r="D233">
        <v>25316</v>
      </c>
    </row>
    <row r="234" spans="1:4" x14ac:dyDescent="0.25">
      <c r="A234" t="str">
        <f>T("   MR")</f>
        <v xml:space="preserve">   MR</v>
      </c>
      <c r="B234" t="str">
        <f>T("   Mauritanie")</f>
        <v xml:space="preserve">   Mauritanie</v>
      </c>
      <c r="C234">
        <v>202249523</v>
      </c>
      <c r="D234">
        <v>898884</v>
      </c>
    </row>
    <row r="235" spans="1:4" x14ac:dyDescent="0.25">
      <c r="A235" t="str">
        <f>T("030339")</f>
        <v>030339</v>
      </c>
      <c r="B235" t="str">
        <f>T("Poissons plats [pleuronectidés, bothidés, cynoglossidés, soléidés, scophthalmidés et citharidés], congelés (à l'excl, des flétans, des plies ou carrelets et des soles)")</f>
        <v>Poissons plats [pleuronectidés, bothidés, cynoglossidés, soléidés, scophthalmidés et citharidés], congelés (à l'excl, des flétans, des plies ou carrelets et des soles)</v>
      </c>
    </row>
    <row r="236" spans="1:4" x14ac:dyDescent="0.25">
      <c r="A236" t="str">
        <f>T("   ZZZ_Monde")</f>
        <v xml:space="preserve">   ZZZ_Monde</v>
      </c>
      <c r="B236" t="str">
        <f>T("   ZZZ_Monde")</f>
        <v xml:space="preserve">   ZZZ_Monde</v>
      </c>
      <c r="C236">
        <v>8783633</v>
      </c>
      <c r="D236">
        <v>39000</v>
      </c>
    </row>
    <row r="237" spans="1:4" x14ac:dyDescent="0.25">
      <c r="A237" t="str">
        <f>T("   CN")</f>
        <v xml:space="preserve">   CN</v>
      </c>
      <c r="B237" t="str">
        <f>T("   Chine")</f>
        <v xml:space="preserve">   Chine</v>
      </c>
      <c r="C237">
        <v>3150576</v>
      </c>
      <c r="D237">
        <v>14000</v>
      </c>
    </row>
    <row r="238" spans="1:4" x14ac:dyDescent="0.25">
      <c r="A238" t="str">
        <f>T("   FR")</f>
        <v xml:space="preserve">   FR</v>
      </c>
      <c r="B238" t="str">
        <f>T("   France")</f>
        <v xml:space="preserve">   France</v>
      </c>
      <c r="C238">
        <v>5633057</v>
      </c>
      <c r="D238">
        <v>25000</v>
      </c>
    </row>
    <row r="239" spans="1:4" x14ac:dyDescent="0.25">
      <c r="A239" t="str">
        <f>T("030349")</f>
        <v>030349</v>
      </c>
      <c r="B239" t="str">
        <f>T("Thons du genre 'Thunnus', congelés (à l'excl, des thons des espèces 'Thunnus alalunga, Thunnus albacares, Thunnus obesus, Thunnus thynnus et Thunnus maccoyii')")</f>
        <v>Thons du genre 'Thunnus', congelés (à l'excl, des thons des espèces 'Thunnus alalunga, Thunnus albacares, Thunnus obesus, Thunnus thynnus et Thunnus maccoyii')</v>
      </c>
    </row>
    <row r="240" spans="1:4" x14ac:dyDescent="0.25">
      <c r="A240" t="str">
        <f>T("   ZZZ_Monde")</f>
        <v xml:space="preserve">   ZZZ_Monde</v>
      </c>
      <c r="B240" t="str">
        <f>T("   ZZZ_Monde")</f>
        <v xml:space="preserve">   ZZZ_Monde</v>
      </c>
      <c r="C240">
        <v>7084697</v>
      </c>
      <c r="D240">
        <v>31450</v>
      </c>
    </row>
    <row r="241" spans="1:4" x14ac:dyDescent="0.25">
      <c r="A241" t="str">
        <f>T("   BE")</f>
        <v xml:space="preserve">   BE</v>
      </c>
      <c r="B241" t="str">
        <f>T("   Belgique")</f>
        <v xml:space="preserve">   Belgique</v>
      </c>
      <c r="C241">
        <v>1451640</v>
      </c>
      <c r="D241">
        <v>6450</v>
      </c>
    </row>
    <row r="242" spans="1:4" x14ac:dyDescent="0.25">
      <c r="A242" t="str">
        <f>T("   FR")</f>
        <v xml:space="preserve">   FR</v>
      </c>
      <c r="B242" t="str">
        <f>T("   France")</f>
        <v xml:space="preserve">   France</v>
      </c>
      <c r="C242">
        <v>5633057</v>
      </c>
      <c r="D242">
        <v>25000</v>
      </c>
    </row>
    <row r="243" spans="1:4" x14ac:dyDescent="0.25">
      <c r="A243" t="str">
        <f>T("030350")</f>
        <v>030350</v>
      </c>
      <c r="B243" t="str">
        <f>T("Harengs [Clupea harengus, Clupea pallasii], congelés")</f>
        <v>Harengs [Clupea harengus, Clupea pallasii], congelés</v>
      </c>
    </row>
    <row r="244" spans="1:4" x14ac:dyDescent="0.25">
      <c r="A244" t="str">
        <f>T("   ZZZ_Monde")</f>
        <v xml:space="preserve">   ZZZ_Monde</v>
      </c>
      <c r="B244" t="str">
        <f>T("   ZZZ_Monde")</f>
        <v xml:space="preserve">   ZZZ_Monde</v>
      </c>
      <c r="C244">
        <v>6067612</v>
      </c>
      <c r="D244">
        <v>26967</v>
      </c>
    </row>
    <row r="245" spans="1:4" x14ac:dyDescent="0.25">
      <c r="A245" t="str">
        <f>T("   DE")</f>
        <v xml:space="preserve">   DE</v>
      </c>
      <c r="B245" t="str">
        <f>T("   Allemagne")</f>
        <v xml:space="preserve">   Allemagne</v>
      </c>
      <c r="C245">
        <v>6067612</v>
      </c>
      <c r="D245">
        <v>26967</v>
      </c>
    </row>
    <row r="246" spans="1:4" x14ac:dyDescent="0.25">
      <c r="A246" t="str">
        <f>T("030371")</f>
        <v>030371</v>
      </c>
      <c r="B246" t="str">
        <f>T("Sardines [Sardina pilchardus, Sardinops spp,], sardinelles [Sardinella spp,], sprats ou esprots [Sprattus sprattus], congelés")</f>
        <v>Sardines [Sardina pilchardus, Sardinops spp,], sardinelles [Sardinella spp,], sprats ou esprots [Sprattus sprattus], congelés</v>
      </c>
    </row>
    <row r="247" spans="1:4" x14ac:dyDescent="0.25">
      <c r="A247" t="str">
        <f>T("   ZZZ_Monde")</f>
        <v xml:space="preserve">   ZZZ_Monde</v>
      </c>
      <c r="B247" t="str">
        <f>T("   ZZZ_Monde")</f>
        <v xml:space="preserve">   ZZZ_Monde</v>
      </c>
      <c r="C247">
        <v>324348639</v>
      </c>
      <c r="D247">
        <v>1487300</v>
      </c>
    </row>
    <row r="248" spans="1:4" x14ac:dyDescent="0.25">
      <c r="A248" t="str">
        <f>T("   BE")</f>
        <v xml:space="preserve">   BE</v>
      </c>
      <c r="B248" t="str">
        <f>T("   Belgique")</f>
        <v xml:space="preserve">   Belgique</v>
      </c>
      <c r="C248">
        <v>15660389</v>
      </c>
      <c r="D248">
        <v>69600</v>
      </c>
    </row>
    <row r="249" spans="1:4" x14ac:dyDescent="0.25">
      <c r="A249" t="str">
        <f>T("   CH")</f>
        <v xml:space="preserve">   CH</v>
      </c>
      <c r="B249" t="str">
        <f>T("   Suisse")</f>
        <v xml:space="preserve">   Suisse</v>
      </c>
      <c r="C249">
        <v>140179500</v>
      </c>
      <c r="D249">
        <v>654371</v>
      </c>
    </row>
    <row r="250" spans="1:4" x14ac:dyDescent="0.25">
      <c r="A250" t="str">
        <f>T("   GB")</f>
        <v xml:space="preserve">   GB</v>
      </c>
      <c r="B250" t="str">
        <f>T("   Royaume-Uni")</f>
        <v xml:space="preserve">   Royaume-Uni</v>
      </c>
      <c r="C250">
        <v>112707545</v>
      </c>
      <c r="D250">
        <v>515329</v>
      </c>
    </row>
    <row r="251" spans="1:4" x14ac:dyDescent="0.25">
      <c r="A251" t="str">
        <f>T("   MR")</f>
        <v xml:space="preserve">   MR</v>
      </c>
      <c r="B251" t="str">
        <f>T("   Mauritanie")</f>
        <v xml:space="preserve">   Mauritanie</v>
      </c>
      <c r="C251">
        <v>31500511</v>
      </c>
      <c r="D251">
        <v>140000</v>
      </c>
    </row>
    <row r="252" spans="1:4" x14ac:dyDescent="0.25">
      <c r="A252" t="str">
        <f>T("   NL")</f>
        <v xml:space="preserve">   NL</v>
      </c>
      <c r="B252" t="str">
        <f>T("   Pays-bas")</f>
        <v xml:space="preserve">   Pays-bas</v>
      </c>
      <c r="C252">
        <v>24300694</v>
      </c>
      <c r="D252">
        <v>108000</v>
      </c>
    </row>
    <row r="253" spans="1:4" x14ac:dyDescent="0.25">
      <c r="A253" t="str">
        <f>T("030374")</f>
        <v>030374</v>
      </c>
      <c r="B253" t="str">
        <f>T("Maquereaux [Scomber scombrus, Scomber australasicus, Scomber japonicus], congelés")</f>
        <v>Maquereaux [Scomber scombrus, Scomber australasicus, Scomber japonicus], congelés</v>
      </c>
    </row>
    <row r="254" spans="1:4" x14ac:dyDescent="0.25">
      <c r="A254" t="str">
        <f>T("   ZZZ_Monde")</f>
        <v xml:space="preserve">   ZZZ_Monde</v>
      </c>
      <c r="B254" t="str">
        <f>T("   ZZZ_Monde")</f>
        <v xml:space="preserve">   ZZZ_Monde</v>
      </c>
      <c r="C254">
        <v>670349038</v>
      </c>
      <c r="D254">
        <v>2998362</v>
      </c>
    </row>
    <row r="255" spans="1:4" x14ac:dyDescent="0.25">
      <c r="A255" t="str">
        <f>T("   BE")</f>
        <v xml:space="preserve">   BE</v>
      </c>
      <c r="B255" t="str">
        <f>T("   Belgique")</f>
        <v xml:space="preserve">   Belgique</v>
      </c>
      <c r="C255">
        <v>13608546</v>
      </c>
      <c r="D255">
        <v>60480</v>
      </c>
    </row>
    <row r="256" spans="1:4" x14ac:dyDescent="0.25">
      <c r="A256" t="str">
        <f>T("   CN")</f>
        <v xml:space="preserve">   CN</v>
      </c>
      <c r="B256" t="str">
        <f>T("   Chine")</f>
        <v xml:space="preserve">   Chine</v>
      </c>
      <c r="C256">
        <v>62978164</v>
      </c>
      <c r="D256">
        <v>279900</v>
      </c>
    </row>
    <row r="257" spans="1:4" x14ac:dyDescent="0.25">
      <c r="A257" t="str">
        <f>T("   CZ")</f>
        <v xml:space="preserve">   CZ</v>
      </c>
      <c r="B257" t="str">
        <f>T("   Tchèque, République")</f>
        <v xml:space="preserve">   Tchèque, République</v>
      </c>
      <c r="C257">
        <v>11321738</v>
      </c>
      <c r="D257">
        <v>50320</v>
      </c>
    </row>
    <row r="258" spans="1:4" x14ac:dyDescent="0.25">
      <c r="A258" t="str">
        <f>T("   ES")</f>
        <v xml:space="preserve">   ES</v>
      </c>
      <c r="B258" t="str">
        <f>T("   Espagne")</f>
        <v xml:space="preserve">   Espagne</v>
      </c>
      <c r="C258">
        <v>22501396</v>
      </c>
      <c r="D258">
        <v>100000</v>
      </c>
    </row>
    <row r="259" spans="1:4" x14ac:dyDescent="0.25">
      <c r="A259" t="str">
        <f>T("   GB")</f>
        <v xml:space="preserve">   GB</v>
      </c>
      <c r="B259" t="str">
        <f>T("   Royaume-Uni")</f>
        <v xml:space="preserve">   Royaume-Uni</v>
      </c>
      <c r="C259">
        <v>413157447</v>
      </c>
      <c r="D259">
        <v>1855312</v>
      </c>
    </row>
    <row r="260" spans="1:4" x14ac:dyDescent="0.25">
      <c r="A260" t="str">
        <f>T("   JP")</f>
        <v xml:space="preserve">   JP</v>
      </c>
      <c r="B260" t="str">
        <f>T("   Japon")</f>
        <v xml:space="preserve">   Japon</v>
      </c>
      <c r="C260">
        <v>33818673</v>
      </c>
      <c r="D260">
        <v>150300</v>
      </c>
    </row>
    <row r="261" spans="1:4" x14ac:dyDescent="0.25">
      <c r="A261" t="str">
        <f>T("   MY")</f>
        <v xml:space="preserve">   MY</v>
      </c>
      <c r="B261" t="str">
        <f>T("   Malaisie")</f>
        <v xml:space="preserve">   Malaisie</v>
      </c>
      <c r="C261">
        <v>6232500</v>
      </c>
      <c r="D261">
        <v>27700</v>
      </c>
    </row>
    <row r="262" spans="1:4" x14ac:dyDescent="0.25">
      <c r="A262" t="str">
        <f>T("   NO")</f>
        <v xml:space="preserve">   NO</v>
      </c>
      <c r="B262" t="str">
        <f>T("   Norvège")</f>
        <v xml:space="preserve">   Norvège</v>
      </c>
      <c r="C262">
        <v>12150347</v>
      </c>
      <c r="D262">
        <v>54000</v>
      </c>
    </row>
    <row r="263" spans="1:4" x14ac:dyDescent="0.25">
      <c r="A263" t="str">
        <f>T("   NZ")</f>
        <v xml:space="preserve">   NZ</v>
      </c>
      <c r="B263" t="str">
        <f>T("   Nouvelle-Zélande")</f>
        <v xml:space="preserve">   Nouvelle-Zélande</v>
      </c>
      <c r="C263">
        <v>6379190</v>
      </c>
      <c r="D263">
        <v>28350</v>
      </c>
    </row>
    <row r="264" spans="1:4" x14ac:dyDescent="0.25">
      <c r="A264" t="str">
        <f>T("   ZA")</f>
        <v xml:space="preserve">   ZA</v>
      </c>
      <c r="B264" t="str">
        <f>T("   Afrique du Sud")</f>
        <v xml:space="preserve">   Afrique du Sud</v>
      </c>
      <c r="C264">
        <v>88201037</v>
      </c>
      <c r="D264">
        <v>392000</v>
      </c>
    </row>
    <row r="265" spans="1:4" x14ac:dyDescent="0.25">
      <c r="A265" t="str">
        <f>T("030378")</f>
        <v>030378</v>
      </c>
      <c r="B265" t="str">
        <f>T("Merlus [Merluccius spp,, Urophycis spp,], congelés")</f>
        <v>Merlus [Merluccius spp,, Urophycis spp,], congelés</v>
      </c>
    </row>
    <row r="266" spans="1:4" x14ac:dyDescent="0.25">
      <c r="A266" t="str">
        <f>T("   ZZZ_Monde")</f>
        <v xml:space="preserve">   ZZZ_Monde</v>
      </c>
      <c r="B266" t="str">
        <f>T("   ZZZ_Monde")</f>
        <v xml:space="preserve">   ZZZ_Monde</v>
      </c>
      <c r="C266">
        <v>20687171</v>
      </c>
      <c r="D266">
        <v>91940</v>
      </c>
    </row>
    <row r="267" spans="1:4" x14ac:dyDescent="0.25">
      <c r="A267" t="str">
        <f>T("   AR")</f>
        <v xml:space="preserve">   AR</v>
      </c>
      <c r="B267" t="str">
        <f>T("   Argentine")</f>
        <v xml:space="preserve">   Argentine</v>
      </c>
      <c r="C267">
        <v>6300000</v>
      </c>
      <c r="D267">
        <v>28000</v>
      </c>
    </row>
    <row r="268" spans="1:4" x14ac:dyDescent="0.25">
      <c r="A268" t="str">
        <f>T("   BE")</f>
        <v xml:space="preserve">   BE</v>
      </c>
      <c r="B268" t="str">
        <f>T("   Belgique")</f>
        <v xml:space="preserve">   Belgique</v>
      </c>
      <c r="C268">
        <v>1809138</v>
      </c>
      <c r="D268">
        <v>8040</v>
      </c>
    </row>
    <row r="269" spans="1:4" x14ac:dyDescent="0.25">
      <c r="A269" t="str">
        <f>T("   FR")</f>
        <v xml:space="preserve">   FR</v>
      </c>
      <c r="B269" t="str">
        <f>T("   France")</f>
        <v xml:space="preserve">   France</v>
      </c>
      <c r="C269">
        <v>12578033</v>
      </c>
      <c r="D269">
        <v>55900</v>
      </c>
    </row>
    <row r="270" spans="1:4" x14ac:dyDescent="0.25">
      <c r="A270" t="str">
        <f>T("030379")</f>
        <v>030379</v>
      </c>
      <c r="B270" t="str">
        <f>T("POISSONS D'EAU DOUCE ET DE MER, COMESTIBLES, CONGELÉS (À L'EXCL, DES SALMONIDÉS, DES POISSONS PLATS, DES THONS, DES LISTAOS OU BONITES À VENTRE RAYÉ, DES HARENGS, DES MORUES, DES ESPADONS, DES LÉGINES, DES SARDINES, DES SARDINELLES, DES SPRATS OU ESPROTS,")</f>
        <v>POISSONS D'EAU DOUCE ET DE MER, COMESTIBLES, CONGELÉS (À L'EXCL, DES SALMONIDÉS, DES POISSONS PLATS, DES THONS, DES LISTAOS OU BONITES À VENTRE RAYÉ, DES HARENGS, DES MORUES, DES ESPADONS, DES LÉGINES, DES SARDINES, DES SARDINELLES, DES SPRATS OU ESPROTS,</v>
      </c>
    </row>
    <row r="271" spans="1:4" x14ac:dyDescent="0.25">
      <c r="A271" t="str">
        <f>T("   ZZZ_Monde")</f>
        <v xml:space="preserve">   ZZZ_Monde</v>
      </c>
      <c r="B271" t="str">
        <f>T("   ZZZ_Monde")</f>
        <v xml:space="preserve">   ZZZ_Monde</v>
      </c>
      <c r="C271">
        <v>16124672002</v>
      </c>
      <c r="D271">
        <v>71656469</v>
      </c>
    </row>
    <row r="272" spans="1:4" x14ac:dyDescent="0.25">
      <c r="A272" t="str">
        <f>T("   AR")</f>
        <v xml:space="preserve">   AR</v>
      </c>
      <c r="B272" t="str">
        <f>T("   Argentine")</f>
        <v xml:space="preserve">   Argentine</v>
      </c>
      <c r="C272">
        <v>77314894</v>
      </c>
      <c r="D272">
        <v>337620</v>
      </c>
    </row>
    <row r="273" spans="1:4" x14ac:dyDescent="0.25">
      <c r="A273" t="str">
        <f>T("   AU")</f>
        <v xml:space="preserve">   AU</v>
      </c>
      <c r="B273" t="str">
        <f>T("   Australie")</f>
        <v xml:space="preserve">   Australie</v>
      </c>
      <c r="C273">
        <v>5129045</v>
      </c>
      <c r="D273">
        <v>22795</v>
      </c>
    </row>
    <row r="274" spans="1:4" x14ac:dyDescent="0.25">
      <c r="A274" t="str">
        <f>T("   BE")</f>
        <v xml:space="preserve">   BE</v>
      </c>
      <c r="B274" t="str">
        <f>T("   Belgique")</f>
        <v xml:space="preserve">   Belgique</v>
      </c>
      <c r="C274">
        <v>582384093</v>
      </c>
      <c r="D274">
        <v>2588370</v>
      </c>
    </row>
    <row r="275" spans="1:4" x14ac:dyDescent="0.25">
      <c r="A275" t="str">
        <f>T("   BR")</f>
        <v xml:space="preserve">   BR</v>
      </c>
      <c r="B275" t="str">
        <f>T("   Brésil")</f>
        <v xml:space="preserve">   Brésil</v>
      </c>
      <c r="C275">
        <v>23176522</v>
      </c>
      <c r="D275">
        <v>106000</v>
      </c>
    </row>
    <row r="276" spans="1:4" x14ac:dyDescent="0.25">
      <c r="A276" t="str">
        <f>T("   BZ")</f>
        <v xml:space="preserve">   BZ</v>
      </c>
      <c r="B276" t="str">
        <f>T("   Belize")</f>
        <v xml:space="preserve">   Belize</v>
      </c>
      <c r="C276">
        <v>225005400</v>
      </c>
      <c r="D276">
        <v>1000024</v>
      </c>
    </row>
    <row r="277" spans="1:4" x14ac:dyDescent="0.25">
      <c r="A277" t="str">
        <f>T("   CH")</f>
        <v xml:space="preserve">   CH</v>
      </c>
      <c r="B277" t="str">
        <f>T("   Suisse")</f>
        <v xml:space="preserve">   Suisse</v>
      </c>
      <c r="C277">
        <v>489008314</v>
      </c>
      <c r="D277">
        <v>2181308</v>
      </c>
    </row>
    <row r="278" spans="1:4" x14ac:dyDescent="0.25">
      <c r="A278" t="str">
        <f>T("   CL")</f>
        <v xml:space="preserve">   CL</v>
      </c>
      <c r="B278" t="str">
        <f>T("   Chili")</f>
        <v xml:space="preserve">   Chili</v>
      </c>
      <c r="C278">
        <v>22500000</v>
      </c>
      <c r="D278">
        <v>100000</v>
      </c>
    </row>
    <row r="279" spans="1:4" x14ac:dyDescent="0.25">
      <c r="A279" t="str">
        <f>T("   CN")</f>
        <v xml:space="preserve">   CN</v>
      </c>
      <c r="B279" t="str">
        <f>T("   Chine")</f>
        <v xml:space="preserve">   Chine</v>
      </c>
      <c r="C279">
        <v>300184971</v>
      </c>
      <c r="D279">
        <v>1334160</v>
      </c>
    </row>
    <row r="280" spans="1:4" x14ac:dyDescent="0.25">
      <c r="A280" t="str">
        <f>T("   CO")</f>
        <v xml:space="preserve">   CO</v>
      </c>
      <c r="B280" t="str">
        <f>T("   Colombie")</f>
        <v xml:space="preserve">   Colombie</v>
      </c>
      <c r="C280">
        <v>11250000</v>
      </c>
      <c r="D280">
        <v>46700</v>
      </c>
    </row>
    <row r="281" spans="1:4" x14ac:dyDescent="0.25">
      <c r="A281" t="str">
        <f>T("   ES")</f>
        <v xml:space="preserve">   ES</v>
      </c>
      <c r="B281" t="str">
        <f>T("   Espagne")</f>
        <v xml:space="preserve">   Espagne</v>
      </c>
      <c r="C281">
        <v>356810988</v>
      </c>
      <c r="D281">
        <v>1580524</v>
      </c>
    </row>
    <row r="282" spans="1:4" x14ac:dyDescent="0.25">
      <c r="A282" t="str">
        <f>T("   FR")</f>
        <v xml:space="preserve">   FR</v>
      </c>
      <c r="B282" t="str">
        <f>T("   France")</f>
        <v xml:space="preserve">   France</v>
      </c>
      <c r="C282">
        <v>3294508448</v>
      </c>
      <c r="D282">
        <v>14653445</v>
      </c>
    </row>
    <row r="283" spans="1:4" x14ac:dyDescent="0.25">
      <c r="A283" t="str">
        <f>T("   GB")</f>
        <v xml:space="preserve">   GB</v>
      </c>
      <c r="B283" t="str">
        <f>T("   Royaume-Uni")</f>
        <v xml:space="preserve">   Royaume-Uni</v>
      </c>
      <c r="C283">
        <v>2761123750</v>
      </c>
      <c r="D283">
        <v>12254006</v>
      </c>
    </row>
    <row r="284" spans="1:4" x14ac:dyDescent="0.25">
      <c r="A284" t="str">
        <f>T("   GH")</f>
        <v xml:space="preserve">   GH</v>
      </c>
      <c r="B284" t="str">
        <f>T("   Ghana")</f>
        <v xml:space="preserve">   Ghana</v>
      </c>
      <c r="C284">
        <v>93062357</v>
      </c>
      <c r="D284">
        <v>413610</v>
      </c>
    </row>
    <row r="285" spans="1:4" x14ac:dyDescent="0.25">
      <c r="A285" t="str">
        <f>T("   GN")</f>
        <v xml:space="preserve">   GN</v>
      </c>
      <c r="B285" t="str">
        <f>T("   Guinée")</f>
        <v xml:space="preserve">   Guinée</v>
      </c>
      <c r="C285">
        <v>535415276</v>
      </c>
      <c r="D285">
        <v>2379623</v>
      </c>
    </row>
    <row r="286" spans="1:4" x14ac:dyDescent="0.25">
      <c r="A286" t="str">
        <f>T("   IE")</f>
        <v xml:space="preserve">   IE</v>
      </c>
      <c r="B286" t="str">
        <f>T("   Irlande")</f>
        <v xml:space="preserve">   Irlande</v>
      </c>
      <c r="C286">
        <v>67498570</v>
      </c>
      <c r="D286">
        <v>300000</v>
      </c>
    </row>
    <row r="287" spans="1:4" x14ac:dyDescent="0.25">
      <c r="A287" t="str">
        <f>T("   IT")</f>
        <v xml:space="preserve">   IT</v>
      </c>
      <c r="B287" t="str">
        <f>T("   Italie")</f>
        <v xml:space="preserve">   Italie</v>
      </c>
      <c r="C287">
        <v>6415289</v>
      </c>
      <c r="D287">
        <v>28512</v>
      </c>
    </row>
    <row r="288" spans="1:4" x14ac:dyDescent="0.25">
      <c r="A288" t="str">
        <f>T("   JP")</f>
        <v xml:space="preserve">   JP</v>
      </c>
      <c r="B288" t="str">
        <f>T("   Japon")</f>
        <v xml:space="preserve">   Japon</v>
      </c>
      <c r="C288">
        <v>22511107</v>
      </c>
      <c r="D288">
        <v>100050</v>
      </c>
    </row>
    <row r="289" spans="1:4" x14ac:dyDescent="0.25">
      <c r="A289" t="str">
        <f>T("   KR")</f>
        <v xml:space="preserve">   KR</v>
      </c>
      <c r="B289" t="str">
        <f>T("   Corée, République de")</f>
        <v xml:space="preserve">   Corée, République de</v>
      </c>
      <c r="C289">
        <v>11250370</v>
      </c>
      <c r="D289">
        <v>50000</v>
      </c>
    </row>
    <row r="290" spans="1:4" x14ac:dyDescent="0.25">
      <c r="A290" t="str">
        <f>T("   MA")</f>
        <v xml:space="preserve">   MA</v>
      </c>
      <c r="B290" t="str">
        <f>T("   Maroc")</f>
        <v xml:space="preserve">   Maroc</v>
      </c>
      <c r="C290">
        <v>71515517</v>
      </c>
      <c r="D290">
        <v>317850</v>
      </c>
    </row>
    <row r="291" spans="1:4" x14ac:dyDescent="0.25">
      <c r="A291" t="str">
        <f>T("   MR")</f>
        <v xml:space="preserve">   MR</v>
      </c>
      <c r="B291" t="str">
        <f>T("   Mauritanie")</f>
        <v xml:space="preserve">   Mauritanie</v>
      </c>
      <c r="C291">
        <v>3238819750</v>
      </c>
      <c r="D291">
        <v>14394920</v>
      </c>
    </row>
    <row r="292" spans="1:4" x14ac:dyDescent="0.25">
      <c r="A292" t="str">
        <f>T("   NA")</f>
        <v xml:space="preserve">   NA</v>
      </c>
      <c r="B292" t="str">
        <f>T("   Namibie")</f>
        <v xml:space="preserve">   Namibie</v>
      </c>
      <c r="C292">
        <v>2260873125</v>
      </c>
      <c r="D292">
        <v>10048325</v>
      </c>
    </row>
    <row r="293" spans="1:4" x14ac:dyDescent="0.25">
      <c r="A293" t="str">
        <f>T("   NL")</f>
        <v xml:space="preserve">   NL</v>
      </c>
      <c r="B293" t="str">
        <f>T("   Pays-bas")</f>
        <v xml:space="preserve">   Pays-bas</v>
      </c>
      <c r="C293">
        <v>904142665</v>
      </c>
      <c r="D293">
        <v>4017805</v>
      </c>
    </row>
    <row r="294" spans="1:4" x14ac:dyDescent="0.25">
      <c r="A294" t="str">
        <f>T("   SN")</f>
        <v xml:space="preserve">   SN</v>
      </c>
      <c r="B294" t="str">
        <f>T("   Sénégal")</f>
        <v xml:space="preserve">   Sénégal</v>
      </c>
      <c r="C294">
        <v>413474012</v>
      </c>
      <c r="D294">
        <v>1843694</v>
      </c>
    </row>
    <row r="295" spans="1:4" x14ac:dyDescent="0.25">
      <c r="A295" t="str">
        <f>T("   TG")</f>
        <v xml:space="preserve">   TG</v>
      </c>
      <c r="B295" t="str">
        <f>T("   Togo")</f>
        <v xml:space="preserve">   Togo</v>
      </c>
      <c r="C295">
        <v>8690519</v>
      </c>
      <c r="D295">
        <v>36428</v>
      </c>
    </row>
    <row r="296" spans="1:4" x14ac:dyDescent="0.25">
      <c r="A296" t="str">
        <f>T("   TW")</f>
        <v xml:space="preserve">   TW</v>
      </c>
      <c r="B296" t="str">
        <f>T("   Taïwan, Province de Chine")</f>
        <v xml:space="preserve">   Taïwan, Province de Chine</v>
      </c>
      <c r="C296">
        <v>73125000</v>
      </c>
      <c r="D296">
        <v>325000</v>
      </c>
    </row>
    <row r="297" spans="1:4" x14ac:dyDescent="0.25">
      <c r="A297" t="str">
        <f>T("   US")</f>
        <v xml:space="preserve">   US</v>
      </c>
      <c r="B297" t="str">
        <f>T("   Etats-Unis")</f>
        <v xml:space="preserve">   Etats-Unis</v>
      </c>
      <c r="C297">
        <v>11250000</v>
      </c>
      <c r="D297">
        <v>48000</v>
      </c>
    </row>
    <row r="298" spans="1:4" x14ac:dyDescent="0.25">
      <c r="A298" t="str">
        <f>T("   UY")</f>
        <v xml:space="preserve">   UY</v>
      </c>
      <c r="B298" t="str">
        <f>T("   Uruguay")</f>
        <v xml:space="preserve">   Uruguay</v>
      </c>
      <c r="C298">
        <v>18899520</v>
      </c>
      <c r="D298">
        <v>84000</v>
      </c>
    </row>
    <row r="299" spans="1:4" x14ac:dyDescent="0.25">
      <c r="A299" t="str">
        <f>T("   ZA")</f>
        <v xml:space="preserve">   ZA</v>
      </c>
      <c r="B299" t="str">
        <f>T("   Afrique du Sud")</f>
        <v xml:space="preserve">   Afrique du Sud</v>
      </c>
      <c r="C299">
        <v>239332500</v>
      </c>
      <c r="D299">
        <v>1063700</v>
      </c>
    </row>
    <row r="300" spans="1:4" x14ac:dyDescent="0.25">
      <c r="A300" t="str">
        <f>T("030420")</f>
        <v>030420</v>
      </c>
      <c r="B300" t="str">
        <f>T("Filets de poissons, congelés")</f>
        <v>Filets de poissons, congelés</v>
      </c>
    </row>
    <row r="301" spans="1:4" x14ac:dyDescent="0.25">
      <c r="A301" t="str">
        <f>T("   ZZZ_Monde")</f>
        <v xml:space="preserve">   ZZZ_Monde</v>
      </c>
      <c r="B301" t="str">
        <f>T("   ZZZ_Monde")</f>
        <v xml:space="preserve">   ZZZ_Monde</v>
      </c>
      <c r="C301">
        <v>4074169</v>
      </c>
      <c r="D301">
        <v>3948</v>
      </c>
    </row>
    <row r="302" spans="1:4" x14ac:dyDescent="0.25">
      <c r="A302" t="str">
        <f>T("   FR")</f>
        <v xml:space="preserve">   FR</v>
      </c>
      <c r="B302" t="str">
        <f>T("   France")</f>
        <v xml:space="preserve">   France</v>
      </c>
      <c r="C302">
        <v>4074169</v>
      </c>
      <c r="D302">
        <v>3948</v>
      </c>
    </row>
    <row r="303" spans="1:4" x14ac:dyDescent="0.25">
      <c r="A303" t="str">
        <f>T("030490")</f>
        <v>030490</v>
      </c>
      <c r="B303" t="str">
        <f>T("Chair de poissons (sauf filets), même hachée, congelée")</f>
        <v>Chair de poissons (sauf filets), même hachée, congelée</v>
      </c>
    </row>
    <row r="304" spans="1:4" x14ac:dyDescent="0.25">
      <c r="A304" t="str">
        <f>T("   ZZZ_Monde")</f>
        <v xml:space="preserve">   ZZZ_Monde</v>
      </c>
      <c r="B304" t="str">
        <f>T("   ZZZ_Monde")</f>
        <v xml:space="preserve">   ZZZ_Monde</v>
      </c>
      <c r="C304">
        <v>3025286</v>
      </c>
      <c r="D304">
        <v>1671</v>
      </c>
    </row>
    <row r="305" spans="1:4" x14ac:dyDescent="0.25">
      <c r="A305" t="str">
        <f>T("   FR")</f>
        <v xml:space="preserve">   FR</v>
      </c>
      <c r="B305" t="str">
        <f>T("   France")</f>
        <v xml:space="preserve">   France</v>
      </c>
      <c r="C305">
        <v>3025286</v>
      </c>
      <c r="D305">
        <v>1671</v>
      </c>
    </row>
    <row r="306" spans="1:4" x14ac:dyDescent="0.25">
      <c r="A306" t="str">
        <f>T("030530")</f>
        <v>030530</v>
      </c>
      <c r="B306" t="str">
        <f>T("FILETS DE POISSONS, SÉCHÉS, SALÉS OU EN SAUMURE, MAIS NON-FUMÉS")</f>
        <v>FILETS DE POISSONS, SÉCHÉS, SALÉS OU EN SAUMURE, MAIS NON-FUMÉS</v>
      </c>
    </row>
    <row r="307" spans="1:4" x14ac:dyDescent="0.25">
      <c r="A307" t="str">
        <f>T("   ZZZ_Monde")</f>
        <v xml:space="preserve">   ZZZ_Monde</v>
      </c>
      <c r="B307" t="str">
        <f>T("   ZZZ_Monde")</f>
        <v xml:space="preserve">   ZZZ_Monde</v>
      </c>
      <c r="C307">
        <v>363561</v>
      </c>
      <c r="D307">
        <v>181</v>
      </c>
    </row>
    <row r="308" spans="1:4" x14ac:dyDescent="0.25">
      <c r="A308" t="str">
        <f>T("   FR")</f>
        <v xml:space="preserve">   FR</v>
      </c>
      <c r="B308" t="str">
        <f>T("   France")</f>
        <v xml:space="preserve">   France</v>
      </c>
      <c r="C308">
        <v>363561</v>
      </c>
      <c r="D308">
        <v>181</v>
      </c>
    </row>
    <row r="309" spans="1:4" x14ac:dyDescent="0.25">
      <c r="A309" t="str">
        <f>T("030541")</f>
        <v>030541</v>
      </c>
      <c r="B309" t="str">
        <f>T("Filets de saumons du Pacifique [Oncorhynchus spp,], de saumons de l'Atlantique [Salmo salar] et de saumons du Danube [Hucho hucho], frais ou réfrigérés")</f>
        <v>Filets de saumons du Pacifique [Oncorhynchus spp,], de saumons de l'Atlantique [Salmo salar] et de saumons du Danube [Hucho hucho], frais ou réfrigérés</v>
      </c>
    </row>
    <row r="310" spans="1:4" x14ac:dyDescent="0.25">
      <c r="A310" t="str">
        <f>T("   ZZZ_Monde")</f>
        <v xml:space="preserve">   ZZZ_Monde</v>
      </c>
      <c r="B310" t="str">
        <f>T("   ZZZ_Monde")</f>
        <v xml:space="preserve">   ZZZ_Monde</v>
      </c>
      <c r="C310">
        <v>1324384</v>
      </c>
      <c r="D310">
        <v>1384</v>
      </c>
    </row>
    <row r="311" spans="1:4" x14ac:dyDescent="0.25">
      <c r="A311" t="str">
        <f>T("   FR")</f>
        <v xml:space="preserve">   FR</v>
      </c>
      <c r="B311" t="str">
        <f>T("   France")</f>
        <v xml:space="preserve">   France</v>
      </c>
      <c r="C311">
        <v>1324384</v>
      </c>
      <c r="D311">
        <v>1384</v>
      </c>
    </row>
    <row r="312" spans="1:4" x14ac:dyDescent="0.25">
      <c r="A312" t="str">
        <f>T("030559")</f>
        <v>030559</v>
      </c>
      <c r="B312" t="str">
        <f>T("POISSONS SÉCHÉS, MÊME SALÉS, MAIS NON-FUMÉS (À L'EXCL, DES MORUES ET DE TOUS LES FILETS DE POISSONS)")</f>
        <v>POISSONS SÉCHÉS, MÊME SALÉS, MAIS NON-FUMÉS (À L'EXCL, DES MORUES ET DE TOUS LES FILETS DE POISSONS)</v>
      </c>
    </row>
    <row r="313" spans="1:4" x14ac:dyDescent="0.25">
      <c r="A313" t="str">
        <f>T("   ZZZ_Monde")</f>
        <v xml:space="preserve">   ZZZ_Monde</v>
      </c>
      <c r="B313" t="str">
        <f>T("   ZZZ_Monde")</f>
        <v xml:space="preserve">   ZZZ_Monde</v>
      </c>
      <c r="C313">
        <v>621076</v>
      </c>
      <c r="D313">
        <v>13050</v>
      </c>
    </row>
    <row r="314" spans="1:4" x14ac:dyDescent="0.25">
      <c r="A314" t="str">
        <f>T("   FR")</f>
        <v xml:space="preserve">   FR</v>
      </c>
      <c r="B314" t="str">
        <f>T("   France")</f>
        <v xml:space="preserve">   France</v>
      </c>
      <c r="C314">
        <v>290000</v>
      </c>
      <c r="D314">
        <v>500</v>
      </c>
    </row>
    <row r="315" spans="1:4" x14ac:dyDescent="0.25">
      <c r="A315" t="str">
        <f>T("   SN")</f>
        <v xml:space="preserve">   SN</v>
      </c>
      <c r="B315" t="str">
        <f>T("   Sénégal")</f>
        <v xml:space="preserve">   Sénégal</v>
      </c>
      <c r="C315">
        <v>200000</v>
      </c>
      <c r="D315">
        <v>470</v>
      </c>
    </row>
    <row r="316" spans="1:4" x14ac:dyDescent="0.25">
      <c r="A316" t="str">
        <f>T("   TG")</f>
        <v xml:space="preserve">   TG</v>
      </c>
      <c r="B316" t="str">
        <f>T("   Togo")</f>
        <v xml:space="preserve">   Togo</v>
      </c>
      <c r="C316">
        <v>131076</v>
      </c>
      <c r="D316">
        <v>12080</v>
      </c>
    </row>
    <row r="317" spans="1:4" x14ac:dyDescent="0.25">
      <c r="A317" t="str">
        <f>T("030569")</f>
        <v>030569</v>
      </c>
      <c r="B317" t="str">
        <f>T("Poissons, uniquement salés ou en saumure (à l'excl, des harengs, des morues, des anchois ainsi que de tous les filets de poissons)")</f>
        <v>Poissons, uniquement salés ou en saumure (à l'excl, des harengs, des morues, des anchois ainsi que de tous les filets de poissons)</v>
      </c>
    </row>
    <row r="318" spans="1:4" x14ac:dyDescent="0.25">
      <c r="A318" t="str">
        <f>T("   ZZZ_Monde")</f>
        <v xml:space="preserve">   ZZZ_Monde</v>
      </c>
      <c r="B318" t="str">
        <f>T("   ZZZ_Monde")</f>
        <v xml:space="preserve">   ZZZ_Monde</v>
      </c>
      <c r="C318">
        <v>2411309</v>
      </c>
      <c r="D318">
        <v>2086</v>
      </c>
    </row>
    <row r="319" spans="1:4" x14ac:dyDescent="0.25">
      <c r="A319" t="str">
        <f>T("   FR")</f>
        <v xml:space="preserve">   FR</v>
      </c>
      <c r="B319" t="str">
        <f>T("   France")</f>
        <v xml:space="preserve">   France</v>
      </c>
      <c r="C319">
        <v>2411309</v>
      </c>
      <c r="D319">
        <v>2086</v>
      </c>
    </row>
    <row r="320" spans="1:4" x14ac:dyDescent="0.25">
      <c r="A320" t="str">
        <f>T("030613")</f>
        <v>030613</v>
      </c>
      <c r="B320" t="str">
        <f>T("CREVETTES, MÊME DÉCORTIQUÉES, CONGELÉES, Y,C, LES CREVETTES NON-DÉCORTIQUÉES PRÉALABLEMENT CUITES À L'EAU OU À LA VAPEUR")</f>
        <v>CREVETTES, MÊME DÉCORTIQUÉES, CONGELÉES, Y,C, LES CREVETTES NON-DÉCORTIQUÉES PRÉALABLEMENT CUITES À L'EAU OU À LA VAPEUR</v>
      </c>
    </row>
    <row r="321" spans="1:4" x14ac:dyDescent="0.25">
      <c r="A321" t="str">
        <f>T("   ZZZ_Monde")</f>
        <v xml:space="preserve">   ZZZ_Monde</v>
      </c>
      <c r="B321" t="str">
        <f>T("   ZZZ_Monde")</f>
        <v xml:space="preserve">   ZZZ_Monde</v>
      </c>
      <c r="C321">
        <v>11301868</v>
      </c>
      <c r="D321">
        <v>24710</v>
      </c>
    </row>
    <row r="322" spans="1:4" x14ac:dyDescent="0.25">
      <c r="A322" t="str">
        <f>T("   FR")</f>
        <v xml:space="preserve">   FR</v>
      </c>
      <c r="B322" t="str">
        <f>T("   France")</f>
        <v xml:space="preserve">   France</v>
      </c>
      <c r="C322">
        <v>501154</v>
      </c>
      <c r="D322">
        <v>710</v>
      </c>
    </row>
    <row r="323" spans="1:4" x14ac:dyDescent="0.25">
      <c r="A323" t="str">
        <f>T("   GB")</f>
        <v xml:space="preserve">   GB</v>
      </c>
      <c r="B323" t="str">
        <f>T("   Royaume-Uni")</f>
        <v xml:space="preserve">   Royaume-Uni</v>
      </c>
      <c r="C323">
        <v>10800714</v>
      </c>
      <c r="D323">
        <v>24000</v>
      </c>
    </row>
    <row r="324" spans="1:4" x14ac:dyDescent="0.25">
      <c r="A324" t="str">
        <f>T("030619")</f>
        <v>030619</v>
      </c>
      <c r="B324" t="str">
        <f>T("CRUSTACÉS, COMESTIBLES, MÊME DÉCORTIQUÉS, CONGELÉS, Y,C, LES CRUSTACÉS NON-DÉCORTIQUÉS PRÉALABLEMENT CUITS À L'EAU OU À LA VAPEUR (À L'EXCL, DES LANGOUSTES, DES HOMARDS, DES CREVETTES OU DES CRABES); FARINES, POUDRES ET AGGLOMÉRÉS SOUS FORME DE PELLETS DE")</f>
        <v>CRUSTACÉS, COMESTIBLES, MÊME DÉCORTIQUÉS, CONGELÉS, Y,C, LES CRUSTACÉS NON-DÉCORTIQUÉS PRÉALABLEMENT CUITS À L'EAU OU À LA VAPEUR (À L'EXCL, DES LANGOUSTES, DES HOMARDS, DES CREVETTES OU DES CRABES); FARINES, POUDRES ET AGGLOMÉRÉS SOUS FORME DE PELLETS DE</v>
      </c>
    </row>
    <row r="325" spans="1:4" x14ac:dyDescent="0.25">
      <c r="A325" t="str">
        <f>T("   ZZZ_Monde")</f>
        <v xml:space="preserve">   ZZZ_Monde</v>
      </c>
      <c r="B325" t="str">
        <f>T("   ZZZ_Monde")</f>
        <v xml:space="preserve">   ZZZ_Monde</v>
      </c>
      <c r="C325">
        <v>1290273</v>
      </c>
      <c r="D325">
        <v>1494</v>
      </c>
    </row>
    <row r="326" spans="1:4" x14ac:dyDescent="0.25">
      <c r="A326" t="str">
        <f>T("   FR")</f>
        <v xml:space="preserve">   FR</v>
      </c>
      <c r="B326" t="str">
        <f>T("   France")</f>
        <v xml:space="preserve">   France</v>
      </c>
      <c r="C326">
        <v>1290273</v>
      </c>
      <c r="D326">
        <v>1494</v>
      </c>
    </row>
    <row r="327" spans="1:4" x14ac:dyDescent="0.25">
      <c r="A327" t="str">
        <f>T("030623")</f>
        <v>030623</v>
      </c>
      <c r="B327" t="str">
        <f>T("CREVETTES, MÊME DÉCORTIQUÉES, VIVANTES, FRAÎCHES, RÉFRIGÉRÉES, SÉCHÉES, SALÉES OU EN SAUMURE, Y,C, LES CREVETTES NON-DÉCORTIQUÉES PRÉALABLEMENT CUITES À L'EAU OU À LA VAPEUR")</f>
        <v>CREVETTES, MÊME DÉCORTIQUÉES, VIVANTES, FRAÎCHES, RÉFRIGÉRÉES, SÉCHÉES, SALÉES OU EN SAUMURE, Y,C, LES CREVETTES NON-DÉCORTIQUÉES PRÉALABLEMENT CUITES À L'EAU OU À LA VAPEUR</v>
      </c>
    </row>
    <row r="328" spans="1:4" x14ac:dyDescent="0.25">
      <c r="A328" t="str">
        <f>T("   ZZZ_Monde")</f>
        <v xml:space="preserve">   ZZZ_Monde</v>
      </c>
      <c r="B328" t="str">
        <f>T("   ZZZ_Monde")</f>
        <v xml:space="preserve">   ZZZ_Monde</v>
      </c>
      <c r="C328">
        <v>1034094</v>
      </c>
      <c r="D328">
        <v>2818</v>
      </c>
    </row>
    <row r="329" spans="1:4" x14ac:dyDescent="0.25">
      <c r="A329" t="str">
        <f>T("   FR")</f>
        <v xml:space="preserve">   FR</v>
      </c>
      <c r="B329" t="str">
        <f>T("   France")</f>
        <v xml:space="preserve">   France</v>
      </c>
      <c r="C329">
        <v>138408</v>
      </c>
      <c r="D329">
        <v>228</v>
      </c>
    </row>
    <row r="330" spans="1:4" x14ac:dyDescent="0.25">
      <c r="A330" t="str">
        <f>T("   TG")</f>
        <v xml:space="preserve">   TG</v>
      </c>
      <c r="B330" t="str">
        <f>T("   Togo")</f>
        <v xml:space="preserve">   Togo</v>
      </c>
      <c r="C330">
        <v>895686</v>
      </c>
      <c r="D330">
        <v>2590</v>
      </c>
    </row>
    <row r="331" spans="1:4" x14ac:dyDescent="0.25">
      <c r="A331" t="str">
        <f>T("030710")</f>
        <v>030710</v>
      </c>
      <c r="B331" t="str">
        <f>T("Huîtres, vivantes, fraîches, réfrigérées, congelées, séchées, salées ou en saumure")</f>
        <v>Huîtres, vivantes, fraîches, réfrigérées, congelées, séchées, salées ou en saumure</v>
      </c>
    </row>
    <row r="332" spans="1:4" x14ac:dyDescent="0.25">
      <c r="A332" t="str">
        <f>T("   ZZZ_Monde")</f>
        <v xml:space="preserve">   ZZZ_Monde</v>
      </c>
      <c r="B332" t="str">
        <f>T("   ZZZ_Monde")</f>
        <v xml:space="preserve">   ZZZ_Monde</v>
      </c>
      <c r="C332">
        <v>863427</v>
      </c>
      <c r="D332">
        <v>240</v>
      </c>
    </row>
    <row r="333" spans="1:4" x14ac:dyDescent="0.25">
      <c r="A333" t="str">
        <f>T("   FR")</f>
        <v xml:space="preserve">   FR</v>
      </c>
      <c r="B333" t="str">
        <f>T("   France")</f>
        <v xml:space="preserve">   France</v>
      </c>
      <c r="C333">
        <v>863427</v>
      </c>
      <c r="D333">
        <v>240</v>
      </c>
    </row>
    <row r="334" spans="1:4" x14ac:dyDescent="0.25">
      <c r="A334" t="str">
        <f>T("030739")</f>
        <v>030739</v>
      </c>
      <c r="B334" t="str">
        <f>T("Moules [Mytilus spp,, Perna spp,], même séparées de leur coquille, congelées, séchées, salées ou en saumure")</f>
        <v>Moules [Mytilus spp,, Perna spp,], même séparées de leur coquille, congelées, séchées, salées ou en saumure</v>
      </c>
    </row>
    <row r="335" spans="1:4" x14ac:dyDescent="0.25">
      <c r="A335" t="str">
        <f>T("   ZZZ_Monde")</f>
        <v xml:space="preserve">   ZZZ_Monde</v>
      </c>
      <c r="B335" t="str">
        <f>T("   ZZZ_Monde")</f>
        <v xml:space="preserve">   ZZZ_Monde</v>
      </c>
      <c r="C335">
        <v>1166955</v>
      </c>
      <c r="D335">
        <v>1975</v>
      </c>
    </row>
    <row r="336" spans="1:4" x14ac:dyDescent="0.25">
      <c r="A336" t="str">
        <f>T("   FR")</f>
        <v xml:space="preserve">   FR</v>
      </c>
      <c r="B336" t="str">
        <f>T("   France")</f>
        <v xml:space="preserve">   France</v>
      </c>
      <c r="C336">
        <v>1166955</v>
      </c>
      <c r="D336">
        <v>1975</v>
      </c>
    </row>
    <row r="337" spans="1:4" x14ac:dyDescent="0.25">
      <c r="A337" t="str">
        <f>T("040110")</f>
        <v>040110</v>
      </c>
      <c r="B337" t="str">
        <f>T("LAIT ET CRÈME DE LAIT, NON-CONCENTRÉS NI ADDITIONNÉS DE SUCRE OU D'AUTRES ÉDULCORANTS, D'UNE TENEUR EN POIDS DE MATIÈRES GRASSES &lt;= 1%")</f>
        <v>LAIT ET CRÈME DE LAIT, NON-CONCENTRÉS NI ADDITIONNÉS DE SUCRE OU D'AUTRES ÉDULCORANTS, D'UNE TENEUR EN POIDS DE MATIÈRES GRASSES &lt;= 1%</v>
      </c>
    </row>
    <row r="338" spans="1:4" x14ac:dyDescent="0.25">
      <c r="A338" t="str">
        <f>T("   ZZZ_Monde")</f>
        <v xml:space="preserve">   ZZZ_Monde</v>
      </c>
      <c r="B338" t="str">
        <f>T("   ZZZ_Monde")</f>
        <v xml:space="preserve">   ZZZ_Monde</v>
      </c>
      <c r="C338">
        <v>11515234</v>
      </c>
      <c r="D338">
        <v>39874</v>
      </c>
    </row>
    <row r="339" spans="1:4" x14ac:dyDescent="0.25">
      <c r="A339" t="str">
        <f>T("   BE")</f>
        <v xml:space="preserve">   BE</v>
      </c>
      <c r="B339" t="str">
        <f>T("   Belgique")</f>
        <v xml:space="preserve">   Belgique</v>
      </c>
      <c r="C339">
        <v>873739</v>
      </c>
      <c r="D339">
        <v>2569</v>
      </c>
    </row>
    <row r="340" spans="1:4" x14ac:dyDescent="0.25">
      <c r="A340" t="str">
        <f>T("   DE")</f>
        <v xml:space="preserve">   DE</v>
      </c>
      <c r="B340" t="str">
        <f>T("   Allemagne")</f>
        <v xml:space="preserve">   Allemagne</v>
      </c>
      <c r="C340">
        <v>170767</v>
      </c>
      <c r="D340">
        <v>620</v>
      </c>
    </row>
    <row r="341" spans="1:4" x14ac:dyDescent="0.25">
      <c r="A341" t="str">
        <f>T("   FR")</f>
        <v xml:space="preserve">   FR</v>
      </c>
      <c r="B341" t="str">
        <f>T("   France")</f>
        <v xml:space="preserve">   France</v>
      </c>
      <c r="C341">
        <v>9022728</v>
      </c>
      <c r="D341">
        <v>16840</v>
      </c>
    </row>
    <row r="342" spans="1:4" x14ac:dyDescent="0.25">
      <c r="A342" t="str">
        <f>T("   Z2")</f>
        <v xml:space="preserve">   Z2</v>
      </c>
      <c r="B342" t="str">
        <f>T("   Pays non défini")</f>
        <v xml:space="preserve">   Pays non défini</v>
      </c>
      <c r="C342">
        <v>1448000</v>
      </c>
      <c r="D342">
        <v>19845</v>
      </c>
    </row>
    <row r="343" spans="1:4" x14ac:dyDescent="0.25">
      <c r="A343" t="str">
        <f>T("040120")</f>
        <v>040120</v>
      </c>
      <c r="B343" t="str">
        <f>T("LAIT ET CRÈME DE LAIT, NON-CONCENTRÉS NI ADDITIONNÉS DE SUCRE OU D'AUTRES ÉDULCORANTS, D'UNE TENEUR EN POIDS DE MATIÈRES GRASSES &gt; 1% MAIS &lt;= 6%")</f>
        <v>LAIT ET CRÈME DE LAIT, NON-CONCENTRÉS NI ADDITIONNÉS DE SUCRE OU D'AUTRES ÉDULCORANTS, D'UNE TENEUR EN POIDS DE MATIÈRES GRASSES &gt; 1% MAIS &lt;= 6%</v>
      </c>
    </row>
    <row r="344" spans="1:4" x14ac:dyDescent="0.25">
      <c r="A344" t="str">
        <f>T("   ZZZ_Monde")</f>
        <v xml:space="preserve">   ZZZ_Monde</v>
      </c>
      <c r="B344" t="str">
        <f>T("   ZZZ_Monde")</f>
        <v xml:space="preserve">   ZZZ_Monde</v>
      </c>
      <c r="C344">
        <v>277041610</v>
      </c>
      <c r="D344">
        <v>591764</v>
      </c>
    </row>
    <row r="345" spans="1:4" x14ac:dyDescent="0.25">
      <c r="A345" t="str">
        <f>T("   BE")</f>
        <v xml:space="preserve">   BE</v>
      </c>
      <c r="B345" t="str">
        <f>T("   Belgique")</f>
        <v xml:space="preserve">   Belgique</v>
      </c>
      <c r="C345">
        <v>17752902</v>
      </c>
      <c r="D345">
        <v>34219</v>
      </c>
    </row>
    <row r="346" spans="1:4" x14ac:dyDescent="0.25">
      <c r="A346" t="str">
        <f>T("   DE")</f>
        <v xml:space="preserve">   DE</v>
      </c>
      <c r="B346" t="str">
        <f>T("   Allemagne")</f>
        <v xml:space="preserve">   Allemagne</v>
      </c>
      <c r="C346">
        <v>39155334</v>
      </c>
      <c r="D346">
        <v>83511</v>
      </c>
    </row>
    <row r="347" spans="1:4" x14ac:dyDescent="0.25">
      <c r="A347" t="str">
        <f>T("   FR")</f>
        <v xml:space="preserve">   FR</v>
      </c>
      <c r="B347" t="str">
        <f>T("   France")</f>
        <v xml:space="preserve">   France</v>
      </c>
      <c r="C347">
        <v>220133374</v>
      </c>
      <c r="D347">
        <v>474034</v>
      </c>
    </row>
    <row r="348" spans="1:4" x14ac:dyDescent="0.25">
      <c r="A348" t="str">
        <f>T("040130")</f>
        <v>040130</v>
      </c>
      <c r="B348" t="str">
        <f>T("LAIT ET CRÈME DE LAIT, NON-CONCENTRÉS NI ADDITIONNÉS DE SUCRE OU D'AUTRES ÉDULCORANTS, D'UNE TENEUR EN POIDS DE MATIÈRES GRASSES &gt; 6%")</f>
        <v>LAIT ET CRÈME DE LAIT, NON-CONCENTRÉS NI ADDITIONNÉS DE SUCRE OU D'AUTRES ÉDULCORANTS, D'UNE TENEUR EN POIDS DE MATIÈRES GRASSES &gt; 6%</v>
      </c>
    </row>
    <row r="349" spans="1:4" x14ac:dyDescent="0.25">
      <c r="A349" t="str">
        <f>T("   ZZZ_Monde")</f>
        <v xml:space="preserve">   ZZZ_Monde</v>
      </c>
      <c r="B349" t="str">
        <f>T("   ZZZ_Monde")</f>
        <v xml:space="preserve">   ZZZ_Monde</v>
      </c>
      <c r="C349">
        <v>105781214</v>
      </c>
      <c r="D349">
        <v>192768.14</v>
      </c>
    </row>
    <row r="350" spans="1:4" x14ac:dyDescent="0.25">
      <c r="A350" t="str">
        <f>T("   FR")</f>
        <v xml:space="preserve">   FR</v>
      </c>
      <c r="B350" t="str">
        <f>T("   France")</f>
        <v xml:space="preserve">   France</v>
      </c>
      <c r="C350">
        <v>105781214</v>
      </c>
      <c r="D350">
        <v>192768.14</v>
      </c>
    </row>
    <row r="351" spans="1:4" x14ac:dyDescent="0.25">
      <c r="A351" t="str">
        <f>T("040210")</f>
        <v>040210</v>
      </c>
      <c r="B351" t="str">
        <f>T("Lait et crème de lait, en poudre, en granulés ou sous d'autres formes solides, d'une teneur en poids de matières grasses &lt;= 1,5%")</f>
        <v>Lait et crème de lait, en poudre, en granulés ou sous d'autres formes solides, d'une teneur en poids de matières grasses &lt;= 1,5%</v>
      </c>
    </row>
    <row r="352" spans="1:4" x14ac:dyDescent="0.25">
      <c r="A352" t="str">
        <f>T("   ZZZ_Monde")</f>
        <v xml:space="preserve">   ZZZ_Monde</v>
      </c>
      <c r="B352" t="str">
        <f>T("   ZZZ_Monde")</f>
        <v xml:space="preserve">   ZZZ_Monde</v>
      </c>
      <c r="C352">
        <v>2001102218</v>
      </c>
      <c r="D352">
        <v>1121241</v>
      </c>
    </row>
    <row r="353" spans="1:4" x14ac:dyDescent="0.25">
      <c r="A353" t="str">
        <f>T("   AE")</f>
        <v xml:space="preserve">   AE</v>
      </c>
      <c r="B353" t="str">
        <f>T("   Emirats Arabes Unis")</f>
        <v xml:space="preserve">   Emirats Arabes Unis</v>
      </c>
      <c r="C353">
        <v>1000404</v>
      </c>
      <c r="D353">
        <v>1937</v>
      </c>
    </row>
    <row r="354" spans="1:4" x14ac:dyDescent="0.25">
      <c r="A354" t="str">
        <f>T("   BE")</f>
        <v xml:space="preserve">   BE</v>
      </c>
      <c r="B354" t="str">
        <f>T("   Belgique")</f>
        <v xml:space="preserve">   Belgique</v>
      </c>
      <c r="C354">
        <v>212056739</v>
      </c>
      <c r="D354">
        <v>105743</v>
      </c>
    </row>
    <row r="355" spans="1:4" x14ac:dyDescent="0.25">
      <c r="A355" t="str">
        <f>T("   CH")</f>
        <v xml:space="preserve">   CH</v>
      </c>
      <c r="B355" t="str">
        <f>T("   Suisse")</f>
        <v xml:space="preserve">   Suisse</v>
      </c>
      <c r="C355">
        <v>78903971</v>
      </c>
      <c r="D355">
        <v>27846</v>
      </c>
    </row>
    <row r="356" spans="1:4" x14ac:dyDescent="0.25">
      <c r="A356" t="str">
        <f>T("   CN")</f>
        <v xml:space="preserve">   CN</v>
      </c>
      <c r="B356" t="str">
        <f>T("   Chine")</f>
        <v xml:space="preserve">   Chine</v>
      </c>
      <c r="C356">
        <v>215574235</v>
      </c>
      <c r="D356">
        <v>167169</v>
      </c>
    </row>
    <row r="357" spans="1:4" x14ac:dyDescent="0.25">
      <c r="A357" t="str">
        <f>T("   FR")</f>
        <v xml:space="preserve">   FR</v>
      </c>
      <c r="B357" t="str">
        <f>T("   France")</f>
        <v xml:space="preserve">   France</v>
      </c>
      <c r="C357">
        <v>64518414</v>
      </c>
      <c r="D357">
        <v>44203</v>
      </c>
    </row>
    <row r="358" spans="1:4" x14ac:dyDescent="0.25">
      <c r="A358" t="str">
        <f>T("   GH")</f>
        <v xml:space="preserve">   GH</v>
      </c>
      <c r="B358" t="str">
        <f>T("   Ghana")</f>
        <v xml:space="preserve">   Ghana</v>
      </c>
      <c r="C358">
        <v>110804655</v>
      </c>
      <c r="D358">
        <v>42840</v>
      </c>
    </row>
    <row r="359" spans="1:4" x14ac:dyDescent="0.25">
      <c r="A359" t="str">
        <f>T("   HK")</f>
        <v xml:space="preserve">   HK</v>
      </c>
      <c r="B359" t="str">
        <f>T("   Hong-Kong")</f>
        <v xml:space="preserve">   Hong-Kong</v>
      </c>
      <c r="C359">
        <v>557754796</v>
      </c>
      <c r="D359">
        <v>267339</v>
      </c>
    </row>
    <row r="360" spans="1:4" x14ac:dyDescent="0.25">
      <c r="A360" t="str">
        <f>T("   IT")</f>
        <v xml:space="preserve">   IT</v>
      </c>
      <c r="B360" t="str">
        <f>T("   Italie")</f>
        <v xml:space="preserve">   Italie</v>
      </c>
      <c r="C360">
        <v>5097471</v>
      </c>
      <c r="D360">
        <v>226</v>
      </c>
    </row>
    <row r="361" spans="1:4" x14ac:dyDescent="0.25">
      <c r="A361" t="str">
        <f>T("   MY")</f>
        <v xml:space="preserve">   MY</v>
      </c>
      <c r="B361" t="str">
        <f>T("   Malaisie")</f>
        <v xml:space="preserve">   Malaisie</v>
      </c>
      <c r="C361">
        <v>312210041</v>
      </c>
      <c r="D361">
        <v>191350</v>
      </c>
    </row>
    <row r="362" spans="1:4" x14ac:dyDescent="0.25">
      <c r="A362" t="str">
        <f>T("   NG")</f>
        <v xml:space="preserve">   NG</v>
      </c>
      <c r="B362" t="str">
        <f>T("   Nigéria")</f>
        <v xml:space="preserve">   Nigéria</v>
      </c>
      <c r="C362">
        <v>55972961</v>
      </c>
      <c r="D362">
        <v>32793</v>
      </c>
    </row>
    <row r="363" spans="1:4" x14ac:dyDescent="0.25">
      <c r="A363" t="str">
        <f>T("   NL")</f>
        <v xml:space="preserve">   NL</v>
      </c>
      <c r="B363" t="str">
        <f>T("   Pays-bas")</f>
        <v xml:space="preserve">   Pays-bas</v>
      </c>
      <c r="C363">
        <v>72702260</v>
      </c>
      <c r="D363">
        <v>28639</v>
      </c>
    </row>
    <row r="364" spans="1:4" x14ac:dyDescent="0.25">
      <c r="A364" t="str">
        <f>T("   SG")</f>
        <v xml:space="preserve">   SG</v>
      </c>
      <c r="B364" t="str">
        <f>T("   Singapour")</f>
        <v xml:space="preserve">   Singapour</v>
      </c>
      <c r="C364">
        <v>30515422</v>
      </c>
      <c r="D364">
        <v>85912</v>
      </c>
    </row>
    <row r="365" spans="1:4" x14ac:dyDescent="0.25">
      <c r="A365" t="str">
        <f>T("   TG")</f>
        <v xml:space="preserve">   TG</v>
      </c>
      <c r="B365" t="str">
        <f>T("   Togo")</f>
        <v xml:space="preserve">   Togo</v>
      </c>
      <c r="C365">
        <v>283990849</v>
      </c>
      <c r="D365">
        <v>125244</v>
      </c>
    </row>
    <row r="366" spans="1:4" x14ac:dyDescent="0.25">
      <c r="A366" t="str">
        <f>T("040221")</f>
        <v>040221</v>
      </c>
      <c r="B366" t="str">
        <f>T("Lait et crème de lait, en poudre, en granulés ou sous d'autres formes solides, d'une teneur en poids de matières grasses &gt; 1,5%, sans addition de sucre ou d'autres édulcorants")</f>
        <v>Lait et crème de lait, en poudre, en granulés ou sous d'autres formes solides, d'une teneur en poids de matières grasses &gt; 1,5%, sans addition de sucre ou d'autres édulcorants</v>
      </c>
    </row>
    <row r="367" spans="1:4" x14ac:dyDescent="0.25">
      <c r="A367" t="str">
        <f>T("   ZZZ_Monde")</f>
        <v xml:space="preserve">   ZZZ_Monde</v>
      </c>
      <c r="B367" t="str">
        <f>T("   ZZZ_Monde")</f>
        <v xml:space="preserve">   ZZZ_Monde</v>
      </c>
      <c r="C367">
        <v>3695899008</v>
      </c>
      <c r="D367">
        <v>1549136.8</v>
      </c>
    </row>
    <row r="368" spans="1:4" x14ac:dyDescent="0.25">
      <c r="A368" t="str">
        <f>T("   BE")</f>
        <v xml:space="preserve">   BE</v>
      </c>
      <c r="B368" t="str">
        <f>T("   Belgique")</f>
        <v xml:space="preserve">   Belgique</v>
      </c>
      <c r="C368">
        <v>777202092</v>
      </c>
      <c r="D368">
        <v>348508</v>
      </c>
    </row>
    <row r="369" spans="1:4" x14ac:dyDescent="0.25">
      <c r="A369" t="str">
        <f>T("   DE")</f>
        <v xml:space="preserve">   DE</v>
      </c>
      <c r="B369" t="str">
        <f>T("   Allemagne")</f>
        <v xml:space="preserve">   Allemagne</v>
      </c>
      <c r="C369">
        <v>40000440</v>
      </c>
      <c r="D369">
        <v>8112</v>
      </c>
    </row>
    <row r="370" spans="1:4" x14ac:dyDescent="0.25">
      <c r="A370" t="str">
        <f>T("   FR")</f>
        <v xml:space="preserve">   FR</v>
      </c>
      <c r="B370" t="str">
        <f>T("   France")</f>
        <v xml:space="preserve">   France</v>
      </c>
      <c r="C370">
        <v>920218472</v>
      </c>
      <c r="D370">
        <v>460467</v>
      </c>
    </row>
    <row r="371" spans="1:4" x14ac:dyDescent="0.25">
      <c r="A371" t="str">
        <f>T("   GH")</f>
        <v xml:space="preserve">   GH</v>
      </c>
      <c r="B371" t="str">
        <f>T("   Ghana")</f>
        <v xml:space="preserve">   Ghana</v>
      </c>
      <c r="C371">
        <v>13921460</v>
      </c>
      <c r="D371">
        <v>4522</v>
      </c>
    </row>
    <row r="372" spans="1:4" x14ac:dyDescent="0.25">
      <c r="A372" t="str">
        <f>T("   IE")</f>
        <v xml:space="preserve">   IE</v>
      </c>
      <c r="B372" t="str">
        <f>T("   Irlande")</f>
        <v xml:space="preserve">   Irlande</v>
      </c>
      <c r="C372">
        <v>34985626</v>
      </c>
      <c r="D372">
        <v>18000</v>
      </c>
    </row>
    <row r="373" spans="1:4" x14ac:dyDescent="0.25">
      <c r="A373" t="str">
        <f>T("   MY")</f>
        <v xml:space="preserve">   MY</v>
      </c>
      <c r="B373" t="str">
        <f>T("   Malaisie")</f>
        <v xml:space="preserve">   Malaisie</v>
      </c>
      <c r="C373">
        <v>198260860</v>
      </c>
      <c r="D373">
        <v>100496</v>
      </c>
    </row>
    <row r="374" spans="1:4" x14ac:dyDescent="0.25">
      <c r="A374" t="str">
        <f>T("   NG")</f>
        <v xml:space="preserve">   NG</v>
      </c>
      <c r="B374" t="str">
        <f>T("   Nigéria")</f>
        <v xml:space="preserve">   Nigéria</v>
      </c>
      <c r="C374">
        <v>26670000</v>
      </c>
      <c r="D374">
        <v>5320</v>
      </c>
    </row>
    <row r="375" spans="1:4" x14ac:dyDescent="0.25">
      <c r="A375" t="str">
        <f>T("   NL")</f>
        <v xml:space="preserve">   NL</v>
      </c>
      <c r="B375" t="str">
        <f>T("   Pays-bas")</f>
        <v xml:space="preserve">   Pays-bas</v>
      </c>
      <c r="C375">
        <v>1494379221</v>
      </c>
      <c r="D375">
        <v>548990.80000000005</v>
      </c>
    </row>
    <row r="376" spans="1:4" x14ac:dyDescent="0.25">
      <c r="A376" t="str">
        <f>T("   TG")</f>
        <v xml:space="preserve">   TG</v>
      </c>
      <c r="B376" t="str">
        <f>T("   Togo")</f>
        <v xml:space="preserve">   Togo</v>
      </c>
      <c r="C376">
        <v>190260837</v>
      </c>
      <c r="D376">
        <v>54721</v>
      </c>
    </row>
    <row r="377" spans="1:4" x14ac:dyDescent="0.25">
      <c r="A377" t="str">
        <f>T("040229")</f>
        <v>040229</v>
      </c>
      <c r="B377" t="str">
        <f>T("Lait et crème de lait, en poudre, en granulés ou sous d'autres formes solides, d'une teneur en poids de matières grasses &gt; 1,5%, avec addition de sucre ou d'autres édulcorants")</f>
        <v>Lait et crème de lait, en poudre, en granulés ou sous d'autres formes solides, d'une teneur en poids de matières grasses &gt; 1,5%, avec addition de sucre ou d'autres édulcorants</v>
      </c>
    </row>
    <row r="378" spans="1:4" x14ac:dyDescent="0.25">
      <c r="A378" t="str">
        <f>T("   ZZZ_Monde")</f>
        <v xml:space="preserve">   ZZZ_Monde</v>
      </c>
      <c r="B378" t="str">
        <f>T("   ZZZ_Monde")</f>
        <v xml:space="preserve">   ZZZ_Monde</v>
      </c>
      <c r="C378">
        <v>511588085</v>
      </c>
      <c r="D378">
        <v>218365</v>
      </c>
    </row>
    <row r="379" spans="1:4" x14ac:dyDescent="0.25">
      <c r="A379" t="str">
        <f>T("   BE")</f>
        <v xml:space="preserve">   BE</v>
      </c>
      <c r="B379" t="str">
        <f>T("   Belgique")</f>
        <v xml:space="preserve">   Belgique</v>
      </c>
      <c r="C379">
        <v>104999517</v>
      </c>
      <c r="D379">
        <v>42932</v>
      </c>
    </row>
    <row r="380" spans="1:4" x14ac:dyDescent="0.25">
      <c r="A380" t="str">
        <f>T("   DE")</f>
        <v xml:space="preserve">   DE</v>
      </c>
      <c r="B380" t="str">
        <f>T("   Allemagne")</f>
        <v xml:space="preserve">   Allemagne</v>
      </c>
      <c r="C380">
        <v>702533</v>
      </c>
      <c r="D380">
        <v>379</v>
      </c>
    </row>
    <row r="381" spans="1:4" x14ac:dyDescent="0.25">
      <c r="A381" t="str">
        <f>T("   FR")</f>
        <v xml:space="preserve">   FR</v>
      </c>
      <c r="B381" t="str">
        <f>T("   France")</f>
        <v xml:space="preserve">   France</v>
      </c>
      <c r="C381">
        <v>60000005</v>
      </c>
      <c r="D381">
        <v>26312</v>
      </c>
    </row>
    <row r="382" spans="1:4" x14ac:dyDescent="0.25">
      <c r="A382" t="str">
        <f>T("   GB")</f>
        <v xml:space="preserve">   GB</v>
      </c>
      <c r="B382" t="str">
        <f>T("   Royaume-Uni")</f>
        <v xml:space="preserve">   Royaume-Uni</v>
      </c>
      <c r="C382">
        <v>42803</v>
      </c>
      <c r="D382">
        <v>2</v>
      </c>
    </row>
    <row r="383" spans="1:4" x14ac:dyDescent="0.25">
      <c r="A383" t="str">
        <f>T("   GH")</f>
        <v xml:space="preserve">   GH</v>
      </c>
      <c r="B383" t="str">
        <f>T("   Ghana")</f>
        <v xml:space="preserve">   Ghana</v>
      </c>
      <c r="C383">
        <v>68133166</v>
      </c>
      <c r="D383">
        <v>15109</v>
      </c>
    </row>
    <row r="384" spans="1:4" x14ac:dyDescent="0.25">
      <c r="A384" t="str">
        <f>T("   HK")</f>
        <v xml:space="preserve">   HK</v>
      </c>
      <c r="B384" t="str">
        <f>T("   Hong-Kong")</f>
        <v xml:space="preserve">   Hong-Kong</v>
      </c>
      <c r="C384">
        <v>87475000</v>
      </c>
      <c r="D384">
        <v>31297</v>
      </c>
    </row>
    <row r="385" spans="1:4" x14ac:dyDescent="0.25">
      <c r="A385" t="str">
        <f>T("   LB")</f>
        <v xml:space="preserve">   LB</v>
      </c>
      <c r="B385" t="str">
        <f>T("   Liban")</f>
        <v xml:space="preserve">   Liban</v>
      </c>
      <c r="C385">
        <v>38573661</v>
      </c>
      <c r="D385">
        <v>26292</v>
      </c>
    </row>
    <row r="386" spans="1:4" x14ac:dyDescent="0.25">
      <c r="A386" t="str">
        <f>T("   MY")</f>
        <v xml:space="preserve">   MY</v>
      </c>
      <c r="B386" t="str">
        <f>T("   Malaisie")</f>
        <v xml:space="preserve">   Malaisie</v>
      </c>
      <c r="C386">
        <v>81647230</v>
      </c>
      <c r="D386">
        <v>42930</v>
      </c>
    </row>
    <row r="387" spans="1:4" x14ac:dyDescent="0.25">
      <c r="A387" t="str">
        <f>T("   NL")</f>
        <v xml:space="preserve">   NL</v>
      </c>
      <c r="B387" t="str">
        <f>T("   Pays-bas")</f>
        <v xml:space="preserve">   Pays-bas</v>
      </c>
      <c r="C387">
        <v>70000000</v>
      </c>
      <c r="D387">
        <v>32512</v>
      </c>
    </row>
    <row r="388" spans="1:4" x14ac:dyDescent="0.25">
      <c r="A388" t="str">
        <f>T("   TG")</f>
        <v xml:space="preserve">   TG</v>
      </c>
      <c r="B388" t="str">
        <f>T("   Togo")</f>
        <v xml:space="preserve">   Togo</v>
      </c>
      <c r="C388">
        <v>14170</v>
      </c>
      <c r="D388">
        <v>600</v>
      </c>
    </row>
    <row r="389" spans="1:4" x14ac:dyDescent="0.25">
      <c r="A389" t="str">
        <f>T("040291")</f>
        <v>040291</v>
      </c>
      <c r="B389" t="str">
        <f>T("Lait et crème de lait, concentrés, sans addition de sucre ou d'autres édulcorants (à l'excl, des laits et crèmes de lait en poudre, en granulés ou sous d'autres formes solides)")</f>
        <v>Lait et crème de lait, concentrés, sans addition de sucre ou d'autres édulcorants (à l'excl, des laits et crèmes de lait en poudre, en granulés ou sous d'autres formes solides)</v>
      </c>
    </row>
    <row r="390" spans="1:4" x14ac:dyDescent="0.25">
      <c r="A390" t="str">
        <f>T("   ZZZ_Monde")</f>
        <v xml:space="preserve">   ZZZ_Monde</v>
      </c>
      <c r="B390" t="str">
        <f>T("   ZZZ_Monde")</f>
        <v xml:space="preserve">   ZZZ_Monde</v>
      </c>
      <c r="C390">
        <v>3539981069</v>
      </c>
      <c r="D390">
        <v>3624228.92</v>
      </c>
    </row>
    <row r="391" spans="1:4" x14ac:dyDescent="0.25">
      <c r="A391" t="str">
        <f>T("   BE")</f>
        <v xml:space="preserve">   BE</v>
      </c>
      <c r="B391" t="str">
        <f>T("   Belgique")</f>
        <v xml:space="preserve">   Belgique</v>
      </c>
      <c r="C391">
        <v>7487783</v>
      </c>
      <c r="D391">
        <v>9047</v>
      </c>
    </row>
    <row r="392" spans="1:4" x14ac:dyDescent="0.25">
      <c r="A392" t="str">
        <f>T("   BR")</f>
        <v xml:space="preserve">   BR</v>
      </c>
      <c r="B392" t="str">
        <f>T("   Brésil")</f>
        <v xml:space="preserve">   Brésil</v>
      </c>
      <c r="C392">
        <v>8439682</v>
      </c>
      <c r="D392">
        <v>18000</v>
      </c>
    </row>
    <row r="393" spans="1:4" x14ac:dyDescent="0.25">
      <c r="A393" t="str">
        <f>T("   CN")</f>
        <v xml:space="preserve">   CN</v>
      </c>
      <c r="B393" t="str">
        <f>T("   Chine")</f>
        <v xml:space="preserve">   Chine</v>
      </c>
      <c r="C393">
        <v>16850000</v>
      </c>
      <c r="D393">
        <v>25736</v>
      </c>
    </row>
    <row r="394" spans="1:4" x14ac:dyDescent="0.25">
      <c r="A394" t="str">
        <f>T("   DE")</f>
        <v xml:space="preserve">   DE</v>
      </c>
      <c r="B394" t="str">
        <f>T("   Allemagne")</f>
        <v xml:space="preserve">   Allemagne</v>
      </c>
      <c r="C394">
        <v>44280000</v>
      </c>
      <c r="D394">
        <v>58095.199999999997</v>
      </c>
    </row>
    <row r="395" spans="1:4" x14ac:dyDescent="0.25">
      <c r="A395" t="str">
        <f>T("   HK")</f>
        <v xml:space="preserve">   HK</v>
      </c>
      <c r="B395" t="str">
        <f>T("   Hong-Kong")</f>
        <v xml:space="preserve">   Hong-Kong</v>
      </c>
      <c r="C395">
        <v>59013000</v>
      </c>
      <c r="D395">
        <v>75448.800000000003</v>
      </c>
    </row>
    <row r="396" spans="1:4" x14ac:dyDescent="0.25">
      <c r="A396" t="str">
        <f>T("   MY")</f>
        <v xml:space="preserve">   MY</v>
      </c>
      <c r="B396" t="str">
        <f>T("   Malaisie")</f>
        <v xml:space="preserve">   Malaisie</v>
      </c>
      <c r="C396">
        <v>29504425</v>
      </c>
      <c r="D396">
        <v>48000</v>
      </c>
    </row>
    <row r="397" spans="1:4" x14ac:dyDescent="0.25">
      <c r="A397" t="str">
        <f>T("   NG")</f>
        <v xml:space="preserve">   NG</v>
      </c>
      <c r="B397" t="str">
        <f>T("   Nigéria")</f>
        <v xml:space="preserve">   Nigéria</v>
      </c>
      <c r="C397">
        <v>19869277</v>
      </c>
      <c r="D397">
        <v>5940</v>
      </c>
    </row>
    <row r="398" spans="1:4" x14ac:dyDescent="0.25">
      <c r="A398" t="str">
        <f>T("   NL")</f>
        <v xml:space="preserve">   NL</v>
      </c>
      <c r="B398" t="str">
        <f>T("   Pays-bas")</f>
        <v xml:space="preserve">   Pays-bas</v>
      </c>
      <c r="C398">
        <v>3306990322</v>
      </c>
      <c r="D398">
        <v>3286601.92</v>
      </c>
    </row>
    <row r="399" spans="1:4" x14ac:dyDescent="0.25">
      <c r="A399" t="str">
        <f>T("   SG")</f>
        <v xml:space="preserve">   SG</v>
      </c>
      <c r="B399" t="str">
        <f>T("   Singapour")</f>
        <v xml:space="preserve">   Singapour</v>
      </c>
      <c r="C399">
        <v>29504425</v>
      </c>
      <c r="D399">
        <v>48000</v>
      </c>
    </row>
    <row r="400" spans="1:4" x14ac:dyDescent="0.25">
      <c r="A400" t="str">
        <f>T("   TG")</f>
        <v xml:space="preserve">   TG</v>
      </c>
      <c r="B400" t="str">
        <f>T("   Togo")</f>
        <v xml:space="preserve">   Togo</v>
      </c>
      <c r="C400">
        <v>18042155</v>
      </c>
      <c r="D400">
        <v>49360</v>
      </c>
    </row>
    <row r="401" spans="1:4" x14ac:dyDescent="0.25">
      <c r="A401" t="str">
        <f>T("040299")</f>
        <v>040299</v>
      </c>
      <c r="B401" t="str">
        <f>T("Lait et crème de lait, concentrés, additionnés de sucre ou d'autres édulcorants (à l'excl, des laits et crèmes de lait en poudre, en granulés ou sous d'autres formes solides)")</f>
        <v>Lait et crème de lait, concentrés, additionnés de sucre ou d'autres édulcorants (à l'excl, des laits et crèmes de lait en poudre, en granulés ou sous d'autres formes solides)</v>
      </c>
    </row>
    <row r="402" spans="1:4" x14ac:dyDescent="0.25">
      <c r="A402" t="str">
        <f>T("   ZZZ_Monde")</f>
        <v xml:space="preserve">   ZZZ_Monde</v>
      </c>
      <c r="B402" t="str">
        <f>T("   ZZZ_Monde")</f>
        <v xml:space="preserve">   ZZZ_Monde</v>
      </c>
      <c r="C402">
        <v>1420979947</v>
      </c>
      <c r="D402">
        <v>2139157</v>
      </c>
    </row>
    <row r="403" spans="1:4" x14ac:dyDescent="0.25">
      <c r="A403" t="str">
        <f>T("   AE")</f>
        <v xml:space="preserve">   AE</v>
      </c>
      <c r="B403" t="str">
        <f>T("   Emirats Arabes Unis")</f>
        <v xml:space="preserve">   Emirats Arabes Unis</v>
      </c>
      <c r="C403">
        <v>124631</v>
      </c>
      <c r="D403">
        <v>324</v>
      </c>
    </row>
    <row r="404" spans="1:4" x14ac:dyDescent="0.25">
      <c r="A404" t="str">
        <f>T("   CH")</f>
        <v xml:space="preserve">   CH</v>
      </c>
      <c r="B404" t="str">
        <f>T("   Suisse")</f>
        <v xml:space="preserve">   Suisse</v>
      </c>
      <c r="C404">
        <v>71110656</v>
      </c>
      <c r="D404">
        <v>96000</v>
      </c>
    </row>
    <row r="405" spans="1:4" x14ac:dyDescent="0.25">
      <c r="A405" t="str">
        <f>T("   DE")</f>
        <v xml:space="preserve">   DE</v>
      </c>
      <c r="B405" t="str">
        <f>T("   Allemagne")</f>
        <v xml:space="preserve">   Allemagne</v>
      </c>
      <c r="C405">
        <v>33722903</v>
      </c>
      <c r="D405">
        <v>50920</v>
      </c>
    </row>
    <row r="406" spans="1:4" x14ac:dyDescent="0.25">
      <c r="A406" t="str">
        <f>T("   FR")</f>
        <v xml:space="preserve">   FR</v>
      </c>
      <c r="B406" t="str">
        <f>T("   France")</f>
        <v xml:space="preserve">   France</v>
      </c>
      <c r="C406">
        <v>208272609</v>
      </c>
      <c r="D406">
        <v>259240</v>
      </c>
    </row>
    <row r="407" spans="1:4" x14ac:dyDescent="0.25">
      <c r="A407" t="str">
        <f>T("   HK")</f>
        <v xml:space="preserve">   HK</v>
      </c>
      <c r="B407" t="str">
        <f>T("   Hong-Kong")</f>
        <v xml:space="preserve">   Hong-Kong</v>
      </c>
      <c r="C407">
        <v>181245000</v>
      </c>
      <c r="D407">
        <v>276082</v>
      </c>
    </row>
    <row r="408" spans="1:4" x14ac:dyDescent="0.25">
      <c r="A408" t="str">
        <f>T("   IT")</f>
        <v xml:space="preserve">   IT</v>
      </c>
      <c r="B408" t="str">
        <f>T("   Italie")</f>
        <v xml:space="preserve">   Italie</v>
      </c>
      <c r="C408">
        <v>386360</v>
      </c>
      <c r="D408">
        <v>2287</v>
      </c>
    </row>
    <row r="409" spans="1:4" x14ac:dyDescent="0.25">
      <c r="A409" t="str">
        <f>T("   LB")</f>
        <v xml:space="preserve">   LB</v>
      </c>
      <c r="B409" t="str">
        <f>T("   Liban")</f>
        <v xml:space="preserve">   Liban</v>
      </c>
      <c r="C409">
        <v>482432</v>
      </c>
      <c r="D409">
        <v>2214</v>
      </c>
    </row>
    <row r="410" spans="1:4" x14ac:dyDescent="0.25">
      <c r="A410" t="str">
        <f>T("   MY")</f>
        <v xml:space="preserve">   MY</v>
      </c>
      <c r="B410" t="str">
        <f>T("   Malaisie")</f>
        <v xml:space="preserve">   Malaisie</v>
      </c>
      <c r="C410">
        <v>818499072</v>
      </c>
      <c r="D410">
        <v>1237590</v>
      </c>
    </row>
    <row r="411" spans="1:4" x14ac:dyDescent="0.25">
      <c r="A411" t="str">
        <f>T("   SG")</f>
        <v xml:space="preserve">   SG</v>
      </c>
      <c r="B411" t="str">
        <f>T("   Singapour")</f>
        <v xml:space="preserve">   Singapour</v>
      </c>
      <c r="C411">
        <v>67420795</v>
      </c>
      <c r="D411">
        <v>106800</v>
      </c>
    </row>
    <row r="412" spans="1:4" x14ac:dyDescent="0.25">
      <c r="A412" t="str">
        <f>T("   TG")</f>
        <v xml:space="preserve">   TG</v>
      </c>
      <c r="B412" t="str">
        <f>T("   Togo")</f>
        <v xml:space="preserve">   Togo</v>
      </c>
      <c r="C412">
        <v>39715489</v>
      </c>
      <c r="D412">
        <v>107700</v>
      </c>
    </row>
    <row r="413" spans="1:4" x14ac:dyDescent="0.25">
      <c r="A413" t="str">
        <f>T("040310")</f>
        <v>040310</v>
      </c>
      <c r="B413" t="str">
        <f>T("Yoghourts, même additionnés de sucre ou d'autres édulcorants ou aromatisés ou additionnés de fruits ou de cacao")</f>
        <v>Yoghourts, même additionnés de sucre ou d'autres édulcorants ou aromatisés ou additionnés de fruits ou de cacao</v>
      </c>
    </row>
    <row r="414" spans="1:4" x14ac:dyDescent="0.25">
      <c r="A414" t="str">
        <f>T("   ZZZ_Monde")</f>
        <v xml:space="preserve">   ZZZ_Monde</v>
      </c>
      <c r="B414" t="str">
        <f>T("   ZZZ_Monde")</f>
        <v xml:space="preserve">   ZZZ_Monde</v>
      </c>
      <c r="C414">
        <v>614958815</v>
      </c>
      <c r="D414">
        <v>1010330.97</v>
      </c>
    </row>
    <row r="415" spans="1:4" x14ac:dyDescent="0.25">
      <c r="A415" t="str">
        <f>T("   ES")</f>
        <v xml:space="preserve">   ES</v>
      </c>
      <c r="B415" t="str">
        <f>T("   Espagne")</f>
        <v xml:space="preserve">   Espagne</v>
      </c>
      <c r="C415">
        <v>14174639</v>
      </c>
      <c r="D415">
        <v>22602</v>
      </c>
    </row>
    <row r="416" spans="1:4" x14ac:dyDescent="0.25">
      <c r="A416" t="str">
        <f>T("   FR")</f>
        <v xml:space="preserve">   FR</v>
      </c>
      <c r="B416" t="str">
        <f>T("   France")</f>
        <v xml:space="preserve">   France</v>
      </c>
      <c r="C416">
        <v>83603915</v>
      </c>
      <c r="D416">
        <v>110195.97</v>
      </c>
    </row>
    <row r="417" spans="1:4" x14ac:dyDescent="0.25">
      <c r="A417" t="str">
        <f>T("   PT")</f>
        <v xml:space="preserve">   PT</v>
      </c>
      <c r="B417" t="str">
        <f>T("   Portugal")</f>
        <v xml:space="preserve">   Portugal</v>
      </c>
      <c r="C417">
        <v>7137415</v>
      </c>
      <c r="D417">
        <v>8183</v>
      </c>
    </row>
    <row r="418" spans="1:4" x14ac:dyDescent="0.25">
      <c r="A418" t="str">
        <f>T("   TG")</f>
        <v xml:space="preserve">   TG</v>
      </c>
      <c r="B418" t="str">
        <f>T("   Togo")</f>
        <v xml:space="preserve">   Togo</v>
      </c>
      <c r="C418">
        <v>510042846</v>
      </c>
      <c r="D418">
        <v>869350</v>
      </c>
    </row>
    <row r="419" spans="1:4" x14ac:dyDescent="0.25">
      <c r="A419" t="str">
        <f>T("040390")</f>
        <v>040390</v>
      </c>
      <c r="B419" t="str">
        <f>T("Babeurre, lait et crème caillés, képhir et autres laits et crèmes fermentés ou acidifiés, même concentrés ou additionnés de sucre ou d'autres édulcorants ou aromatisés ou additionnés de fruits ou de cacao (à l'excl, des yoghourts)")</f>
        <v>Babeurre, lait et crème caillés, képhir et autres laits et crèmes fermentés ou acidifiés, même concentrés ou additionnés de sucre ou d'autres édulcorants ou aromatisés ou additionnés de fruits ou de cacao (à l'excl, des yoghourts)</v>
      </c>
    </row>
    <row r="420" spans="1:4" x14ac:dyDescent="0.25">
      <c r="A420" t="str">
        <f>T("   ZZZ_Monde")</f>
        <v xml:space="preserve">   ZZZ_Monde</v>
      </c>
      <c r="B420" t="str">
        <f>T("   ZZZ_Monde")</f>
        <v xml:space="preserve">   ZZZ_Monde</v>
      </c>
      <c r="C420">
        <v>328925972</v>
      </c>
      <c r="D420">
        <v>722448</v>
      </c>
    </row>
    <row r="421" spans="1:4" x14ac:dyDescent="0.25">
      <c r="A421" t="str">
        <f>T("   AE")</f>
        <v xml:space="preserve">   AE</v>
      </c>
      <c r="B421" t="str">
        <f>T("   Emirats Arabes Unis")</f>
        <v xml:space="preserve">   Emirats Arabes Unis</v>
      </c>
      <c r="C421">
        <v>13108049</v>
      </c>
      <c r="D421">
        <v>48000</v>
      </c>
    </row>
    <row r="422" spans="1:4" x14ac:dyDescent="0.25">
      <c r="A422" t="str">
        <f>T("   FR")</f>
        <v xml:space="preserve">   FR</v>
      </c>
      <c r="B422" t="str">
        <f>T("   France")</f>
        <v xml:space="preserve">   France</v>
      </c>
      <c r="C422">
        <v>13304654</v>
      </c>
      <c r="D422">
        <v>17179</v>
      </c>
    </row>
    <row r="423" spans="1:4" x14ac:dyDescent="0.25">
      <c r="A423" t="str">
        <f>T("   IT")</f>
        <v xml:space="preserve">   IT</v>
      </c>
      <c r="B423" t="str">
        <f>T("   Italie")</f>
        <v xml:space="preserve">   Italie</v>
      </c>
      <c r="C423">
        <v>16668600</v>
      </c>
      <c r="D423">
        <v>21780</v>
      </c>
    </row>
    <row r="424" spans="1:4" x14ac:dyDescent="0.25">
      <c r="A424" t="str">
        <f>T("   LB")</f>
        <v xml:space="preserve">   LB</v>
      </c>
      <c r="B424" t="str">
        <f>T("   Liban")</f>
        <v xml:space="preserve">   Liban</v>
      </c>
      <c r="C424">
        <v>328355</v>
      </c>
      <c r="D424">
        <v>874</v>
      </c>
    </row>
    <row r="425" spans="1:4" x14ac:dyDescent="0.25">
      <c r="A425" t="str">
        <f>T("   MY")</f>
        <v xml:space="preserve">   MY</v>
      </c>
      <c r="B425" t="str">
        <f>T("   Malaisie")</f>
        <v xml:space="preserve">   Malaisie</v>
      </c>
      <c r="C425">
        <v>52431965</v>
      </c>
      <c r="D425">
        <v>144000</v>
      </c>
    </row>
    <row r="426" spans="1:4" x14ac:dyDescent="0.25">
      <c r="A426" t="str">
        <f>T("   PE")</f>
        <v xml:space="preserve">   PE</v>
      </c>
      <c r="B426" t="str">
        <f>T("   Pérou")</f>
        <v xml:space="preserve">   Pérou</v>
      </c>
      <c r="C426">
        <v>5739650</v>
      </c>
      <c r="D426">
        <v>9880</v>
      </c>
    </row>
    <row r="427" spans="1:4" x14ac:dyDescent="0.25">
      <c r="A427" t="str">
        <f>T("   TG")</f>
        <v xml:space="preserve">   TG</v>
      </c>
      <c r="B427" t="str">
        <f>T("   Togo")</f>
        <v xml:space="preserve">   Togo</v>
      </c>
      <c r="C427">
        <v>227344699</v>
      </c>
      <c r="D427">
        <v>480735</v>
      </c>
    </row>
    <row r="428" spans="1:4" x14ac:dyDescent="0.25">
      <c r="A428" t="str">
        <f>T("040490")</f>
        <v>040490</v>
      </c>
      <c r="B428" t="str">
        <f>T("Produits consistant en composants naturels du lait, même additionnés de sucre ou d'autres édulcorants, n,d,a,")</f>
        <v>Produits consistant en composants naturels du lait, même additionnés de sucre ou d'autres édulcorants, n,d,a,</v>
      </c>
    </row>
    <row r="429" spans="1:4" x14ac:dyDescent="0.25">
      <c r="A429" t="str">
        <f>T("   ZZZ_Monde")</f>
        <v xml:space="preserve">   ZZZ_Monde</v>
      </c>
      <c r="B429" t="str">
        <f>T("   ZZZ_Monde")</f>
        <v xml:space="preserve">   ZZZ_Monde</v>
      </c>
      <c r="C429">
        <v>34953576</v>
      </c>
      <c r="D429">
        <v>96000</v>
      </c>
    </row>
    <row r="430" spans="1:4" x14ac:dyDescent="0.25">
      <c r="A430" t="str">
        <f>T("   MY")</f>
        <v xml:space="preserve">   MY</v>
      </c>
      <c r="B430" t="str">
        <f>T("   Malaisie")</f>
        <v xml:space="preserve">   Malaisie</v>
      </c>
      <c r="C430">
        <v>34953576</v>
      </c>
      <c r="D430">
        <v>96000</v>
      </c>
    </row>
    <row r="431" spans="1:4" x14ac:dyDescent="0.25">
      <c r="A431" t="str">
        <f>T("040510")</f>
        <v>040510</v>
      </c>
      <c r="B431" t="str">
        <f>T("Beurre (sauf beurre déshydraté et ghee)")</f>
        <v>Beurre (sauf beurre déshydraté et ghee)</v>
      </c>
    </row>
    <row r="432" spans="1:4" x14ac:dyDescent="0.25">
      <c r="A432" t="str">
        <f>T("   ZZZ_Monde")</f>
        <v xml:space="preserve">   ZZZ_Monde</v>
      </c>
      <c r="B432" t="str">
        <f>T("   ZZZ_Monde")</f>
        <v xml:space="preserve">   ZZZ_Monde</v>
      </c>
      <c r="C432">
        <v>275321641</v>
      </c>
      <c r="D432">
        <v>303471</v>
      </c>
    </row>
    <row r="433" spans="1:4" x14ac:dyDescent="0.25">
      <c r="A433" t="str">
        <f>T("   FR")</f>
        <v xml:space="preserve">   FR</v>
      </c>
      <c r="B433" t="str">
        <f>T("   France")</f>
        <v xml:space="preserve">   France</v>
      </c>
      <c r="C433">
        <v>250852058</v>
      </c>
      <c r="D433">
        <v>235297</v>
      </c>
    </row>
    <row r="434" spans="1:4" x14ac:dyDescent="0.25">
      <c r="A434" t="str">
        <f>T("   GB")</f>
        <v xml:space="preserve">   GB</v>
      </c>
      <c r="B434" t="str">
        <f>T("   Royaume-Uni")</f>
        <v xml:space="preserve">   Royaume-Uni</v>
      </c>
      <c r="C434">
        <v>234336</v>
      </c>
      <c r="D434">
        <v>236</v>
      </c>
    </row>
    <row r="435" spans="1:4" x14ac:dyDescent="0.25">
      <c r="A435" t="str">
        <f>T("   HK")</f>
        <v xml:space="preserve">   HK</v>
      </c>
      <c r="B435" t="str">
        <f>T("   Hong-Kong")</f>
        <v xml:space="preserve">   Hong-Kong</v>
      </c>
      <c r="C435">
        <v>4870000</v>
      </c>
      <c r="D435">
        <v>20618</v>
      </c>
    </row>
    <row r="436" spans="1:4" x14ac:dyDescent="0.25">
      <c r="A436" t="str">
        <f>T("   LB")</f>
        <v xml:space="preserve">   LB</v>
      </c>
      <c r="B436" t="str">
        <f>T("   Liban")</f>
        <v xml:space="preserve">   Liban</v>
      </c>
      <c r="C436">
        <v>827153</v>
      </c>
      <c r="D436">
        <v>3432</v>
      </c>
    </row>
    <row r="437" spans="1:4" x14ac:dyDescent="0.25">
      <c r="A437" t="str">
        <f>T("   NG")</f>
        <v xml:space="preserve">   NG</v>
      </c>
      <c r="B437" t="str">
        <f>T("   Nigéria")</f>
        <v xml:space="preserve">   Nigéria</v>
      </c>
      <c r="C437">
        <v>1851300</v>
      </c>
      <c r="D437">
        <v>2093</v>
      </c>
    </row>
    <row r="438" spans="1:4" x14ac:dyDescent="0.25">
      <c r="A438" t="str">
        <f>T("   SG")</f>
        <v xml:space="preserve">   SG</v>
      </c>
      <c r="B438" t="str">
        <f>T("   Singapour")</f>
        <v xml:space="preserve">   Singapour</v>
      </c>
      <c r="C438">
        <v>13870472</v>
      </c>
      <c r="D438">
        <v>20644</v>
      </c>
    </row>
    <row r="439" spans="1:4" x14ac:dyDescent="0.25">
      <c r="A439" t="str">
        <f>T("   TG")</f>
        <v xml:space="preserve">   TG</v>
      </c>
      <c r="B439" t="str">
        <f>T("   Togo")</f>
        <v xml:space="preserve">   Togo</v>
      </c>
      <c r="C439">
        <v>2816322</v>
      </c>
      <c r="D439">
        <v>21151</v>
      </c>
    </row>
    <row r="440" spans="1:4" x14ac:dyDescent="0.25">
      <c r="A440" t="str">
        <f>T("040520")</f>
        <v>040520</v>
      </c>
      <c r="B440" t="str">
        <f>T("Pâtes à tartiner laitières d'une teneur en matières grasses laitières &gt;= 39% mais &lt; 80% en poids")</f>
        <v>Pâtes à tartiner laitières d'une teneur en matières grasses laitières &gt;= 39% mais &lt; 80% en poids</v>
      </c>
    </row>
    <row r="441" spans="1:4" x14ac:dyDescent="0.25">
      <c r="A441" t="str">
        <f>T("   ZZZ_Monde")</f>
        <v xml:space="preserve">   ZZZ_Monde</v>
      </c>
      <c r="B441" t="str">
        <f>T("   ZZZ_Monde")</f>
        <v xml:space="preserve">   ZZZ_Monde</v>
      </c>
      <c r="C441">
        <v>1051728</v>
      </c>
      <c r="D441">
        <v>792</v>
      </c>
    </row>
    <row r="442" spans="1:4" x14ac:dyDescent="0.25">
      <c r="A442" t="str">
        <f>T("   FR")</f>
        <v xml:space="preserve">   FR</v>
      </c>
      <c r="B442" t="str">
        <f>T("   France")</f>
        <v xml:space="preserve">   France</v>
      </c>
      <c r="C442">
        <v>1051728</v>
      </c>
      <c r="D442">
        <v>792</v>
      </c>
    </row>
    <row r="443" spans="1:4" x14ac:dyDescent="0.25">
      <c r="A443" t="str">
        <f>T("040590")</f>
        <v>040590</v>
      </c>
      <c r="B443" t="str">
        <f>T("Matières grasses provenant du lait ainsi que beurre déshydraté et ghee (à l'excl, du beurre naturel, du beurre recombiné et du beurre de lactosérum)")</f>
        <v>Matières grasses provenant du lait ainsi que beurre déshydraté et ghee (à l'excl, du beurre naturel, du beurre recombiné et du beurre de lactosérum)</v>
      </c>
    </row>
    <row r="444" spans="1:4" x14ac:dyDescent="0.25">
      <c r="A444" t="str">
        <f>T("   ZZZ_Monde")</f>
        <v xml:space="preserve">   ZZZ_Monde</v>
      </c>
      <c r="B444" t="str">
        <f>T("   ZZZ_Monde")</f>
        <v xml:space="preserve">   ZZZ_Monde</v>
      </c>
      <c r="C444">
        <v>5090932</v>
      </c>
      <c r="D444">
        <v>20887</v>
      </c>
    </row>
    <row r="445" spans="1:4" x14ac:dyDescent="0.25">
      <c r="A445" t="str">
        <f>T("   FR")</f>
        <v xml:space="preserve">   FR</v>
      </c>
      <c r="B445" t="str">
        <f>T("   France")</f>
        <v xml:space="preserve">   France</v>
      </c>
      <c r="C445">
        <v>57757</v>
      </c>
      <c r="D445">
        <v>243</v>
      </c>
    </row>
    <row r="446" spans="1:4" x14ac:dyDescent="0.25">
      <c r="A446" t="str">
        <f>T("   ID")</f>
        <v xml:space="preserve">   ID</v>
      </c>
      <c r="B446" t="str">
        <f>T("   Indonésie")</f>
        <v xml:space="preserve">   Indonésie</v>
      </c>
      <c r="C446">
        <v>5033175</v>
      </c>
      <c r="D446">
        <v>20644</v>
      </c>
    </row>
    <row r="447" spans="1:4" x14ac:dyDescent="0.25">
      <c r="A447" t="str">
        <f>T("040610")</f>
        <v>040610</v>
      </c>
      <c r="B447" t="str">
        <f>T("FROMAGES FRAIS [NON-AFFINÉS], Y,C, LE FROMAGE DE LACTOSÉRUM, ET CAILLEBOTTE [01/01/1988-31/12/1991: FROMAGES FRAIS [NON AFFINES], Y,C, LE FROMAGE DE LACTOSERUM, NON FERMENTES, ET CAILLEBOTTE]")</f>
        <v>FROMAGES FRAIS [NON-AFFINÉS], Y,C, LE FROMAGE DE LACTOSÉRUM, ET CAILLEBOTTE [01/01/1988-31/12/1991: FROMAGES FRAIS [NON AFFINES], Y,C, LE FROMAGE DE LACTOSERUM, NON FERMENTES, ET CAILLEBOTTE]</v>
      </c>
    </row>
    <row r="448" spans="1:4" x14ac:dyDescent="0.25">
      <c r="A448" t="str">
        <f>T("   ZZZ_Monde")</f>
        <v xml:space="preserve">   ZZZ_Monde</v>
      </c>
      <c r="B448" t="str">
        <f>T("   ZZZ_Monde")</f>
        <v xml:space="preserve">   ZZZ_Monde</v>
      </c>
      <c r="C448">
        <v>8085559</v>
      </c>
      <c r="D448">
        <v>5229</v>
      </c>
    </row>
    <row r="449" spans="1:4" x14ac:dyDescent="0.25">
      <c r="A449" t="str">
        <f>T("   FR")</f>
        <v xml:space="preserve">   FR</v>
      </c>
      <c r="B449" t="str">
        <f>T("   France")</f>
        <v xml:space="preserve">   France</v>
      </c>
      <c r="C449">
        <v>8085559</v>
      </c>
      <c r="D449">
        <v>5229</v>
      </c>
    </row>
    <row r="450" spans="1:4" x14ac:dyDescent="0.25">
      <c r="A450" t="str">
        <f>T("040620")</f>
        <v>040620</v>
      </c>
      <c r="B450" t="str">
        <f>T("Fromages râpés ou en poudre, de tous types")</f>
        <v>Fromages râpés ou en poudre, de tous types</v>
      </c>
    </row>
    <row r="451" spans="1:4" x14ac:dyDescent="0.25">
      <c r="A451" t="str">
        <f>T("   ZZZ_Monde")</f>
        <v xml:space="preserve">   ZZZ_Monde</v>
      </c>
      <c r="B451" t="str">
        <f>T("   ZZZ_Monde")</f>
        <v xml:space="preserve">   ZZZ_Monde</v>
      </c>
      <c r="C451">
        <v>774847</v>
      </c>
      <c r="D451">
        <v>1954</v>
      </c>
    </row>
    <row r="452" spans="1:4" x14ac:dyDescent="0.25">
      <c r="A452" t="str">
        <f>T("   FR")</f>
        <v xml:space="preserve">   FR</v>
      </c>
      <c r="B452" t="str">
        <f>T("   France")</f>
        <v xml:space="preserve">   France</v>
      </c>
      <c r="C452">
        <v>274847</v>
      </c>
      <c r="D452">
        <v>554</v>
      </c>
    </row>
    <row r="453" spans="1:4" x14ac:dyDescent="0.25">
      <c r="A453" t="str">
        <f>T("   GH")</f>
        <v xml:space="preserve">   GH</v>
      </c>
      <c r="B453" t="str">
        <f>T("   Ghana")</f>
        <v xml:space="preserve">   Ghana</v>
      </c>
      <c r="C453">
        <v>500000</v>
      </c>
      <c r="D453">
        <v>1400</v>
      </c>
    </row>
    <row r="454" spans="1:4" x14ac:dyDescent="0.25">
      <c r="A454" t="str">
        <f>T("040630")</f>
        <v>040630</v>
      </c>
      <c r="B454" t="str">
        <f>T("Fromages fondus (à l'excl, des fromages râpés ou en poudre)")</f>
        <v>Fromages fondus (à l'excl, des fromages râpés ou en poudre)</v>
      </c>
    </row>
    <row r="455" spans="1:4" x14ac:dyDescent="0.25">
      <c r="A455" t="str">
        <f>T("   ZZZ_Monde")</f>
        <v xml:space="preserve">   ZZZ_Monde</v>
      </c>
      <c r="B455" t="str">
        <f>T("   ZZZ_Monde")</f>
        <v xml:space="preserve">   ZZZ_Monde</v>
      </c>
      <c r="C455">
        <v>76317302</v>
      </c>
      <c r="D455">
        <v>91463</v>
      </c>
    </row>
    <row r="456" spans="1:4" x14ac:dyDescent="0.25">
      <c r="A456" t="str">
        <f>T("   ES")</f>
        <v xml:space="preserve">   ES</v>
      </c>
      <c r="B456" t="str">
        <f>T("   Espagne")</f>
        <v xml:space="preserve">   Espagne</v>
      </c>
      <c r="C456">
        <v>10252654</v>
      </c>
      <c r="D456">
        <v>12655</v>
      </c>
    </row>
    <row r="457" spans="1:4" x14ac:dyDescent="0.25">
      <c r="A457" t="str">
        <f>T("   FR")</f>
        <v xml:space="preserve">   FR</v>
      </c>
      <c r="B457" t="str">
        <f>T("   France")</f>
        <v xml:space="preserve">   France</v>
      </c>
      <c r="C457">
        <v>63926582</v>
      </c>
      <c r="D457">
        <v>69675</v>
      </c>
    </row>
    <row r="458" spans="1:4" x14ac:dyDescent="0.25">
      <c r="A458" t="str">
        <f>T("   LB")</f>
        <v xml:space="preserve">   LB</v>
      </c>
      <c r="B458" t="str">
        <f>T("   Liban")</f>
        <v xml:space="preserve">   Liban</v>
      </c>
      <c r="C458">
        <v>298634</v>
      </c>
      <c r="D458">
        <v>973</v>
      </c>
    </row>
    <row r="459" spans="1:4" x14ac:dyDescent="0.25">
      <c r="A459" t="str">
        <f>T("   TG")</f>
        <v xml:space="preserve">   TG</v>
      </c>
      <c r="B459" t="str">
        <f>T("   Togo")</f>
        <v xml:space="preserve">   Togo</v>
      </c>
      <c r="C459">
        <v>1839432</v>
      </c>
      <c r="D459">
        <v>8160</v>
      </c>
    </row>
    <row r="460" spans="1:4" x14ac:dyDescent="0.25">
      <c r="A460" t="str">
        <f>T("040640")</f>
        <v>040640</v>
      </c>
      <c r="B460" t="str">
        <f>T("FROMAGES À PÂTE PERSILLÉE ET AUTRES FROMAGES PRÉSENTANT DES MARBRURES OBTENUES EN UTILISANT DU 'PENICILLIUM ROQUEFORTI'")</f>
        <v>FROMAGES À PÂTE PERSILLÉE ET AUTRES FROMAGES PRÉSENTANT DES MARBRURES OBTENUES EN UTILISANT DU 'PENICILLIUM ROQUEFORTI'</v>
      </c>
    </row>
    <row r="461" spans="1:4" x14ac:dyDescent="0.25">
      <c r="A461" t="str">
        <f>T("   ZZZ_Monde")</f>
        <v xml:space="preserve">   ZZZ_Monde</v>
      </c>
      <c r="B461" t="str">
        <f>T("   ZZZ_Monde")</f>
        <v xml:space="preserve">   ZZZ_Monde</v>
      </c>
      <c r="C461">
        <v>2631711</v>
      </c>
      <c r="D461">
        <v>1950</v>
      </c>
    </row>
    <row r="462" spans="1:4" x14ac:dyDescent="0.25">
      <c r="A462" t="str">
        <f>T("   FR")</f>
        <v xml:space="preserve">   FR</v>
      </c>
      <c r="B462" t="str">
        <f>T("   France")</f>
        <v xml:space="preserve">   France</v>
      </c>
      <c r="C462">
        <v>2631711</v>
      </c>
      <c r="D462">
        <v>1950</v>
      </c>
    </row>
    <row r="463" spans="1:4" x14ac:dyDescent="0.25">
      <c r="A463" t="str">
        <f>T("040690")</f>
        <v>040690</v>
      </c>
      <c r="B463" t="str">
        <f>T("FROMAGES (À L'EXCL, DES FROMAGES FRAIS [NON-AFFINÉS], Y,C, LE FROMAGE DE LACTOSÉRUM, DE LA CAILLEBOTTE, DES FROMAGES FONDUS, DES FROMAGES À PÂTE PERSILLÉE ET AUTRES FROMAGES PRÉSENTANT DES MARBRURES OBTENUES EN UTILISANT DU 'PENICILLIUM ROQUEFORTI' AINSI")</f>
        <v>FROMAGES (À L'EXCL, DES FROMAGES FRAIS [NON-AFFINÉS], Y,C, LE FROMAGE DE LACTOSÉRUM, DE LA CAILLEBOTTE, DES FROMAGES FONDUS, DES FROMAGES À PÂTE PERSILLÉE ET AUTRES FROMAGES PRÉSENTANT DES MARBRURES OBTENUES EN UTILISANT DU 'PENICILLIUM ROQUEFORTI' AINSI</v>
      </c>
    </row>
    <row r="464" spans="1:4" x14ac:dyDescent="0.25">
      <c r="A464" t="str">
        <f>T("   ZZZ_Monde")</f>
        <v xml:space="preserve">   ZZZ_Monde</v>
      </c>
      <c r="B464" t="str">
        <f>T("   ZZZ_Monde")</f>
        <v xml:space="preserve">   ZZZ_Monde</v>
      </c>
      <c r="C464">
        <v>186620020</v>
      </c>
      <c r="D464">
        <v>271695.78000000003</v>
      </c>
    </row>
    <row r="465" spans="1:4" x14ac:dyDescent="0.25">
      <c r="A465" t="str">
        <f>T("   AE")</f>
        <v xml:space="preserve">   AE</v>
      </c>
      <c r="B465" t="str">
        <f>T("   Emirats Arabes Unis")</f>
        <v xml:space="preserve">   Emirats Arabes Unis</v>
      </c>
      <c r="C465">
        <v>312057</v>
      </c>
      <c r="D465">
        <v>811</v>
      </c>
    </row>
    <row r="466" spans="1:4" x14ac:dyDescent="0.25">
      <c r="A466" t="str">
        <f>T("   ES")</f>
        <v xml:space="preserve">   ES</v>
      </c>
      <c r="B466" t="str">
        <f>T("   Espagne")</f>
        <v xml:space="preserve">   Espagne</v>
      </c>
      <c r="C466">
        <v>7435962</v>
      </c>
      <c r="D466">
        <v>7778</v>
      </c>
    </row>
    <row r="467" spans="1:4" x14ac:dyDescent="0.25">
      <c r="A467" t="str">
        <f>T("   FR")</f>
        <v xml:space="preserve">   FR</v>
      </c>
      <c r="B467" t="str">
        <f>T("   France")</f>
        <v xml:space="preserve">   France</v>
      </c>
      <c r="C467">
        <v>165181765</v>
      </c>
      <c r="D467">
        <v>220561.98</v>
      </c>
    </row>
    <row r="468" spans="1:4" x14ac:dyDescent="0.25">
      <c r="A468" t="str">
        <f>T("   LB")</f>
        <v xml:space="preserve">   LB</v>
      </c>
      <c r="B468" t="str">
        <f>T("   Liban")</f>
        <v xml:space="preserve">   Liban</v>
      </c>
      <c r="C468">
        <v>11847082</v>
      </c>
      <c r="D468">
        <v>30117.8</v>
      </c>
    </row>
    <row r="469" spans="1:4" x14ac:dyDescent="0.25">
      <c r="A469" t="str">
        <f>T("   TG")</f>
        <v xml:space="preserve">   TG</v>
      </c>
      <c r="B469" t="str">
        <f>T("   Togo")</f>
        <v xml:space="preserve">   Togo</v>
      </c>
      <c r="C469">
        <v>1609230</v>
      </c>
      <c r="D469">
        <v>12060</v>
      </c>
    </row>
    <row r="470" spans="1:4" x14ac:dyDescent="0.25">
      <c r="A470" t="str">
        <f>T("   US")</f>
        <v xml:space="preserve">   US</v>
      </c>
      <c r="B470" t="str">
        <f>T("   Etats-Unis")</f>
        <v xml:space="preserve">   Etats-Unis</v>
      </c>
      <c r="C470">
        <v>233924</v>
      </c>
      <c r="D470">
        <v>367</v>
      </c>
    </row>
    <row r="471" spans="1:4" x14ac:dyDescent="0.25">
      <c r="A471" t="str">
        <f>T("040700")</f>
        <v>040700</v>
      </c>
      <c r="B471" t="str">
        <f>T("Oeufs d'oiseaux, en coquilles, frais, conservés ou cuits")</f>
        <v>Oeufs d'oiseaux, en coquilles, frais, conservés ou cuits</v>
      </c>
    </row>
    <row r="472" spans="1:4" x14ac:dyDescent="0.25">
      <c r="A472" t="str">
        <f>T("   ZZZ_Monde")</f>
        <v xml:space="preserve">   ZZZ_Monde</v>
      </c>
      <c r="B472" t="str">
        <f>T("   ZZZ_Monde")</f>
        <v xml:space="preserve">   ZZZ_Monde</v>
      </c>
      <c r="C472">
        <v>12436068</v>
      </c>
      <c r="D472">
        <v>39381</v>
      </c>
    </row>
    <row r="473" spans="1:4" x14ac:dyDescent="0.25">
      <c r="A473" t="str">
        <f>T("   GH")</f>
        <v xml:space="preserve">   GH</v>
      </c>
      <c r="B473" t="str">
        <f>T("   Ghana")</f>
        <v xml:space="preserve">   Ghana</v>
      </c>
      <c r="C473">
        <v>9048034</v>
      </c>
      <c r="D473">
        <v>31405</v>
      </c>
    </row>
    <row r="474" spans="1:4" x14ac:dyDescent="0.25">
      <c r="A474" t="str">
        <f>T("   TG")</f>
        <v xml:space="preserve">   TG</v>
      </c>
      <c r="B474" t="str">
        <f>T("   Togo")</f>
        <v xml:space="preserve">   Togo</v>
      </c>
      <c r="C474">
        <v>3388034</v>
      </c>
      <c r="D474">
        <v>7976</v>
      </c>
    </row>
    <row r="475" spans="1:4" x14ac:dyDescent="0.25">
      <c r="A475" t="str">
        <f>T("040900")</f>
        <v>040900</v>
      </c>
      <c r="B475" t="str">
        <f>T("Miel naturel")</f>
        <v>Miel naturel</v>
      </c>
    </row>
    <row r="476" spans="1:4" x14ac:dyDescent="0.25">
      <c r="A476" t="str">
        <f>T("   ZZZ_Monde")</f>
        <v xml:space="preserve">   ZZZ_Monde</v>
      </c>
      <c r="B476" t="str">
        <f>T("   ZZZ_Monde")</f>
        <v xml:space="preserve">   ZZZ_Monde</v>
      </c>
      <c r="C476">
        <v>1550033</v>
      </c>
      <c r="D476">
        <v>2039</v>
      </c>
    </row>
    <row r="477" spans="1:4" x14ac:dyDescent="0.25">
      <c r="A477" t="str">
        <f>T("   FR")</f>
        <v xml:space="preserve">   FR</v>
      </c>
      <c r="B477" t="str">
        <f>T("   France")</f>
        <v xml:space="preserve">   France</v>
      </c>
      <c r="C477">
        <v>1550033</v>
      </c>
      <c r="D477">
        <v>2039</v>
      </c>
    </row>
    <row r="478" spans="1:4" x14ac:dyDescent="0.25">
      <c r="A478" t="str">
        <f>T("050400")</f>
        <v>050400</v>
      </c>
      <c r="B478" t="str">
        <f>T("Boyaux, vessies et estomacs d'animaux (autres que ceux de poissons), entiers ou en morceaux, à l'état frais, réfrigéré, congelé, salé ou en saumure, séché ou fumé")</f>
        <v>Boyaux, vessies et estomacs d'animaux (autres que ceux de poissons), entiers ou en morceaux, à l'état frais, réfrigéré, congelé, salé ou en saumure, séché ou fumé</v>
      </c>
    </row>
    <row r="479" spans="1:4" x14ac:dyDescent="0.25">
      <c r="A479" t="str">
        <f>T("   ZZZ_Monde")</f>
        <v xml:space="preserve">   ZZZ_Monde</v>
      </c>
      <c r="B479" t="str">
        <f>T("   ZZZ_Monde")</f>
        <v xml:space="preserve">   ZZZ_Monde</v>
      </c>
      <c r="C479">
        <v>5039251270</v>
      </c>
      <c r="D479">
        <v>4532465</v>
      </c>
    </row>
    <row r="480" spans="1:4" x14ac:dyDescent="0.25">
      <c r="A480" t="str">
        <f>T("   BE")</f>
        <v xml:space="preserve">   BE</v>
      </c>
      <c r="B480" t="str">
        <f>T("   Belgique")</f>
        <v xml:space="preserve">   Belgique</v>
      </c>
      <c r="C480">
        <v>376878980</v>
      </c>
      <c r="D480">
        <v>327850</v>
      </c>
    </row>
    <row r="481" spans="1:4" x14ac:dyDescent="0.25">
      <c r="A481" t="str">
        <f>T("   BR")</f>
        <v xml:space="preserve">   BR</v>
      </c>
      <c r="B481" t="str">
        <f>T("   Brésil")</f>
        <v xml:space="preserve">   Brésil</v>
      </c>
      <c r="C481">
        <v>1521672096</v>
      </c>
      <c r="D481">
        <v>1328396</v>
      </c>
    </row>
    <row r="482" spans="1:4" x14ac:dyDescent="0.25">
      <c r="A482" t="str">
        <f>T("   CA")</f>
        <v xml:space="preserve">   CA</v>
      </c>
      <c r="B482" t="str">
        <f>T("   Canada")</f>
        <v xml:space="preserve">   Canada</v>
      </c>
      <c r="C482">
        <v>191818431</v>
      </c>
      <c r="D482">
        <v>167512</v>
      </c>
    </row>
    <row r="483" spans="1:4" x14ac:dyDescent="0.25">
      <c r="A483" t="str">
        <f>T("   CL")</f>
        <v xml:space="preserve">   CL</v>
      </c>
      <c r="B483" t="str">
        <f>T("   Chili")</f>
        <v xml:space="preserve">   Chili</v>
      </c>
      <c r="C483">
        <v>60000000</v>
      </c>
      <c r="D483">
        <v>50000</v>
      </c>
    </row>
    <row r="484" spans="1:4" x14ac:dyDescent="0.25">
      <c r="A484" t="str">
        <f>T("   CZ")</f>
        <v xml:space="preserve">   CZ</v>
      </c>
      <c r="B484" t="str">
        <f>T("   Tchèque, République")</f>
        <v xml:space="preserve">   Tchèque, République</v>
      </c>
      <c r="C484">
        <v>9647204</v>
      </c>
      <c r="D484">
        <v>9000</v>
      </c>
    </row>
    <row r="485" spans="1:4" x14ac:dyDescent="0.25">
      <c r="A485" t="str">
        <f>T("   DE")</f>
        <v xml:space="preserve">   DE</v>
      </c>
      <c r="B485" t="str">
        <f>T("   Allemagne")</f>
        <v xml:space="preserve">   Allemagne</v>
      </c>
      <c r="C485">
        <v>121232229</v>
      </c>
      <c r="D485">
        <v>101026</v>
      </c>
    </row>
    <row r="486" spans="1:4" x14ac:dyDescent="0.25">
      <c r="A486" t="str">
        <f>T("   DK")</f>
        <v xml:space="preserve">   DK</v>
      </c>
      <c r="B486" t="str">
        <f>T("   Danemark")</f>
        <v xml:space="preserve">   Danemark</v>
      </c>
      <c r="C486">
        <v>77642892</v>
      </c>
      <c r="D486">
        <v>68590</v>
      </c>
    </row>
    <row r="487" spans="1:4" x14ac:dyDescent="0.25">
      <c r="A487" t="str">
        <f>T("   ES")</f>
        <v xml:space="preserve">   ES</v>
      </c>
      <c r="B487" t="str">
        <f>T("   Espagne")</f>
        <v xml:space="preserve">   Espagne</v>
      </c>
      <c r="C487">
        <v>170846599</v>
      </c>
      <c r="D487">
        <v>144370</v>
      </c>
    </row>
    <row r="488" spans="1:4" x14ac:dyDescent="0.25">
      <c r="A488" t="str">
        <f>T("   FR")</f>
        <v xml:space="preserve">   FR</v>
      </c>
      <c r="B488" t="str">
        <f>T("   France")</f>
        <v xml:space="preserve">   France</v>
      </c>
      <c r="C488">
        <v>961737713</v>
      </c>
      <c r="D488">
        <v>984114</v>
      </c>
    </row>
    <row r="489" spans="1:4" x14ac:dyDescent="0.25">
      <c r="A489" t="str">
        <f>T("   GB")</f>
        <v xml:space="preserve">   GB</v>
      </c>
      <c r="B489" t="str">
        <f>T("   Royaume-Uni")</f>
        <v xml:space="preserve">   Royaume-Uni</v>
      </c>
      <c r="C489">
        <v>81499532</v>
      </c>
      <c r="D489">
        <v>107786</v>
      </c>
    </row>
    <row r="490" spans="1:4" x14ac:dyDescent="0.25">
      <c r="A490" t="str">
        <f>T("   IL")</f>
        <v xml:space="preserve">   IL</v>
      </c>
      <c r="B490" t="str">
        <f>T("   Israël")</f>
        <v xml:space="preserve">   Israël</v>
      </c>
      <c r="C490">
        <v>2153635</v>
      </c>
      <c r="D490">
        <v>1795</v>
      </c>
    </row>
    <row r="491" spans="1:4" x14ac:dyDescent="0.25">
      <c r="A491" t="str">
        <f>T("   IT")</f>
        <v xml:space="preserve">   IT</v>
      </c>
      <c r="B491" t="str">
        <f>T("   Italie")</f>
        <v xml:space="preserve">   Italie</v>
      </c>
      <c r="C491">
        <v>29716813</v>
      </c>
      <c r="D491">
        <v>34298</v>
      </c>
    </row>
    <row r="492" spans="1:4" x14ac:dyDescent="0.25">
      <c r="A492" t="str">
        <f>T("   NL")</f>
        <v xml:space="preserve">   NL</v>
      </c>
      <c r="B492" t="str">
        <f>T("   Pays-bas")</f>
        <v xml:space="preserve">   Pays-bas</v>
      </c>
      <c r="C492">
        <v>186908911</v>
      </c>
      <c r="D492">
        <v>169849</v>
      </c>
    </row>
    <row r="493" spans="1:4" x14ac:dyDescent="0.25">
      <c r="A493" t="str">
        <f>T("   PL")</f>
        <v xml:space="preserve">   PL</v>
      </c>
      <c r="B493" t="str">
        <f>T("   Pologne")</f>
        <v xml:space="preserve">   Pologne</v>
      </c>
      <c r="C493">
        <v>17493168</v>
      </c>
      <c r="D493">
        <v>17998</v>
      </c>
    </row>
    <row r="494" spans="1:4" x14ac:dyDescent="0.25">
      <c r="A494" t="str">
        <f>T("   SC")</f>
        <v xml:space="preserve">   SC</v>
      </c>
      <c r="B494" t="str">
        <f>T("   Seychelles")</f>
        <v xml:space="preserve">   Seychelles</v>
      </c>
      <c r="C494">
        <v>60000000</v>
      </c>
      <c r="D494">
        <v>50000</v>
      </c>
    </row>
    <row r="495" spans="1:4" x14ac:dyDescent="0.25">
      <c r="A495" t="str">
        <f>T("   US")</f>
        <v xml:space="preserve">   US</v>
      </c>
      <c r="B495" t="str">
        <f>T("   Etats-Unis")</f>
        <v xml:space="preserve">   Etats-Unis</v>
      </c>
      <c r="C495">
        <v>1170003067</v>
      </c>
      <c r="D495">
        <v>969881</v>
      </c>
    </row>
    <row r="496" spans="1:4" x14ac:dyDescent="0.25">
      <c r="A496" t="str">
        <f>T("050690")</f>
        <v>050690</v>
      </c>
      <c r="B496" t="str">
        <f>T("Os et cornillons, bruts, dégraissés, dégélatinés ou simplement préparés, et poudres et déchets de ces matières (à l'excl, de l'osséine et des os acidulés ou découpés en forme)")</f>
        <v>Os et cornillons, bruts, dégraissés, dégélatinés ou simplement préparés, et poudres et déchets de ces matières (à l'excl, de l'osséine et des os acidulés ou découpés en forme)</v>
      </c>
    </row>
    <row r="497" spans="1:4" x14ac:dyDescent="0.25">
      <c r="A497" t="str">
        <f>T("   ZZZ_Monde")</f>
        <v xml:space="preserve">   ZZZ_Monde</v>
      </c>
      <c r="B497" t="str">
        <f>T("   ZZZ_Monde")</f>
        <v xml:space="preserve">   ZZZ_Monde</v>
      </c>
      <c r="C497">
        <v>336120</v>
      </c>
      <c r="D497">
        <v>30000</v>
      </c>
    </row>
    <row r="498" spans="1:4" x14ac:dyDescent="0.25">
      <c r="A498" t="str">
        <f>T("   NG")</f>
        <v xml:space="preserve">   NG</v>
      </c>
      <c r="B498" t="str">
        <f>T("   Nigéria")</f>
        <v xml:space="preserve">   Nigéria</v>
      </c>
      <c r="C498">
        <v>336120</v>
      </c>
      <c r="D498">
        <v>30000</v>
      </c>
    </row>
    <row r="499" spans="1:4" x14ac:dyDescent="0.25">
      <c r="A499" t="str">
        <f>T("051199")</f>
        <v>051199</v>
      </c>
      <c r="B499" t="str">
        <f>T("Produits d'origine animale, n,d,a,; animaux morts, impropres à l'alimentation humaine (à l'excl, des poissons, des crustacés, des mollusques ou autres invertébrés aquatiques)")</f>
        <v>Produits d'origine animale, n,d,a,; animaux morts, impropres à l'alimentation humaine (à l'excl, des poissons, des crustacés, des mollusques ou autres invertébrés aquatiques)</v>
      </c>
    </row>
    <row r="500" spans="1:4" x14ac:dyDescent="0.25">
      <c r="A500" t="str">
        <f>T("   ZZZ_Monde")</f>
        <v xml:space="preserve">   ZZZ_Monde</v>
      </c>
      <c r="B500" t="str">
        <f>T("   ZZZ_Monde")</f>
        <v xml:space="preserve">   ZZZ_Monde</v>
      </c>
      <c r="C500">
        <v>400000</v>
      </c>
      <c r="D500">
        <v>487</v>
      </c>
    </row>
    <row r="501" spans="1:4" x14ac:dyDescent="0.25">
      <c r="A501" t="str">
        <f>T("   FR")</f>
        <v xml:space="preserve">   FR</v>
      </c>
      <c r="B501" t="str">
        <f>T("   France")</f>
        <v xml:space="preserve">   France</v>
      </c>
      <c r="C501">
        <v>400000</v>
      </c>
      <c r="D501">
        <v>487</v>
      </c>
    </row>
    <row r="502" spans="1:4" x14ac:dyDescent="0.25">
      <c r="A502" t="str">
        <f>T("060290")</f>
        <v>060290</v>
      </c>
      <c r="B502" t="str">
        <f>T("PLANTES VIVANTES, Y,C, LEURS RACINES, ET BLANC DE CHAMPIGNONS (À L'EXCL, DES BULBES, OIGNONS, TUBERCULES, RACINES TUBÉREUSES, GRIFFES ET RHIZOMES - Y,C, LES PLANTS, PLANTES ET RACINES DE CHICORÉE -, DES BOUTURES NON-RACINÉES, DES GREFFONS, DES ARBRES, ARB")</f>
        <v>PLANTES VIVANTES, Y,C, LEURS RACINES, ET BLANC DE CHAMPIGNONS (À L'EXCL, DES BULBES, OIGNONS, TUBERCULES, RACINES TUBÉREUSES, GRIFFES ET RHIZOMES - Y,C, LES PLANTS, PLANTES ET RACINES DE CHICORÉE -, DES BOUTURES NON-RACINÉES, DES GREFFONS, DES ARBRES, ARB</v>
      </c>
    </row>
    <row r="503" spans="1:4" x14ac:dyDescent="0.25">
      <c r="A503" t="str">
        <f>T("   ZZZ_Monde")</f>
        <v xml:space="preserve">   ZZZ_Monde</v>
      </c>
      <c r="B503" t="str">
        <f>T("   ZZZ_Monde")</f>
        <v xml:space="preserve">   ZZZ_Monde</v>
      </c>
      <c r="C503">
        <v>1504250</v>
      </c>
      <c r="D503">
        <v>24860</v>
      </c>
    </row>
    <row r="504" spans="1:4" x14ac:dyDescent="0.25">
      <c r="A504" t="str">
        <f>T("   TG")</f>
        <v xml:space="preserve">   TG</v>
      </c>
      <c r="B504" t="str">
        <f>T("   Togo")</f>
        <v xml:space="preserve">   Togo</v>
      </c>
      <c r="C504">
        <v>1504250</v>
      </c>
      <c r="D504">
        <v>24860</v>
      </c>
    </row>
    <row r="505" spans="1:4" x14ac:dyDescent="0.25">
      <c r="A505" t="str">
        <f>T("060390")</f>
        <v>060390</v>
      </c>
      <c r="B505" t="str">
        <f>T("Fleurs et boutons de fleurs, coupés, pour bouquets ou pour ornements, séchés, blanchis, teints, imprégnés ou autrement préparés")</f>
        <v>Fleurs et boutons de fleurs, coupés, pour bouquets ou pour ornements, séchés, blanchis, teints, imprégnés ou autrement préparés</v>
      </c>
    </row>
    <row r="506" spans="1:4" x14ac:dyDescent="0.25">
      <c r="A506" t="str">
        <f>T("   ZZZ_Monde")</f>
        <v xml:space="preserve">   ZZZ_Monde</v>
      </c>
      <c r="B506" t="str">
        <f>T("   ZZZ_Monde")</f>
        <v xml:space="preserve">   ZZZ_Monde</v>
      </c>
      <c r="C506">
        <v>500000</v>
      </c>
      <c r="D506">
        <v>1700</v>
      </c>
    </row>
    <row r="507" spans="1:4" x14ac:dyDescent="0.25">
      <c r="A507" t="str">
        <f>T("   TG")</f>
        <v xml:space="preserve">   TG</v>
      </c>
      <c r="B507" t="str">
        <f>T("   Togo")</f>
        <v xml:space="preserve">   Togo</v>
      </c>
      <c r="C507">
        <v>500000</v>
      </c>
      <c r="D507">
        <v>1700</v>
      </c>
    </row>
    <row r="508" spans="1:4" x14ac:dyDescent="0.25">
      <c r="A508" t="str">
        <f>T("060410")</f>
        <v>060410</v>
      </c>
      <c r="B508" t="str">
        <f>T("Mousses et lichens, pour bouquets ou pour ornements, frais, séchés, blanchis, teints, imprégnés ou autrement préparés")</f>
        <v>Mousses et lichens, pour bouquets ou pour ornements, frais, séchés, blanchis, teints, imprégnés ou autrement préparés</v>
      </c>
    </row>
    <row r="509" spans="1:4" x14ac:dyDescent="0.25">
      <c r="A509" t="str">
        <f>T("   ZZZ_Monde")</f>
        <v xml:space="preserve">   ZZZ_Monde</v>
      </c>
      <c r="B509" t="str">
        <f>T("   ZZZ_Monde")</f>
        <v xml:space="preserve">   ZZZ_Monde</v>
      </c>
      <c r="C509">
        <v>21846</v>
      </c>
      <c r="D509">
        <v>30</v>
      </c>
    </row>
    <row r="510" spans="1:4" x14ac:dyDescent="0.25">
      <c r="A510" t="str">
        <f>T("   TG")</f>
        <v xml:space="preserve">   TG</v>
      </c>
      <c r="B510" t="str">
        <f>T("   Togo")</f>
        <v xml:space="preserve">   Togo</v>
      </c>
      <c r="C510">
        <v>21846</v>
      </c>
      <c r="D510">
        <v>30</v>
      </c>
    </row>
    <row r="511" spans="1:4" x14ac:dyDescent="0.25">
      <c r="A511" t="str">
        <f>T("070110")</f>
        <v>070110</v>
      </c>
      <c r="B511" t="str">
        <f>T("Pommes de terre de semence")</f>
        <v>Pommes de terre de semence</v>
      </c>
    </row>
    <row r="512" spans="1:4" x14ac:dyDescent="0.25">
      <c r="A512" t="str">
        <f>T("   ZZZ_Monde")</f>
        <v xml:space="preserve">   ZZZ_Monde</v>
      </c>
      <c r="B512" t="str">
        <f>T("   ZZZ_Monde")</f>
        <v xml:space="preserve">   ZZZ_Monde</v>
      </c>
      <c r="C512">
        <v>3482144</v>
      </c>
      <c r="D512">
        <v>21100</v>
      </c>
    </row>
    <row r="513" spans="1:4" x14ac:dyDescent="0.25">
      <c r="A513" t="str">
        <f>T("   FR")</f>
        <v xml:space="preserve">   FR</v>
      </c>
      <c r="B513" t="str">
        <f>T("   France")</f>
        <v xml:space="preserve">   France</v>
      </c>
      <c r="C513">
        <v>3482144</v>
      </c>
      <c r="D513">
        <v>21100</v>
      </c>
    </row>
    <row r="514" spans="1:4" x14ac:dyDescent="0.25">
      <c r="A514" t="str">
        <f>T("070190")</f>
        <v>070190</v>
      </c>
      <c r="B514" t="str">
        <f>T("Pommes de terre, à l'état frais ou réfrigéré (à l'excl, des pommes de terre de semence)")</f>
        <v>Pommes de terre, à l'état frais ou réfrigéré (à l'excl, des pommes de terre de semence)</v>
      </c>
    </row>
    <row r="515" spans="1:4" x14ac:dyDescent="0.25">
      <c r="A515" t="str">
        <f>T("   ZZZ_Monde")</f>
        <v xml:space="preserve">   ZZZ_Monde</v>
      </c>
      <c r="B515" t="str">
        <f>T("   ZZZ_Monde")</f>
        <v xml:space="preserve">   ZZZ_Monde</v>
      </c>
      <c r="C515">
        <v>146814994</v>
      </c>
      <c r="D515">
        <v>819281</v>
      </c>
    </row>
    <row r="516" spans="1:4" x14ac:dyDescent="0.25">
      <c r="A516" t="str">
        <f>T("   AE")</f>
        <v xml:space="preserve">   AE</v>
      </c>
      <c r="B516" t="str">
        <f>T("   Emirats Arabes Unis")</f>
        <v xml:space="preserve">   Emirats Arabes Unis</v>
      </c>
      <c r="C516">
        <v>300552</v>
      </c>
      <c r="D516">
        <v>817</v>
      </c>
    </row>
    <row r="517" spans="1:4" x14ac:dyDescent="0.25">
      <c r="A517" t="str">
        <f>T("   BE")</f>
        <v xml:space="preserve">   BE</v>
      </c>
      <c r="B517" t="str">
        <f>T("   Belgique")</f>
        <v xml:space="preserve">   Belgique</v>
      </c>
      <c r="C517">
        <v>26208560</v>
      </c>
      <c r="D517">
        <v>143335</v>
      </c>
    </row>
    <row r="518" spans="1:4" x14ac:dyDescent="0.25">
      <c r="A518" t="str">
        <f>T("   DE")</f>
        <v xml:space="preserve">   DE</v>
      </c>
      <c r="B518" t="str">
        <f>T("   Allemagne")</f>
        <v xml:space="preserve">   Allemagne</v>
      </c>
      <c r="C518">
        <v>7920061</v>
      </c>
      <c r="D518">
        <v>48000</v>
      </c>
    </row>
    <row r="519" spans="1:4" x14ac:dyDescent="0.25">
      <c r="A519" t="str">
        <f>T("   FR")</f>
        <v xml:space="preserve">   FR</v>
      </c>
      <c r="B519" t="str">
        <f>T("   France")</f>
        <v xml:space="preserve">   France</v>
      </c>
      <c r="C519">
        <v>45102664</v>
      </c>
      <c r="D519">
        <v>282298</v>
      </c>
    </row>
    <row r="520" spans="1:4" x14ac:dyDescent="0.25">
      <c r="A520" t="str">
        <f>T("   LB")</f>
        <v xml:space="preserve">   LB</v>
      </c>
      <c r="B520" t="str">
        <f>T("   Liban")</f>
        <v xml:space="preserve">   Liban</v>
      </c>
      <c r="C520">
        <v>10415255</v>
      </c>
      <c r="D520">
        <v>30871</v>
      </c>
    </row>
    <row r="521" spans="1:4" x14ac:dyDescent="0.25">
      <c r="A521" t="str">
        <f>T("   NG")</f>
        <v xml:space="preserve">   NG</v>
      </c>
      <c r="B521" t="str">
        <f>T("   Nigéria")</f>
        <v xml:space="preserve">   Nigéria</v>
      </c>
      <c r="C521">
        <v>1183625</v>
      </c>
      <c r="D521">
        <v>18210</v>
      </c>
    </row>
    <row r="522" spans="1:4" x14ac:dyDescent="0.25">
      <c r="A522" t="str">
        <f>T("   NL")</f>
        <v xml:space="preserve">   NL</v>
      </c>
      <c r="B522" t="str">
        <f>T("   Pays-bas")</f>
        <v xml:space="preserve">   Pays-bas</v>
      </c>
      <c r="C522">
        <v>49829037</v>
      </c>
      <c r="D522">
        <v>263000</v>
      </c>
    </row>
    <row r="523" spans="1:4" x14ac:dyDescent="0.25">
      <c r="A523" t="str">
        <f>T("   TG")</f>
        <v xml:space="preserve">   TG</v>
      </c>
      <c r="B523" t="str">
        <f>T("   Togo")</f>
        <v xml:space="preserve">   Togo</v>
      </c>
      <c r="C523">
        <v>87384</v>
      </c>
      <c r="D523">
        <v>3750</v>
      </c>
    </row>
    <row r="524" spans="1:4" x14ac:dyDescent="0.25">
      <c r="A524" t="str">
        <f>T("   ZA")</f>
        <v xml:space="preserve">   ZA</v>
      </c>
      <c r="B524" t="str">
        <f>T("   Afrique du Sud")</f>
        <v xml:space="preserve">   Afrique du Sud</v>
      </c>
      <c r="C524">
        <v>5767856</v>
      </c>
      <c r="D524">
        <v>29000</v>
      </c>
    </row>
    <row r="525" spans="1:4" x14ac:dyDescent="0.25">
      <c r="A525" t="str">
        <f>T("070200")</f>
        <v>070200</v>
      </c>
      <c r="B525" t="str">
        <f>T("Tomates, à l'état frais ou réfrigéré")</f>
        <v>Tomates, à l'état frais ou réfrigéré</v>
      </c>
    </row>
    <row r="526" spans="1:4" x14ac:dyDescent="0.25">
      <c r="A526" t="str">
        <f>T("   ZZZ_Monde")</f>
        <v xml:space="preserve">   ZZZ_Monde</v>
      </c>
      <c r="B526" t="str">
        <f>T("   ZZZ_Monde")</f>
        <v xml:space="preserve">   ZZZ_Monde</v>
      </c>
      <c r="C526">
        <v>632765</v>
      </c>
      <c r="D526">
        <v>48203</v>
      </c>
    </row>
    <row r="527" spans="1:4" x14ac:dyDescent="0.25">
      <c r="A527" t="str">
        <f>T("   FR")</f>
        <v xml:space="preserve">   FR</v>
      </c>
      <c r="B527" t="str">
        <f>T("   France")</f>
        <v xml:space="preserve">   France</v>
      </c>
      <c r="C527">
        <v>64769</v>
      </c>
      <c r="D527">
        <v>43</v>
      </c>
    </row>
    <row r="528" spans="1:4" x14ac:dyDescent="0.25">
      <c r="A528" t="str">
        <f>T("   TG")</f>
        <v xml:space="preserve">   TG</v>
      </c>
      <c r="B528" t="str">
        <f>T("   Togo")</f>
        <v xml:space="preserve">   Togo</v>
      </c>
      <c r="C528">
        <v>567996</v>
      </c>
      <c r="D528">
        <v>48160</v>
      </c>
    </row>
    <row r="529" spans="1:4" x14ac:dyDescent="0.25">
      <c r="A529" t="str">
        <f>T("070310")</f>
        <v>070310</v>
      </c>
      <c r="B529" t="str">
        <f>T("Oignons et échalotes, à l'état frais ou réfrigéré")</f>
        <v>Oignons et échalotes, à l'état frais ou réfrigéré</v>
      </c>
    </row>
    <row r="530" spans="1:4" x14ac:dyDescent="0.25">
      <c r="A530" t="str">
        <f>T("   ZZZ_Monde")</f>
        <v xml:space="preserve">   ZZZ_Monde</v>
      </c>
      <c r="B530" t="str">
        <f>T("   ZZZ_Monde")</f>
        <v xml:space="preserve">   ZZZ_Monde</v>
      </c>
      <c r="C530">
        <v>4394675</v>
      </c>
      <c r="D530">
        <v>28100</v>
      </c>
    </row>
    <row r="531" spans="1:4" x14ac:dyDescent="0.25">
      <c r="A531" t="str">
        <f>T("   ES")</f>
        <v xml:space="preserve">   ES</v>
      </c>
      <c r="B531" t="str">
        <f>T("   Espagne")</f>
        <v xml:space="preserve">   Espagne</v>
      </c>
      <c r="C531">
        <v>4350983</v>
      </c>
      <c r="D531">
        <v>27350</v>
      </c>
    </row>
    <row r="532" spans="1:4" x14ac:dyDescent="0.25">
      <c r="A532" t="str">
        <f>T("   TG")</f>
        <v xml:space="preserve">   TG</v>
      </c>
      <c r="B532" t="str">
        <f>T("   Togo")</f>
        <v xml:space="preserve">   Togo</v>
      </c>
      <c r="C532">
        <v>43692</v>
      </c>
      <c r="D532">
        <v>750</v>
      </c>
    </row>
    <row r="533" spans="1:4" x14ac:dyDescent="0.25">
      <c r="A533" t="str">
        <f>T("070320")</f>
        <v>070320</v>
      </c>
      <c r="B533" t="str">
        <f>T("Aulx, à l'état frais ou réfrigéré")</f>
        <v>Aulx, à l'état frais ou réfrigéré</v>
      </c>
    </row>
    <row r="534" spans="1:4" x14ac:dyDescent="0.25">
      <c r="A534" t="str">
        <f>T("   ZZZ_Monde")</f>
        <v xml:space="preserve">   ZZZ_Monde</v>
      </c>
      <c r="B534" t="str">
        <f>T("   ZZZ_Monde")</f>
        <v xml:space="preserve">   ZZZ_Monde</v>
      </c>
      <c r="C534">
        <v>60473657</v>
      </c>
      <c r="D534">
        <v>285657</v>
      </c>
    </row>
    <row r="535" spans="1:4" x14ac:dyDescent="0.25">
      <c r="A535" t="str">
        <f>T("   CN")</f>
        <v xml:space="preserve">   CN</v>
      </c>
      <c r="B535" t="str">
        <f>T("   Chine")</f>
        <v xml:space="preserve">   Chine</v>
      </c>
      <c r="C535">
        <v>59924677</v>
      </c>
      <c r="D535">
        <v>285300</v>
      </c>
    </row>
    <row r="536" spans="1:4" x14ac:dyDescent="0.25">
      <c r="A536" t="str">
        <f>T("   FR")</f>
        <v xml:space="preserve">   FR</v>
      </c>
      <c r="B536" t="str">
        <f>T("   France")</f>
        <v xml:space="preserve">   France</v>
      </c>
      <c r="C536">
        <v>483442</v>
      </c>
      <c r="D536">
        <v>207</v>
      </c>
    </row>
    <row r="537" spans="1:4" x14ac:dyDescent="0.25">
      <c r="A537" t="str">
        <f>T("   TG")</f>
        <v xml:space="preserve">   TG</v>
      </c>
      <c r="B537" t="str">
        <f>T("   Togo")</f>
        <v xml:space="preserve">   Togo</v>
      </c>
      <c r="C537">
        <v>65538</v>
      </c>
      <c r="D537">
        <v>150</v>
      </c>
    </row>
    <row r="538" spans="1:4" x14ac:dyDescent="0.25">
      <c r="A538" t="str">
        <f>T("070490")</f>
        <v>070490</v>
      </c>
      <c r="B538" t="str">
        <f>T("Choux, choux frisés, choux-raves et produits comestibles simil, du genre 'Brassica', à l'état frais ou réfrigéré (à l'excl, des choux-fleurs, des choux-fleurs brocolis et des choux de Bruxelles)")</f>
        <v>Choux, choux frisés, choux-raves et produits comestibles simil, du genre 'Brassica', à l'état frais ou réfrigéré (à l'excl, des choux-fleurs, des choux-fleurs brocolis et des choux de Bruxelles)</v>
      </c>
    </row>
    <row r="539" spans="1:4" x14ac:dyDescent="0.25">
      <c r="A539" t="str">
        <f>T("   ZZZ_Monde")</f>
        <v xml:space="preserve">   ZZZ_Monde</v>
      </c>
      <c r="B539" t="str">
        <f>T("   ZZZ_Monde")</f>
        <v xml:space="preserve">   ZZZ_Monde</v>
      </c>
      <c r="C539">
        <v>3850997</v>
      </c>
      <c r="D539">
        <v>57338</v>
      </c>
    </row>
    <row r="540" spans="1:4" x14ac:dyDescent="0.25">
      <c r="A540" t="str">
        <f>T("   CI")</f>
        <v xml:space="preserve">   CI</v>
      </c>
      <c r="B540" t="str">
        <f>T("   Côte d'Ivoire")</f>
        <v xml:space="preserve">   Côte d'Ivoire</v>
      </c>
      <c r="C540">
        <v>500000</v>
      </c>
      <c r="D540">
        <v>55820</v>
      </c>
    </row>
    <row r="541" spans="1:4" x14ac:dyDescent="0.25">
      <c r="A541" t="str">
        <f>T("   FR")</f>
        <v xml:space="preserve">   FR</v>
      </c>
      <c r="B541" t="str">
        <f>T("   France")</f>
        <v xml:space="preserve">   France</v>
      </c>
      <c r="C541">
        <v>3350997</v>
      </c>
      <c r="D541">
        <v>1518</v>
      </c>
    </row>
    <row r="542" spans="1:4" x14ac:dyDescent="0.25">
      <c r="A542" t="str">
        <f>T("070519")</f>
        <v>070519</v>
      </c>
      <c r="B542" t="str">
        <f>T("Laitues 'Lactuca sativa', à l'état frais ou réfrigéré (à l'excl, des laitues pommées)")</f>
        <v>Laitues 'Lactuca sativa', à l'état frais ou réfrigéré (à l'excl, des laitues pommées)</v>
      </c>
    </row>
    <row r="543" spans="1:4" x14ac:dyDescent="0.25">
      <c r="A543" t="str">
        <f>T("   ZZZ_Monde")</f>
        <v xml:space="preserve">   ZZZ_Monde</v>
      </c>
      <c r="B543" t="str">
        <f>T("   ZZZ_Monde")</f>
        <v xml:space="preserve">   ZZZ_Monde</v>
      </c>
      <c r="C543">
        <v>3389606</v>
      </c>
      <c r="D543">
        <v>1347</v>
      </c>
    </row>
    <row r="544" spans="1:4" x14ac:dyDescent="0.25">
      <c r="A544" t="str">
        <f>T("   FR")</f>
        <v xml:space="preserve">   FR</v>
      </c>
      <c r="B544" t="str">
        <f>T("   France")</f>
        <v xml:space="preserve">   France</v>
      </c>
      <c r="C544">
        <v>3389606</v>
      </c>
      <c r="D544">
        <v>1347</v>
      </c>
    </row>
    <row r="545" spans="1:4" x14ac:dyDescent="0.25">
      <c r="A545" t="str">
        <f>T("070690")</f>
        <v>070690</v>
      </c>
      <c r="B545" t="str">
        <f>T("Betteraves à salade, salsifis, céleris-raves, radis et racines comestibles simil,, à l'état frais ou réfrigéré (à l'excl, des carottes et des navets)")</f>
        <v>Betteraves à salade, salsifis, céleris-raves, radis et racines comestibles simil,, à l'état frais ou réfrigéré (à l'excl, des carottes et des navets)</v>
      </c>
    </row>
    <row r="546" spans="1:4" x14ac:dyDescent="0.25">
      <c r="A546" t="str">
        <f>T("   ZZZ_Monde")</f>
        <v xml:space="preserve">   ZZZ_Monde</v>
      </c>
      <c r="B546" t="str">
        <f>T("   ZZZ_Monde")</f>
        <v xml:space="preserve">   ZZZ_Monde</v>
      </c>
      <c r="C546">
        <v>1988216</v>
      </c>
      <c r="D546">
        <v>1221</v>
      </c>
    </row>
    <row r="547" spans="1:4" x14ac:dyDescent="0.25">
      <c r="A547" t="str">
        <f>T("   FR")</f>
        <v xml:space="preserve">   FR</v>
      </c>
      <c r="B547" t="str">
        <f>T("   France")</f>
        <v xml:space="preserve">   France</v>
      </c>
      <c r="C547">
        <v>1988216</v>
      </c>
      <c r="D547">
        <v>1221</v>
      </c>
    </row>
    <row r="548" spans="1:4" x14ac:dyDescent="0.25">
      <c r="A548" t="str">
        <f>T("070700")</f>
        <v>070700</v>
      </c>
      <c r="B548" t="str">
        <f>T("Concombres et cornichons, à l'état frais ou réfrigéré")</f>
        <v>Concombres et cornichons, à l'état frais ou réfrigéré</v>
      </c>
    </row>
    <row r="549" spans="1:4" x14ac:dyDescent="0.25">
      <c r="A549" t="str">
        <f>T("   ZZZ_Monde")</f>
        <v xml:space="preserve">   ZZZ_Monde</v>
      </c>
      <c r="B549" t="str">
        <f>T("   ZZZ_Monde")</f>
        <v xml:space="preserve">   ZZZ_Monde</v>
      </c>
      <c r="C549">
        <v>421828</v>
      </c>
      <c r="D549">
        <v>1732</v>
      </c>
    </row>
    <row r="550" spans="1:4" x14ac:dyDescent="0.25">
      <c r="A550" t="str">
        <f>T("   LB")</f>
        <v xml:space="preserve">   LB</v>
      </c>
      <c r="B550" t="str">
        <f>T("   Liban")</f>
        <v xml:space="preserve">   Liban</v>
      </c>
      <c r="C550">
        <v>421828</v>
      </c>
      <c r="D550">
        <v>1732</v>
      </c>
    </row>
    <row r="551" spans="1:4" x14ac:dyDescent="0.25">
      <c r="A551" t="str">
        <f>T("070810")</f>
        <v>070810</v>
      </c>
      <c r="B551" t="str">
        <f>T("Pois 'Pisum sativum', écossés ou non, à l'état frais ou réfrigéré")</f>
        <v>Pois 'Pisum sativum', écossés ou non, à l'état frais ou réfrigéré</v>
      </c>
    </row>
    <row r="552" spans="1:4" x14ac:dyDescent="0.25">
      <c r="A552" t="str">
        <f>T("   ZZZ_Monde")</f>
        <v xml:space="preserve">   ZZZ_Monde</v>
      </c>
      <c r="B552" t="str">
        <f>T("   ZZZ_Monde")</f>
        <v xml:space="preserve">   ZZZ_Monde</v>
      </c>
      <c r="C552">
        <v>15425699</v>
      </c>
      <c r="D552">
        <v>58720</v>
      </c>
    </row>
    <row r="553" spans="1:4" x14ac:dyDescent="0.25">
      <c r="A553" t="str">
        <f>T("   IT")</f>
        <v xml:space="preserve">   IT</v>
      </c>
      <c r="B553" t="str">
        <f>T("   Italie")</f>
        <v xml:space="preserve">   Italie</v>
      </c>
      <c r="C553">
        <v>15425699</v>
      </c>
      <c r="D553">
        <v>58720</v>
      </c>
    </row>
    <row r="554" spans="1:4" x14ac:dyDescent="0.25">
      <c r="A554" t="str">
        <f>T("070820")</f>
        <v>070820</v>
      </c>
      <c r="B554" t="str">
        <f>T("Haricots 'Vigna spp,, Phaseolus spp,', écossés ou non, à l'état frais ou réfrigéré")</f>
        <v>Haricots 'Vigna spp,, Phaseolus spp,', écossés ou non, à l'état frais ou réfrigéré</v>
      </c>
    </row>
    <row r="555" spans="1:4" x14ac:dyDescent="0.25">
      <c r="A555" t="str">
        <f>T("   ZZZ_Monde")</f>
        <v xml:space="preserve">   ZZZ_Monde</v>
      </c>
      <c r="B555" t="str">
        <f>T("   ZZZ_Monde")</f>
        <v xml:space="preserve">   ZZZ_Monde</v>
      </c>
      <c r="C555">
        <v>178421</v>
      </c>
      <c r="D555">
        <v>399</v>
      </c>
    </row>
    <row r="556" spans="1:4" x14ac:dyDescent="0.25">
      <c r="A556" t="str">
        <f>T("   FR")</f>
        <v xml:space="preserve">   FR</v>
      </c>
      <c r="B556" t="str">
        <f>T("   France")</f>
        <v xml:space="preserve">   France</v>
      </c>
      <c r="C556">
        <v>178421</v>
      </c>
      <c r="D556">
        <v>399</v>
      </c>
    </row>
    <row r="557" spans="1:4" x14ac:dyDescent="0.25">
      <c r="A557" t="str">
        <f>T("070951")</f>
        <v>070951</v>
      </c>
      <c r="B557" t="str">
        <f>T("Champignons du genre 'Agaricus', à l'état frais ou réfrigéré")</f>
        <v>Champignons du genre 'Agaricus', à l'état frais ou réfrigéré</v>
      </c>
    </row>
    <row r="558" spans="1:4" x14ac:dyDescent="0.25">
      <c r="A558" t="str">
        <f>T("   ZZZ_Monde")</f>
        <v xml:space="preserve">   ZZZ_Monde</v>
      </c>
      <c r="B558" t="str">
        <f>T("   ZZZ_Monde")</f>
        <v xml:space="preserve">   ZZZ_Monde</v>
      </c>
      <c r="C558">
        <v>1418842</v>
      </c>
      <c r="D558">
        <v>2798</v>
      </c>
    </row>
    <row r="559" spans="1:4" x14ac:dyDescent="0.25">
      <c r="A559" t="str">
        <f>T("   FR")</f>
        <v xml:space="preserve">   FR</v>
      </c>
      <c r="B559" t="str">
        <f>T("   France")</f>
        <v xml:space="preserve">   France</v>
      </c>
      <c r="C559">
        <v>1418842</v>
      </c>
      <c r="D559">
        <v>2798</v>
      </c>
    </row>
    <row r="560" spans="1:4" x14ac:dyDescent="0.25">
      <c r="A560" t="str">
        <f>T("070960")</f>
        <v>070960</v>
      </c>
      <c r="B560" t="str">
        <f>T("Piments du genre 'Capsicum' ou du genre 'Pimenta', à l'état frais ou réfrigéré")</f>
        <v>Piments du genre 'Capsicum' ou du genre 'Pimenta', à l'état frais ou réfrigéré</v>
      </c>
    </row>
    <row r="561" spans="1:4" x14ac:dyDescent="0.25">
      <c r="A561" t="str">
        <f>T("   ZZZ_Monde")</f>
        <v xml:space="preserve">   ZZZ_Monde</v>
      </c>
      <c r="B561" t="str">
        <f>T("   ZZZ_Monde")</f>
        <v xml:space="preserve">   ZZZ_Monde</v>
      </c>
      <c r="C561">
        <v>30899</v>
      </c>
      <c r="D561">
        <v>2682</v>
      </c>
    </row>
    <row r="562" spans="1:4" x14ac:dyDescent="0.25">
      <c r="A562" t="str">
        <f>T("   FR")</f>
        <v xml:space="preserve">   FR</v>
      </c>
      <c r="B562" t="str">
        <f>T("   France")</f>
        <v xml:space="preserve">   France</v>
      </c>
      <c r="C562">
        <v>13422</v>
      </c>
      <c r="D562">
        <v>82</v>
      </c>
    </row>
    <row r="563" spans="1:4" x14ac:dyDescent="0.25">
      <c r="A563" t="str">
        <f>T("   TG")</f>
        <v xml:space="preserve">   TG</v>
      </c>
      <c r="B563" t="str">
        <f>T("   Togo")</f>
        <v xml:space="preserve">   Togo</v>
      </c>
      <c r="C563">
        <v>17477</v>
      </c>
      <c r="D563">
        <v>2600</v>
      </c>
    </row>
    <row r="564" spans="1:4" x14ac:dyDescent="0.25">
      <c r="A564" t="str">
        <f>T("070990")</f>
        <v>070990</v>
      </c>
      <c r="B564" t="str">
        <f>T("Légumes, à l'état frais ou réfrigéré (sauf pommes de terre, tomates, légumes alliacés, choux du genre Brassica, laitues [Lactuca sativa] et chicorées [Cichorium spp,], carottes, navets, betteraves à salade, salsifis, céleris, radis et racines comestibles")</f>
        <v>Légumes, à l'état frais ou réfrigéré (sauf pommes de terre, tomates, légumes alliacés, choux du genre Brassica, laitues [Lactuca sativa] et chicorées [Cichorium spp,], carottes, navets, betteraves à salade, salsifis, céleris, radis et racines comestibles</v>
      </c>
    </row>
    <row r="565" spans="1:4" x14ac:dyDescent="0.25">
      <c r="A565" t="str">
        <f>T("   ZZZ_Monde")</f>
        <v xml:space="preserve">   ZZZ_Monde</v>
      </c>
      <c r="B565" t="str">
        <f>T("   ZZZ_Monde")</f>
        <v xml:space="preserve">   ZZZ_Monde</v>
      </c>
      <c r="C565">
        <v>1498796</v>
      </c>
      <c r="D565">
        <v>1199</v>
      </c>
    </row>
    <row r="566" spans="1:4" x14ac:dyDescent="0.25">
      <c r="A566" t="str">
        <f>T("   FR")</f>
        <v xml:space="preserve">   FR</v>
      </c>
      <c r="B566" t="str">
        <f>T("   France")</f>
        <v xml:space="preserve">   France</v>
      </c>
      <c r="C566">
        <v>1498796</v>
      </c>
      <c r="D566">
        <v>1199</v>
      </c>
    </row>
    <row r="567" spans="1:4" x14ac:dyDescent="0.25">
      <c r="A567" t="str">
        <f>T("071010")</f>
        <v>071010</v>
      </c>
      <c r="B567" t="str">
        <f>T("Pommes de terre, non cuites ou cuites à l'eau ou à la vapeur, congelées")</f>
        <v>Pommes de terre, non cuites ou cuites à l'eau ou à la vapeur, congelées</v>
      </c>
    </row>
    <row r="568" spans="1:4" x14ac:dyDescent="0.25">
      <c r="A568" t="str">
        <f>T("   ZZZ_Monde")</f>
        <v xml:space="preserve">   ZZZ_Monde</v>
      </c>
      <c r="B568" t="str">
        <f>T("   ZZZ_Monde")</f>
        <v xml:space="preserve">   ZZZ_Monde</v>
      </c>
      <c r="C568">
        <v>113106545</v>
      </c>
      <c r="D568">
        <v>595730</v>
      </c>
    </row>
    <row r="569" spans="1:4" x14ac:dyDescent="0.25">
      <c r="A569" t="str">
        <f>T("   BE")</f>
        <v xml:space="preserve">   BE</v>
      </c>
      <c r="B569" t="str">
        <f>T("   Belgique")</f>
        <v xml:space="preserve">   Belgique</v>
      </c>
      <c r="C569">
        <v>19014967</v>
      </c>
      <c r="D569">
        <v>95040</v>
      </c>
    </row>
    <row r="570" spans="1:4" x14ac:dyDescent="0.25">
      <c r="A570" t="str">
        <f>T("   CN")</f>
        <v xml:space="preserve">   CN</v>
      </c>
      <c r="B570" t="str">
        <f>T("   Chine")</f>
        <v xml:space="preserve">   Chine</v>
      </c>
      <c r="C570">
        <v>4785000</v>
      </c>
      <c r="D570">
        <v>29000</v>
      </c>
    </row>
    <row r="571" spans="1:4" x14ac:dyDescent="0.25">
      <c r="A571" t="str">
        <f>T("   FR")</f>
        <v xml:space="preserve">   FR</v>
      </c>
      <c r="B571" t="str">
        <f>T("   France")</f>
        <v xml:space="preserve">   France</v>
      </c>
      <c r="C571">
        <v>49216708</v>
      </c>
      <c r="D571">
        <v>206760</v>
      </c>
    </row>
    <row r="572" spans="1:4" x14ac:dyDescent="0.25">
      <c r="A572" t="str">
        <f>T("   GB")</f>
        <v xml:space="preserve">   GB</v>
      </c>
      <c r="B572" t="str">
        <f>T("   Royaume-Uni")</f>
        <v xml:space="preserve">   Royaume-Uni</v>
      </c>
      <c r="C572">
        <v>27832808</v>
      </c>
      <c r="D572">
        <v>168680</v>
      </c>
    </row>
    <row r="573" spans="1:4" x14ac:dyDescent="0.25">
      <c r="A573" t="str">
        <f>T("   NL")</f>
        <v xml:space="preserve">   NL</v>
      </c>
      <c r="B573" t="str">
        <f>T("   Pays-bas")</f>
        <v xml:space="preserve">   Pays-bas</v>
      </c>
      <c r="C573">
        <v>9570005</v>
      </c>
      <c r="D573">
        <v>58000</v>
      </c>
    </row>
    <row r="574" spans="1:4" x14ac:dyDescent="0.25">
      <c r="A574" t="str">
        <f>T("   TG")</f>
        <v xml:space="preserve">   TG</v>
      </c>
      <c r="B574" t="str">
        <f>T("   Togo")</f>
        <v xml:space="preserve">   Togo</v>
      </c>
      <c r="C574">
        <v>2687057</v>
      </c>
      <c r="D574">
        <v>38250</v>
      </c>
    </row>
    <row r="575" spans="1:4" x14ac:dyDescent="0.25">
      <c r="A575" t="str">
        <f>T("071080")</f>
        <v>071080</v>
      </c>
      <c r="B575" t="str">
        <f>T("LÉGUMES, NON-CUITS OU CUITS À L'EAU OU À LA VAPEUR, CONGELÉS (À L'EXCL, DES POMMES DE TERRE, DES LÉGUMES À COSSE, DES ÉPINARDS, DES TÉTRAGONES, DES ARROCHES ET DU MAÏS DOUX)")</f>
        <v>LÉGUMES, NON-CUITS OU CUITS À L'EAU OU À LA VAPEUR, CONGELÉS (À L'EXCL, DES POMMES DE TERRE, DES LÉGUMES À COSSE, DES ÉPINARDS, DES TÉTRAGONES, DES ARROCHES ET DU MAÏS DOUX)</v>
      </c>
    </row>
    <row r="576" spans="1:4" x14ac:dyDescent="0.25">
      <c r="A576" t="str">
        <f>T("   ZZZ_Monde")</f>
        <v xml:space="preserve">   ZZZ_Monde</v>
      </c>
      <c r="B576" t="str">
        <f>T("   ZZZ_Monde")</f>
        <v xml:space="preserve">   ZZZ_Monde</v>
      </c>
      <c r="C576">
        <v>11213059</v>
      </c>
      <c r="D576">
        <v>40396</v>
      </c>
    </row>
    <row r="577" spans="1:4" x14ac:dyDescent="0.25">
      <c r="A577" t="str">
        <f>T("   FR")</f>
        <v xml:space="preserve">   FR</v>
      </c>
      <c r="B577" t="str">
        <f>T("   France")</f>
        <v xml:space="preserve">   France</v>
      </c>
      <c r="C577">
        <v>11213059</v>
      </c>
      <c r="D577">
        <v>40396</v>
      </c>
    </row>
    <row r="578" spans="1:4" x14ac:dyDescent="0.25">
      <c r="A578" t="str">
        <f>T("071090")</f>
        <v>071090</v>
      </c>
      <c r="B578" t="str">
        <f>T("Mélanges de légumes, non cuits ou cuits à l'eau ou à la vapeur, congelés")</f>
        <v>Mélanges de légumes, non cuits ou cuits à l'eau ou à la vapeur, congelés</v>
      </c>
    </row>
    <row r="579" spans="1:4" x14ac:dyDescent="0.25">
      <c r="A579" t="str">
        <f>T("   ZZZ_Monde")</f>
        <v xml:space="preserve">   ZZZ_Monde</v>
      </c>
      <c r="B579" t="str">
        <f>T("   ZZZ_Monde")</f>
        <v xml:space="preserve">   ZZZ_Monde</v>
      </c>
      <c r="C579">
        <v>16238444</v>
      </c>
      <c r="D579">
        <v>40923</v>
      </c>
    </row>
    <row r="580" spans="1:4" x14ac:dyDescent="0.25">
      <c r="A580" t="str">
        <f>T("   CN")</f>
        <v xml:space="preserve">   CN</v>
      </c>
      <c r="B580" t="str">
        <f>T("   Chine")</f>
        <v xml:space="preserve">   Chine</v>
      </c>
      <c r="C580">
        <v>5974369</v>
      </c>
      <c r="D580">
        <v>19883</v>
      </c>
    </row>
    <row r="581" spans="1:4" x14ac:dyDescent="0.25">
      <c r="A581" t="str">
        <f>T("   FR")</f>
        <v xml:space="preserve">   FR</v>
      </c>
      <c r="B581" t="str">
        <f>T("   France")</f>
        <v xml:space="preserve">   France</v>
      </c>
      <c r="C581">
        <v>7372991</v>
      </c>
      <c r="D581">
        <v>13492</v>
      </c>
    </row>
    <row r="582" spans="1:4" x14ac:dyDescent="0.25">
      <c r="A582" t="str">
        <f>T("   LB")</f>
        <v xml:space="preserve">   LB</v>
      </c>
      <c r="B582" t="str">
        <f>T("   Liban")</f>
        <v xml:space="preserve">   Liban</v>
      </c>
      <c r="C582">
        <v>2891084</v>
      </c>
      <c r="D582">
        <v>7548</v>
      </c>
    </row>
    <row r="583" spans="1:4" x14ac:dyDescent="0.25">
      <c r="A583" t="str">
        <f>T("071120")</f>
        <v>071120</v>
      </c>
      <c r="B583" t="str">
        <f>T("Olives, conservées provisoirement [p,ex, au moyen de gaz sulfureux ou dans de l'eau salée, soufrée ou additionnée d'autres substances servant à assurer provisoirement leur conservation], mais impropres à l'alimentation en l'état")</f>
        <v>Olives, conservées provisoirement [p,ex, au moyen de gaz sulfureux ou dans de l'eau salée, soufrée ou additionnée d'autres substances servant à assurer provisoirement leur conservation], mais impropres à l'alimentation en l'état</v>
      </c>
    </row>
    <row r="584" spans="1:4" x14ac:dyDescent="0.25">
      <c r="A584" t="str">
        <f>T("   ZZZ_Monde")</f>
        <v xml:space="preserve">   ZZZ_Monde</v>
      </c>
      <c r="B584" t="str">
        <f>T("   ZZZ_Monde")</f>
        <v xml:space="preserve">   ZZZ_Monde</v>
      </c>
      <c r="C584">
        <v>4422908</v>
      </c>
      <c r="D584">
        <v>8687</v>
      </c>
    </row>
    <row r="585" spans="1:4" x14ac:dyDescent="0.25">
      <c r="A585" t="str">
        <f>T("   AE")</f>
        <v xml:space="preserve">   AE</v>
      </c>
      <c r="B585" t="str">
        <f>T("   Emirats Arabes Unis")</f>
        <v xml:space="preserve">   Emirats Arabes Unis</v>
      </c>
      <c r="C585">
        <v>876015</v>
      </c>
      <c r="D585">
        <v>962</v>
      </c>
    </row>
    <row r="586" spans="1:4" x14ac:dyDescent="0.25">
      <c r="A586" t="str">
        <f>T("   ES")</f>
        <v xml:space="preserve">   ES</v>
      </c>
      <c r="B586" t="str">
        <f>T("   Espagne")</f>
        <v xml:space="preserve">   Espagne</v>
      </c>
      <c r="C586">
        <v>1559218</v>
      </c>
      <c r="D586">
        <v>4691</v>
      </c>
    </row>
    <row r="587" spans="1:4" x14ac:dyDescent="0.25">
      <c r="A587" t="str">
        <f>T("   FR")</f>
        <v xml:space="preserve">   FR</v>
      </c>
      <c r="B587" t="str">
        <f>T("   France")</f>
        <v xml:space="preserve">   France</v>
      </c>
      <c r="C587">
        <v>1418185</v>
      </c>
      <c r="D587">
        <v>420</v>
      </c>
    </row>
    <row r="588" spans="1:4" x14ac:dyDescent="0.25">
      <c r="A588" t="str">
        <f>T("   LB")</f>
        <v xml:space="preserve">   LB</v>
      </c>
      <c r="B588" t="str">
        <f>T("   Liban")</f>
        <v xml:space="preserve">   Liban</v>
      </c>
      <c r="C588">
        <v>569490</v>
      </c>
      <c r="D588">
        <v>2614</v>
      </c>
    </row>
    <row r="589" spans="1:4" x14ac:dyDescent="0.25">
      <c r="A589" t="str">
        <f>T("071190")</f>
        <v>071190</v>
      </c>
      <c r="B589" t="str">
        <f>T("LÉGUMES ET MÉLANGES DE LÉGUMES, CONSERVÉS PROVISOIREMENT [P,EX, AU MOYEN DE GAZ SULFUREUX OU DANS DE L'EAU SALÉE, SOUFRÉE OU ADDITIONNÉE D'AUTRES SUBSTANCES SERVANT À ASSURER PROVISOIREMENT LEUR CONSERVATION], MAIS IMPROPRES À L'ALIMENTATION EN L'ÉTAT (À")</f>
        <v>LÉGUMES ET MÉLANGES DE LÉGUMES, CONSERVÉS PROVISOIREMENT [P,EX, AU MOYEN DE GAZ SULFUREUX OU DANS DE L'EAU SALÉE, SOUFRÉE OU ADDITIONNÉE D'AUTRES SUBSTANCES SERVANT À ASSURER PROVISOIREMENT LEUR CONSERVATION], MAIS IMPROPRES À L'ALIMENTATION EN L'ÉTAT (À</v>
      </c>
    </row>
    <row r="590" spans="1:4" x14ac:dyDescent="0.25">
      <c r="A590" t="str">
        <f>T("   ZZZ_Monde")</f>
        <v xml:space="preserve">   ZZZ_Monde</v>
      </c>
      <c r="B590" t="str">
        <f>T("   ZZZ_Monde")</f>
        <v xml:space="preserve">   ZZZ_Monde</v>
      </c>
      <c r="C590">
        <v>5870123</v>
      </c>
      <c r="D590">
        <v>29900</v>
      </c>
    </row>
    <row r="591" spans="1:4" x14ac:dyDescent="0.25">
      <c r="A591" t="str">
        <f>T("   CN")</f>
        <v xml:space="preserve">   CN</v>
      </c>
      <c r="B591" t="str">
        <f>T("   Chine")</f>
        <v xml:space="preserve">   Chine</v>
      </c>
      <c r="C591">
        <v>1878813</v>
      </c>
      <c r="D591">
        <v>4800</v>
      </c>
    </row>
    <row r="592" spans="1:4" x14ac:dyDescent="0.25">
      <c r="A592" t="str">
        <f>T("   FR")</f>
        <v xml:space="preserve">   FR</v>
      </c>
      <c r="B592" t="str">
        <f>T("   France")</f>
        <v xml:space="preserve">   France</v>
      </c>
      <c r="C592">
        <v>3559895</v>
      </c>
      <c r="D592">
        <v>23600</v>
      </c>
    </row>
    <row r="593" spans="1:4" x14ac:dyDescent="0.25">
      <c r="A593" t="str">
        <f>T("   LB")</f>
        <v xml:space="preserve">   LB</v>
      </c>
      <c r="B593" t="str">
        <f>T("   Liban")</f>
        <v xml:space="preserve">   Liban</v>
      </c>
      <c r="C593">
        <v>431415</v>
      </c>
      <c r="D593">
        <v>1500</v>
      </c>
    </row>
    <row r="594" spans="1:4" x14ac:dyDescent="0.25">
      <c r="A594" t="str">
        <f>T("071290")</f>
        <v>071290</v>
      </c>
      <c r="B594" t="str">
        <f>T("LÉGUMES ET MÉLANGES DE LÉGUMES, SÉCHÉS, MÊME COUPÉS EN MORCEAUX OU EN TRANCHES OU BIEN BROYÉS OU PULVÉRISÉS, MAIS NON AUTREMENT PRÉPARÉS (À L'EXCL, DES OIGNONS, DES CHAMPIGNONS ET DES TRUFFES, NON-MÉLANGÉS)")</f>
        <v>LÉGUMES ET MÉLANGES DE LÉGUMES, SÉCHÉS, MÊME COUPÉS EN MORCEAUX OU EN TRANCHES OU BIEN BROYÉS OU PULVÉRISÉS, MAIS NON AUTREMENT PRÉPARÉS (À L'EXCL, DES OIGNONS, DES CHAMPIGNONS ET DES TRUFFES, NON-MÉLANGÉS)</v>
      </c>
    </row>
    <row r="595" spans="1:4" x14ac:dyDescent="0.25">
      <c r="A595" t="str">
        <f>T("   ZZZ_Monde")</f>
        <v xml:space="preserve">   ZZZ_Monde</v>
      </c>
      <c r="B595" t="str">
        <f>T("   ZZZ_Monde")</f>
        <v xml:space="preserve">   ZZZ_Monde</v>
      </c>
      <c r="C595">
        <v>241592</v>
      </c>
      <c r="D595">
        <v>1059</v>
      </c>
    </row>
    <row r="596" spans="1:4" x14ac:dyDescent="0.25">
      <c r="A596" t="str">
        <f>T("   LB")</f>
        <v xml:space="preserve">   LB</v>
      </c>
      <c r="B596" t="str">
        <f>T("   Liban")</f>
        <v xml:space="preserve">   Liban</v>
      </c>
      <c r="C596">
        <v>241592</v>
      </c>
      <c r="D596">
        <v>1059</v>
      </c>
    </row>
    <row r="597" spans="1:4" x14ac:dyDescent="0.25">
      <c r="A597" t="str">
        <f>T("071320")</f>
        <v>071320</v>
      </c>
      <c r="B597" t="str">
        <f>T("Pois chiches, secs, écossés, même décortiqués ou cassés")</f>
        <v>Pois chiches, secs, écossés, même décortiqués ou cassés</v>
      </c>
    </row>
    <row r="598" spans="1:4" x14ac:dyDescent="0.25">
      <c r="A598" t="str">
        <f>T("   ZZZ_Monde")</f>
        <v xml:space="preserve">   ZZZ_Monde</v>
      </c>
      <c r="B598" t="str">
        <f>T("   ZZZ_Monde")</f>
        <v xml:space="preserve">   ZZZ_Monde</v>
      </c>
      <c r="C598">
        <v>11042154</v>
      </c>
      <c r="D598">
        <v>19592</v>
      </c>
    </row>
    <row r="599" spans="1:4" x14ac:dyDescent="0.25">
      <c r="A599" t="str">
        <f>T("   LB")</f>
        <v xml:space="preserve">   LB</v>
      </c>
      <c r="B599" t="str">
        <f>T("   Liban")</f>
        <v xml:space="preserve">   Liban</v>
      </c>
      <c r="C599">
        <v>11042154</v>
      </c>
      <c r="D599">
        <v>19592</v>
      </c>
    </row>
    <row r="600" spans="1:4" x14ac:dyDescent="0.25">
      <c r="A600" t="str">
        <f>T("071332")</f>
        <v>071332</v>
      </c>
      <c r="B600" t="str">
        <f>T("Haricots 'petits rouges' [haricots Adzuki] 'Phaseolus ou Vigna angularis', secs, écossés, même décortiqués ou cassés")</f>
        <v>Haricots 'petits rouges' [haricots Adzuki] 'Phaseolus ou Vigna angularis', secs, écossés, même décortiqués ou cassés</v>
      </c>
    </row>
    <row r="601" spans="1:4" x14ac:dyDescent="0.25">
      <c r="A601" t="str">
        <f>T("   ZZZ_Monde")</f>
        <v xml:space="preserve">   ZZZ_Monde</v>
      </c>
      <c r="B601" t="str">
        <f>T("   ZZZ_Monde")</f>
        <v xml:space="preserve">   ZZZ_Monde</v>
      </c>
      <c r="C601">
        <v>52249</v>
      </c>
      <c r="D601">
        <v>312</v>
      </c>
    </row>
    <row r="602" spans="1:4" x14ac:dyDescent="0.25">
      <c r="A602" t="str">
        <f>T("   LB")</f>
        <v xml:space="preserve">   LB</v>
      </c>
      <c r="B602" t="str">
        <f>T("   Liban")</f>
        <v xml:space="preserve">   Liban</v>
      </c>
      <c r="C602">
        <v>52249</v>
      </c>
      <c r="D602">
        <v>312</v>
      </c>
    </row>
    <row r="603" spans="1:4" x14ac:dyDescent="0.25">
      <c r="A603" t="str">
        <f>T("071339")</f>
        <v>071339</v>
      </c>
      <c r="B603" t="str">
        <f>T("Haricots 'Vigna spp,, Phaseolus spp,', secs, écossés, même décortiqués ou cassés (à l'excl, des haricots des espèces 'Vigna mungo L, Hepper ou Vigna radiata L, Wilczek', des haricots 'petits rouges' [haricots Adzuki] et des haricots communs)")</f>
        <v>Haricots 'Vigna spp,, Phaseolus spp,', secs, écossés, même décortiqués ou cassés (à l'excl, des haricots des espèces 'Vigna mungo L, Hepper ou Vigna radiata L, Wilczek', des haricots 'petits rouges' [haricots Adzuki] et des haricots communs)</v>
      </c>
    </row>
    <row r="604" spans="1:4" x14ac:dyDescent="0.25">
      <c r="A604" t="str">
        <f>T("   ZZZ_Monde")</f>
        <v xml:space="preserve">   ZZZ_Monde</v>
      </c>
      <c r="B604" t="str">
        <f>T("   ZZZ_Monde")</f>
        <v xml:space="preserve">   ZZZ_Monde</v>
      </c>
      <c r="C604">
        <v>11364149</v>
      </c>
      <c r="D604">
        <v>95186</v>
      </c>
    </row>
    <row r="605" spans="1:4" x14ac:dyDescent="0.25">
      <c r="A605" t="str">
        <f>T("   LB")</f>
        <v xml:space="preserve">   LB</v>
      </c>
      <c r="B605" t="str">
        <f>T("   Liban")</f>
        <v xml:space="preserve">   Liban</v>
      </c>
      <c r="C605">
        <v>5201024</v>
      </c>
      <c r="D605">
        <v>13911</v>
      </c>
    </row>
    <row r="606" spans="1:4" x14ac:dyDescent="0.25">
      <c r="A606" t="str">
        <f>T("   NG")</f>
        <v xml:space="preserve">   NG</v>
      </c>
      <c r="B606" t="str">
        <f>T("   Nigéria")</f>
        <v xml:space="preserve">   Nigéria</v>
      </c>
      <c r="C606">
        <v>6163125</v>
      </c>
      <c r="D606">
        <v>81275</v>
      </c>
    </row>
    <row r="607" spans="1:4" x14ac:dyDescent="0.25">
      <c r="A607" t="str">
        <f>T("071340")</f>
        <v>071340</v>
      </c>
      <c r="B607" t="str">
        <f>T("Lentilles, séchées, écossées, même décortiquées ou cassées")</f>
        <v>Lentilles, séchées, écossées, même décortiquées ou cassées</v>
      </c>
    </row>
    <row r="608" spans="1:4" x14ac:dyDescent="0.25">
      <c r="A608" t="str">
        <f>T("   ZZZ_Monde")</f>
        <v xml:space="preserve">   ZZZ_Monde</v>
      </c>
      <c r="B608" t="str">
        <f>T("   ZZZ_Monde")</f>
        <v xml:space="preserve">   ZZZ_Monde</v>
      </c>
      <c r="C608">
        <v>11258261</v>
      </c>
      <c r="D608">
        <v>17014</v>
      </c>
    </row>
    <row r="609" spans="1:4" x14ac:dyDescent="0.25">
      <c r="A609" t="str">
        <f>T("   LB")</f>
        <v xml:space="preserve">   LB</v>
      </c>
      <c r="B609" t="str">
        <f>T("   Liban")</f>
        <v xml:space="preserve">   Liban</v>
      </c>
      <c r="C609">
        <v>11258261</v>
      </c>
      <c r="D609">
        <v>17014</v>
      </c>
    </row>
    <row r="610" spans="1:4" x14ac:dyDescent="0.25">
      <c r="A610" t="str">
        <f>T("071390")</f>
        <v>071390</v>
      </c>
      <c r="B610" t="str">
        <f>T("Légumes à cosse secs, écossés, même décortiqués ou cassés (à l'excl, des pois, des pois chiches, des haricots, des lentilles, des fèves et des féveroles)")</f>
        <v>Légumes à cosse secs, écossés, même décortiqués ou cassés (à l'excl, des pois, des pois chiches, des haricots, des lentilles, des fèves et des féveroles)</v>
      </c>
    </row>
    <row r="611" spans="1:4" x14ac:dyDescent="0.25">
      <c r="A611" t="str">
        <f>T("   ZZZ_Monde")</f>
        <v xml:space="preserve">   ZZZ_Monde</v>
      </c>
      <c r="B611" t="str">
        <f>T("   ZZZ_Monde")</f>
        <v xml:space="preserve">   ZZZ_Monde</v>
      </c>
      <c r="C611">
        <v>5364104</v>
      </c>
      <c r="D611">
        <v>4558</v>
      </c>
    </row>
    <row r="612" spans="1:4" x14ac:dyDescent="0.25">
      <c r="A612" t="str">
        <f>T("   CN")</f>
        <v xml:space="preserve">   CN</v>
      </c>
      <c r="B612" t="str">
        <f>T("   Chine")</f>
        <v xml:space="preserve">   Chine</v>
      </c>
      <c r="C612">
        <v>15087</v>
      </c>
      <c r="D612">
        <v>40</v>
      </c>
    </row>
    <row r="613" spans="1:4" x14ac:dyDescent="0.25">
      <c r="A613" t="str">
        <f>T("   GB")</f>
        <v xml:space="preserve">   GB</v>
      </c>
      <c r="B613" t="str">
        <f>T("   Royaume-Uni")</f>
        <v xml:space="preserve">   Royaume-Uni</v>
      </c>
      <c r="C613">
        <v>5349017</v>
      </c>
      <c r="D613">
        <v>4518</v>
      </c>
    </row>
    <row r="614" spans="1:4" x14ac:dyDescent="0.25">
      <c r="A614" t="str">
        <f>T("080111")</f>
        <v>080111</v>
      </c>
      <c r="B614" t="str">
        <f>T("Noix de coco, desséchées")</f>
        <v>Noix de coco, desséchées</v>
      </c>
    </row>
    <row r="615" spans="1:4" x14ac:dyDescent="0.25">
      <c r="A615" t="str">
        <f>T("   ZZZ_Monde")</f>
        <v xml:space="preserve">   ZZZ_Monde</v>
      </c>
      <c r="B615" t="str">
        <f>T("   ZZZ_Monde")</f>
        <v xml:space="preserve">   ZZZ_Monde</v>
      </c>
      <c r="C615">
        <v>161124160</v>
      </c>
      <c r="D615">
        <v>38403692</v>
      </c>
    </row>
    <row r="616" spans="1:4" x14ac:dyDescent="0.25">
      <c r="A616" t="str">
        <f>T("   TG")</f>
        <v xml:space="preserve">   TG</v>
      </c>
      <c r="B616" t="str">
        <f>T("   Togo")</f>
        <v xml:space="preserve">   Togo</v>
      </c>
      <c r="C616">
        <v>161124160</v>
      </c>
      <c r="D616">
        <v>38403692</v>
      </c>
    </row>
    <row r="617" spans="1:4" x14ac:dyDescent="0.25">
      <c r="A617" t="str">
        <f>T("080119")</f>
        <v>080119</v>
      </c>
      <c r="B617" t="str">
        <f>T("Noix de coco, fraîches, même sans leur coques ou décortiquées")</f>
        <v>Noix de coco, fraîches, même sans leur coques ou décortiquées</v>
      </c>
    </row>
    <row r="618" spans="1:4" x14ac:dyDescent="0.25">
      <c r="A618" t="str">
        <f>T("   ZZZ_Monde")</f>
        <v xml:space="preserve">   ZZZ_Monde</v>
      </c>
      <c r="B618" t="str">
        <f>T("   ZZZ_Monde")</f>
        <v xml:space="preserve">   ZZZ_Monde</v>
      </c>
      <c r="C618">
        <v>259760</v>
      </c>
      <c r="D618">
        <v>570</v>
      </c>
    </row>
    <row r="619" spans="1:4" x14ac:dyDescent="0.25">
      <c r="A619" t="str">
        <f>T("   FR")</f>
        <v xml:space="preserve">   FR</v>
      </c>
      <c r="B619" t="str">
        <f>T("   France")</f>
        <v xml:space="preserve">   France</v>
      </c>
      <c r="C619">
        <v>259760</v>
      </c>
      <c r="D619">
        <v>570</v>
      </c>
    </row>
    <row r="620" spans="1:4" x14ac:dyDescent="0.25">
      <c r="A620" t="str">
        <f>T("080132")</f>
        <v>080132</v>
      </c>
      <c r="B620" t="str">
        <f>T("Noix de cajou, fraîches ou sèches, sans coques")</f>
        <v>Noix de cajou, fraîches ou sèches, sans coques</v>
      </c>
    </row>
    <row r="621" spans="1:4" x14ac:dyDescent="0.25">
      <c r="A621" t="str">
        <f>T("   ZZZ_Monde")</f>
        <v xml:space="preserve">   ZZZ_Monde</v>
      </c>
      <c r="B621" t="str">
        <f>T("   ZZZ_Monde")</f>
        <v xml:space="preserve">   ZZZ_Monde</v>
      </c>
      <c r="C621">
        <v>454580</v>
      </c>
      <c r="D621">
        <v>495</v>
      </c>
    </row>
    <row r="622" spans="1:4" x14ac:dyDescent="0.25">
      <c r="A622" t="str">
        <f>T("   LB")</f>
        <v xml:space="preserve">   LB</v>
      </c>
      <c r="B622" t="str">
        <f>T("   Liban")</f>
        <v xml:space="preserve">   Liban</v>
      </c>
      <c r="C622">
        <v>454580</v>
      </c>
      <c r="D622">
        <v>495</v>
      </c>
    </row>
    <row r="623" spans="1:4" x14ac:dyDescent="0.25">
      <c r="A623" t="str">
        <f>T("080290")</f>
        <v>080290</v>
      </c>
      <c r="B623" t="str">
        <f>T("FRUITS À COQUES, FRAIS OU SECS, MÊME SANS LEURS COQUES OU DÉCORTIQUÉS (À L'EXCL, DES NOIX DE COCO, DU BRÉSIL OU DE CAJOU AINSI QUE DES AMANDES, DES NOISETTES, DES NOIX COMMUNES, DES CHÂTAIGNES, DES MARRONS, DES PISTACHESE ET DES NOIX MACADAMIA)")</f>
        <v>FRUITS À COQUES, FRAIS OU SECS, MÊME SANS LEURS COQUES OU DÉCORTIQUÉS (À L'EXCL, DES NOIX DE COCO, DU BRÉSIL OU DE CAJOU AINSI QUE DES AMANDES, DES NOISETTES, DES NOIX COMMUNES, DES CHÂTAIGNES, DES MARRONS, DES PISTACHESE ET DES NOIX MACADAMIA)</v>
      </c>
    </row>
    <row r="624" spans="1:4" x14ac:dyDescent="0.25">
      <c r="A624" t="str">
        <f>T("   ZZZ_Monde")</f>
        <v xml:space="preserve">   ZZZ_Monde</v>
      </c>
      <c r="B624" t="str">
        <f>T("   ZZZ_Monde")</f>
        <v xml:space="preserve">   ZZZ_Monde</v>
      </c>
      <c r="C624">
        <v>216100</v>
      </c>
      <c r="D624">
        <v>4080</v>
      </c>
    </row>
    <row r="625" spans="1:4" x14ac:dyDescent="0.25">
      <c r="A625" t="str">
        <f>T("   TG")</f>
        <v xml:space="preserve">   TG</v>
      </c>
      <c r="B625" t="str">
        <f>T("   Togo")</f>
        <v xml:space="preserve">   Togo</v>
      </c>
      <c r="C625">
        <v>216100</v>
      </c>
      <c r="D625">
        <v>4080</v>
      </c>
    </row>
    <row r="626" spans="1:4" x14ac:dyDescent="0.25">
      <c r="A626" t="str">
        <f>T("080300")</f>
        <v>080300</v>
      </c>
      <c r="B626" t="str">
        <f>T("Bananes, y,c, les plantains, fraîches ou sèches")</f>
        <v>Bananes, y,c, les plantains, fraîches ou sèches</v>
      </c>
    </row>
    <row r="627" spans="1:4" x14ac:dyDescent="0.25">
      <c r="A627" t="str">
        <f>T("   ZZZ_Monde")</f>
        <v xml:space="preserve">   ZZZ_Monde</v>
      </c>
      <c r="B627" t="str">
        <f>T("   ZZZ_Monde")</f>
        <v xml:space="preserve">   ZZZ_Monde</v>
      </c>
      <c r="C627">
        <v>63615306</v>
      </c>
      <c r="D627">
        <v>615676</v>
      </c>
    </row>
    <row r="628" spans="1:4" x14ac:dyDescent="0.25">
      <c r="A628" t="str">
        <f>T("   GH")</f>
        <v xml:space="preserve">   GH</v>
      </c>
      <c r="B628" t="str">
        <f>T("   Ghana")</f>
        <v xml:space="preserve">   Ghana</v>
      </c>
      <c r="C628">
        <v>38448320</v>
      </c>
      <c r="D628">
        <v>243856</v>
      </c>
    </row>
    <row r="629" spans="1:4" x14ac:dyDescent="0.25">
      <c r="A629" t="str">
        <f>T("   TG")</f>
        <v xml:space="preserve">   TG</v>
      </c>
      <c r="B629" t="str">
        <f>T("   Togo")</f>
        <v xml:space="preserve">   Togo</v>
      </c>
      <c r="C629">
        <v>25166986</v>
      </c>
      <c r="D629">
        <v>371820</v>
      </c>
    </row>
    <row r="630" spans="1:4" x14ac:dyDescent="0.25">
      <c r="A630" t="str">
        <f>T("080410")</f>
        <v>080410</v>
      </c>
      <c r="B630" t="str">
        <f>T("Dattes, fraîches ou sèches")</f>
        <v>Dattes, fraîches ou sèches</v>
      </c>
    </row>
    <row r="631" spans="1:4" x14ac:dyDescent="0.25">
      <c r="A631" t="str">
        <f>T("   ZZZ_Monde")</f>
        <v xml:space="preserve">   ZZZ_Monde</v>
      </c>
      <c r="B631" t="str">
        <f>T("   ZZZ_Monde")</f>
        <v xml:space="preserve">   ZZZ_Monde</v>
      </c>
      <c r="C631">
        <v>4819973</v>
      </c>
      <c r="D631">
        <v>6727</v>
      </c>
    </row>
    <row r="632" spans="1:4" x14ac:dyDescent="0.25">
      <c r="A632" t="str">
        <f>T("   FR")</f>
        <v xml:space="preserve">   FR</v>
      </c>
      <c r="B632" t="str">
        <f>T("   France")</f>
        <v xml:space="preserve">   France</v>
      </c>
      <c r="C632">
        <v>4600226</v>
      </c>
      <c r="D632">
        <v>6127</v>
      </c>
    </row>
    <row r="633" spans="1:4" x14ac:dyDescent="0.25">
      <c r="A633" t="str">
        <f>T("   LB")</f>
        <v xml:space="preserve">   LB</v>
      </c>
      <c r="B633" t="str">
        <f>T("   Liban")</f>
        <v xml:space="preserve">   Liban</v>
      </c>
      <c r="C633">
        <v>219747</v>
      </c>
      <c r="D633">
        <v>600</v>
      </c>
    </row>
    <row r="634" spans="1:4" x14ac:dyDescent="0.25">
      <c r="A634" t="str">
        <f>T("080450")</f>
        <v>080450</v>
      </c>
      <c r="B634" t="str">
        <f>T("Goyaves, mangues et mangoustans, frais ou secs")</f>
        <v>Goyaves, mangues et mangoustans, frais ou secs</v>
      </c>
    </row>
    <row r="635" spans="1:4" x14ac:dyDescent="0.25">
      <c r="A635" t="str">
        <f>T("   ZZZ_Monde")</f>
        <v xml:space="preserve">   ZZZ_Monde</v>
      </c>
      <c r="B635" t="str">
        <f>T("   ZZZ_Monde")</f>
        <v xml:space="preserve">   ZZZ_Monde</v>
      </c>
      <c r="C635">
        <v>1694088</v>
      </c>
      <c r="D635">
        <v>19620</v>
      </c>
    </row>
    <row r="636" spans="1:4" x14ac:dyDescent="0.25">
      <c r="A636" t="str">
        <f>T("   TG")</f>
        <v xml:space="preserve">   TG</v>
      </c>
      <c r="B636" t="str">
        <f>T("   Togo")</f>
        <v xml:space="preserve">   Togo</v>
      </c>
      <c r="C636">
        <v>151270</v>
      </c>
      <c r="D636">
        <v>17540</v>
      </c>
    </row>
    <row r="637" spans="1:4" x14ac:dyDescent="0.25">
      <c r="A637" t="str">
        <f>T("   ZA")</f>
        <v xml:space="preserve">   ZA</v>
      </c>
      <c r="B637" t="str">
        <f>T("   Afrique du Sud")</f>
        <v xml:space="preserve">   Afrique du Sud</v>
      </c>
      <c r="C637">
        <v>1542818</v>
      </c>
      <c r="D637">
        <v>2080</v>
      </c>
    </row>
    <row r="638" spans="1:4" x14ac:dyDescent="0.25">
      <c r="A638" t="str">
        <f>T("080510")</f>
        <v>080510</v>
      </c>
      <c r="B638" t="str">
        <f>T("Oranges, fraîches ou sèches")</f>
        <v>Oranges, fraîches ou sèches</v>
      </c>
    </row>
    <row r="639" spans="1:4" x14ac:dyDescent="0.25">
      <c r="A639" t="str">
        <f>T("   ZZZ_Monde")</f>
        <v xml:space="preserve">   ZZZ_Monde</v>
      </c>
      <c r="B639" t="str">
        <f>T("   ZZZ_Monde")</f>
        <v xml:space="preserve">   ZZZ_Monde</v>
      </c>
      <c r="C639">
        <v>2871994</v>
      </c>
      <c r="D639">
        <v>12715</v>
      </c>
    </row>
    <row r="640" spans="1:4" x14ac:dyDescent="0.25">
      <c r="A640" t="str">
        <f>T("   FR")</f>
        <v xml:space="preserve">   FR</v>
      </c>
      <c r="B640" t="str">
        <f>T("   France")</f>
        <v xml:space="preserve">   France</v>
      </c>
      <c r="C640">
        <v>70944</v>
      </c>
      <c r="D640">
        <v>325</v>
      </c>
    </row>
    <row r="641" spans="1:4" x14ac:dyDescent="0.25">
      <c r="A641" t="str">
        <f>T("   ZA")</f>
        <v xml:space="preserve">   ZA</v>
      </c>
      <c r="B641" t="str">
        <f>T("   Afrique du Sud")</f>
        <v xml:space="preserve">   Afrique du Sud</v>
      </c>
      <c r="C641">
        <v>2801050</v>
      </c>
      <c r="D641">
        <v>12390</v>
      </c>
    </row>
    <row r="642" spans="1:4" x14ac:dyDescent="0.25">
      <c r="A642" t="str">
        <f>T("080520")</f>
        <v>080520</v>
      </c>
      <c r="B642" t="str">
        <f>T("Mandarines, y,c, les tangerines et les satsumas; clémentines, wilkings et hybrides simil, d'agrumes, frais ou secs")</f>
        <v>Mandarines, y,c, les tangerines et les satsumas; clémentines, wilkings et hybrides simil, d'agrumes, frais ou secs</v>
      </c>
    </row>
    <row r="643" spans="1:4" x14ac:dyDescent="0.25">
      <c r="A643" t="str">
        <f>T("   ZZZ_Monde")</f>
        <v xml:space="preserve">   ZZZ_Monde</v>
      </c>
      <c r="B643" t="str">
        <f>T("   ZZZ_Monde")</f>
        <v xml:space="preserve">   ZZZ_Monde</v>
      </c>
      <c r="C643">
        <v>8485019</v>
      </c>
      <c r="D643">
        <v>18353</v>
      </c>
    </row>
    <row r="644" spans="1:4" x14ac:dyDescent="0.25">
      <c r="A644" t="str">
        <f>T("   FR")</f>
        <v xml:space="preserve">   FR</v>
      </c>
      <c r="B644" t="str">
        <f>T("   France")</f>
        <v xml:space="preserve">   France</v>
      </c>
      <c r="C644">
        <v>2082192</v>
      </c>
      <c r="D644">
        <v>2243</v>
      </c>
    </row>
    <row r="645" spans="1:4" x14ac:dyDescent="0.25">
      <c r="A645" t="str">
        <f>T("   ZA")</f>
        <v xml:space="preserve">   ZA</v>
      </c>
      <c r="B645" t="str">
        <f>T("   Afrique du Sud")</f>
        <v xml:space="preserve">   Afrique du Sud</v>
      </c>
      <c r="C645">
        <v>6402827</v>
      </c>
      <c r="D645">
        <v>16110</v>
      </c>
    </row>
    <row r="646" spans="1:4" x14ac:dyDescent="0.25">
      <c r="A646" t="str">
        <f>T("080550")</f>
        <v>080550</v>
      </c>
      <c r="B646" t="s">
        <v>13</v>
      </c>
    </row>
    <row r="647" spans="1:4" x14ac:dyDescent="0.25">
      <c r="A647" t="str">
        <f>T("   ZZZ_Monde")</f>
        <v xml:space="preserve">   ZZZ_Monde</v>
      </c>
      <c r="B647" t="str">
        <f>T("   ZZZ_Monde")</f>
        <v xml:space="preserve">   ZZZ_Monde</v>
      </c>
      <c r="C647">
        <v>869876</v>
      </c>
      <c r="D647">
        <v>3660</v>
      </c>
    </row>
    <row r="648" spans="1:4" x14ac:dyDescent="0.25">
      <c r="A648" t="str">
        <f>T("   FR")</f>
        <v xml:space="preserve">   FR</v>
      </c>
      <c r="B648" t="str">
        <f>T("   France")</f>
        <v xml:space="preserve">   France</v>
      </c>
      <c r="C648">
        <v>187678</v>
      </c>
      <c r="D648">
        <v>644</v>
      </c>
    </row>
    <row r="649" spans="1:4" x14ac:dyDescent="0.25">
      <c r="A649" t="str">
        <f>T("   ZA")</f>
        <v xml:space="preserve">   ZA</v>
      </c>
      <c r="B649" t="str">
        <f>T("   Afrique du Sud")</f>
        <v xml:space="preserve">   Afrique du Sud</v>
      </c>
      <c r="C649">
        <v>682198</v>
      </c>
      <c r="D649">
        <v>3016</v>
      </c>
    </row>
    <row r="650" spans="1:4" x14ac:dyDescent="0.25">
      <c r="A650" t="str">
        <f>T("080610")</f>
        <v>080610</v>
      </c>
      <c r="B650" t="str">
        <f>T("Raisins, frais")</f>
        <v>Raisins, frais</v>
      </c>
    </row>
    <row r="651" spans="1:4" x14ac:dyDescent="0.25">
      <c r="A651" t="str">
        <f>T("   ZZZ_Monde")</f>
        <v xml:space="preserve">   ZZZ_Monde</v>
      </c>
      <c r="B651" t="str">
        <f>T("   ZZZ_Monde")</f>
        <v xml:space="preserve">   ZZZ_Monde</v>
      </c>
      <c r="C651">
        <v>596227940</v>
      </c>
      <c r="D651">
        <v>1128927</v>
      </c>
    </row>
    <row r="652" spans="1:4" x14ac:dyDescent="0.25">
      <c r="A652" t="str">
        <f>T("   CA")</f>
        <v xml:space="preserve">   CA</v>
      </c>
      <c r="B652" t="str">
        <f>T("   Canada")</f>
        <v xml:space="preserve">   Canada</v>
      </c>
      <c r="C652">
        <v>5000100</v>
      </c>
      <c r="D652">
        <v>18589</v>
      </c>
    </row>
    <row r="653" spans="1:4" x14ac:dyDescent="0.25">
      <c r="A653" t="str">
        <f>T("   CL")</f>
        <v xml:space="preserve">   CL</v>
      </c>
      <c r="B653" t="str">
        <f>T("   Chili")</f>
        <v xml:space="preserve">   Chili</v>
      </c>
      <c r="C653">
        <v>47795192</v>
      </c>
      <c r="D653">
        <v>98952</v>
      </c>
    </row>
    <row r="654" spans="1:4" x14ac:dyDescent="0.25">
      <c r="A654" t="str">
        <f>T("   CU")</f>
        <v xml:space="preserve">   CU</v>
      </c>
      <c r="B654" t="str">
        <f>T("   Cuba")</f>
        <v xml:space="preserve">   Cuba</v>
      </c>
      <c r="C654">
        <v>8000000</v>
      </c>
      <c r="D654">
        <v>20520</v>
      </c>
    </row>
    <row r="655" spans="1:4" x14ac:dyDescent="0.25">
      <c r="A655" t="str">
        <f>T("   EG")</f>
        <v xml:space="preserve">   EG</v>
      </c>
      <c r="B655" t="str">
        <f>T("   Egypte")</f>
        <v xml:space="preserve">   Egypte</v>
      </c>
      <c r="C655">
        <v>60000485</v>
      </c>
      <c r="D655">
        <v>126200</v>
      </c>
    </row>
    <row r="656" spans="1:4" x14ac:dyDescent="0.25">
      <c r="A656" t="str">
        <f>T("   ES")</f>
        <v xml:space="preserve">   ES</v>
      </c>
      <c r="B656" t="str">
        <f>T("   Espagne")</f>
        <v xml:space="preserve">   Espagne</v>
      </c>
      <c r="C656">
        <v>8000744</v>
      </c>
      <c r="D656">
        <v>16137</v>
      </c>
    </row>
    <row r="657" spans="1:4" x14ac:dyDescent="0.25">
      <c r="A657" t="str">
        <f>T("   FR")</f>
        <v xml:space="preserve">   FR</v>
      </c>
      <c r="B657" t="str">
        <f>T("   France")</f>
        <v xml:space="preserve">   France</v>
      </c>
      <c r="C657">
        <v>28797296</v>
      </c>
      <c r="D657">
        <v>65197</v>
      </c>
    </row>
    <row r="658" spans="1:4" x14ac:dyDescent="0.25">
      <c r="A658" t="str">
        <f>T("   IT")</f>
        <v xml:space="preserve">   IT</v>
      </c>
      <c r="B658" t="str">
        <f>T("   Italie")</f>
        <v xml:space="preserve">   Italie</v>
      </c>
      <c r="C658">
        <v>118524787</v>
      </c>
      <c r="D658">
        <v>268163</v>
      </c>
    </row>
    <row r="659" spans="1:4" x14ac:dyDescent="0.25">
      <c r="A659" t="str">
        <f>T("   TG")</f>
        <v xml:space="preserve">   TG</v>
      </c>
      <c r="B659" t="str">
        <f>T("   Togo")</f>
        <v xml:space="preserve">   Togo</v>
      </c>
      <c r="C659">
        <v>2296059</v>
      </c>
      <c r="D659">
        <v>16600</v>
      </c>
    </row>
    <row r="660" spans="1:4" x14ac:dyDescent="0.25">
      <c r="A660" t="str">
        <f>T("   US")</f>
        <v xml:space="preserve">   US</v>
      </c>
      <c r="B660" t="str">
        <f>T("   Etats-Unis")</f>
        <v xml:space="preserve">   Etats-Unis</v>
      </c>
      <c r="C660">
        <v>40001097</v>
      </c>
      <c r="D660">
        <v>93245</v>
      </c>
    </row>
    <row r="661" spans="1:4" x14ac:dyDescent="0.25">
      <c r="A661" t="str">
        <f>T("   Z2")</f>
        <v xml:space="preserve">   Z2</v>
      </c>
      <c r="B661" t="str">
        <f>T("   Pays non défini")</f>
        <v xml:space="preserve">   Pays non défini</v>
      </c>
      <c r="C661">
        <v>529000</v>
      </c>
      <c r="D661">
        <v>17000</v>
      </c>
    </row>
    <row r="662" spans="1:4" x14ac:dyDescent="0.25">
      <c r="A662" t="str">
        <f>T("   ZA")</f>
        <v xml:space="preserve">   ZA</v>
      </c>
      <c r="B662" t="str">
        <f>T("   Afrique du Sud")</f>
        <v xml:space="preserve">   Afrique du Sud</v>
      </c>
      <c r="C662">
        <v>277283180</v>
      </c>
      <c r="D662">
        <v>388324</v>
      </c>
    </row>
    <row r="663" spans="1:4" x14ac:dyDescent="0.25">
      <c r="A663" t="str">
        <f>T("080620")</f>
        <v>080620</v>
      </c>
      <c r="B663" t="str">
        <f>T("Raisins, secs")</f>
        <v>Raisins, secs</v>
      </c>
    </row>
    <row r="664" spans="1:4" x14ac:dyDescent="0.25">
      <c r="A664" t="str">
        <f>T("   ZZZ_Monde")</f>
        <v xml:space="preserve">   ZZZ_Monde</v>
      </c>
      <c r="B664" t="str">
        <f>T("   ZZZ_Monde")</f>
        <v xml:space="preserve">   ZZZ_Monde</v>
      </c>
      <c r="C664">
        <v>2871137</v>
      </c>
      <c r="D664">
        <v>5265</v>
      </c>
    </row>
    <row r="665" spans="1:4" x14ac:dyDescent="0.25">
      <c r="A665" t="str">
        <f>T("   FR")</f>
        <v xml:space="preserve">   FR</v>
      </c>
      <c r="B665" t="str">
        <f>T("   France")</f>
        <v xml:space="preserve">   France</v>
      </c>
      <c r="C665">
        <v>2871137</v>
      </c>
      <c r="D665">
        <v>5265</v>
      </c>
    </row>
    <row r="666" spans="1:4" x14ac:dyDescent="0.25">
      <c r="A666" t="str">
        <f>T("080719")</f>
        <v>080719</v>
      </c>
      <c r="B666" t="str">
        <f>T("Melons, frais (à l'excl, des pastèques)")</f>
        <v>Melons, frais (à l'excl, des pastèques)</v>
      </c>
    </row>
    <row r="667" spans="1:4" x14ac:dyDescent="0.25">
      <c r="A667" t="str">
        <f>T("   ZZZ_Monde")</f>
        <v xml:space="preserve">   ZZZ_Monde</v>
      </c>
      <c r="B667" t="str">
        <f>T("   ZZZ_Monde")</f>
        <v xml:space="preserve">   ZZZ_Monde</v>
      </c>
      <c r="C667">
        <v>12463</v>
      </c>
      <c r="D667">
        <v>76</v>
      </c>
    </row>
    <row r="668" spans="1:4" x14ac:dyDescent="0.25">
      <c r="A668" t="str">
        <f>T("   FR")</f>
        <v xml:space="preserve">   FR</v>
      </c>
      <c r="B668" t="str">
        <f>T("   France")</f>
        <v xml:space="preserve">   France</v>
      </c>
      <c r="C668">
        <v>12463</v>
      </c>
      <c r="D668">
        <v>76</v>
      </c>
    </row>
    <row r="669" spans="1:4" x14ac:dyDescent="0.25">
      <c r="A669" t="str">
        <f>T("080810")</f>
        <v>080810</v>
      </c>
      <c r="B669" t="str">
        <f>T("Pommes, fraîches")</f>
        <v>Pommes, fraîches</v>
      </c>
    </row>
    <row r="670" spans="1:4" x14ac:dyDescent="0.25">
      <c r="A670" t="str">
        <f>T("   ZZZ_Monde")</f>
        <v xml:space="preserve">   ZZZ_Monde</v>
      </c>
      <c r="B670" t="str">
        <f>T("   ZZZ_Monde")</f>
        <v xml:space="preserve">   ZZZ_Monde</v>
      </c>
      <c r="C670">
        <v>8868370527</v>
      </c>
      <c r="D670">
        <v>23900590</v>
      </c>
    </row>
    <row r="671" spans="1:4" x14ac:dyDescent="0.25">
      <c r="A671" t="str">
        <f>T("   BE")</f>
        <v xml:space="preserve">   BE</v>
      </c>
      <c r="B671" t="str">
        <f>T("   Belgique")</f>
        <v xml:space="preserve">   Belgique</v>
      </c>
      <c r="C671">
        <v>9586199</v>
      </c>
      <c r="D671">
        <v>21168</v>
      </c>
    </row>
    <row r="672" spans="1:4" x14ac:dyDescent="0.25">
      <c r="A672" t="str">
        <f>T("   CA")</f>
        <v xml:space="preserve">   CA</v>
      </c>
      <c r="B672" t="str">
        <f>T("   Canada")</f>
        <v xml:space="preserve">   Canada</v>
      </c>
      <c r="C672">
        <v>281604515</v>
      </c>
      <c r="D672">
        <v>929509</v>
      </c>
    </row>
    <row r="673" spans="1:4" x14ac:dyDescent="0.25">
      <c r="A673" t="str">
        <f>T("   CL")</f>
        <v xml:space="preserve">   CL</v>
      </c>
      <c r="B673" t="str">
        <f>T("   Chili")</f>
        <v xml:space="preserve">   Chili</v>
      </c>
      <c r="C673">
        <v>16000000</v>
      </c>
      <c r="D673">
        <v>41846</v>
      </c>
    </row>
    <row r="674" spans="1:4" x14ac:dyDescent="0.25">
      <c r="A674" t="str">
        <f>T("   CN")</f>
        <v xml:space="preserve">   CN</v>
      </c>
      <c r="B674" t="str">
        <f>T("   Chine")</f>
        <v xml:space="preserve">   Chine</v>
      </c>
      <c r="C674">
        <v>24979624</v>
      </c>
      <c r="D674">
        <v>75780</v>
      </c>
    </row>
    <row r="675" spans="1:4" x14ac:dyDescent="0.25">
      <c r="A675" t="str">
        <f>T("   CY")</f>
        <v xml:space="preserve">   CY</v>
      </c>
      <c r="B675" t="str">
        <f>T("   Chypre")</f>
        <v xml:space="preserve">   Chypre</v>
      </c>
      <c r="C675">
        <v>8000088</v>
      </c>
      <c r="D675">
        <v>23344</v>
      </c>
    </row>
    <row r="676" spans="1:4" x14ac:dyDescent="0.25">
      <c r="A676" t="str">
        <f>T("   FR")</f>
        <v xml:space="preserve">   FR</v>
      </c>
      <c r="B676" t="str">
        <f>T("   France")</f>
        <v xml:space="preserve">   France</v>
      </c>
      <c r="C676">
        <v>124406912</v>
      </c>
      <c r="D676">
        <v>313150</v>
      </c>
    </row>
    <row r="677" spans="1:4" x14ac:dyDescent="0.25">
      <c r="A677" t="str">
        <f>T("   IT")</f>
        <v xml:space="preserve">   IT</v>
      </c>
      <c r="B677" t="str">
        <f>T("   Italie")</f>
        <v xml:space="preserve">   Italie</v>
      </c>
      <c r="C677">
        <v>27071030</v>
      </c>
      <c r="D677">
        <v>59536</v>
      </c>
    </row>
    <row r="678" spans="1:4" x14ac:dyDescent="0.25">
      <c r="A678" t="str">
        <f>T("   TG")</f>
        <v xml:space="preserve">   TG</v>
      </c>
      <c r="B678" t="str">
        <f>T("   Togo")</f>
        <v xml:space="preserve">   Togo</v>
      </c>
      <c r="C678">
        <v>37104427</v>
      </c>
      <c r="D678">
        <v>322908</v>
      </c>
    </row>
    <row r="679" spans="1:4" x14ac:dyDescent="0.25">
      <c r="A679" t="str">
        <f>T("   ZA")</f>
        <v xml:space="preserve">   ZA</v>
      </c>
      <c r="B679" t="str">
        <f>T("   Afrique du Sud")</f>
        <v xml:space="preserve">   Afrique du Sud</v>
      </c>
      <c r="C679">
        <v>8339617732</v>
      </c>
      <c r="D679">
        <v>22113349</v>
      </c>
    </row>
    <row r="680" spans="1:4" x14ac:dyDescent="0.25">
      <c r="A680" t="str">
        <f>T("080820")</f>
        <v>080820</v>
      </c>
      <c r="B680" t="str">
        <f>T("Poires et coings, frais")</f>
        <v>Poires et coings, frais</v>
      </c>
    </row>
    <row r="681" spans="1:4" x14ac:dyDescent="0.25">
      <c r="A681" t="str">
        <f>T("   ZZZ_Monde")</f>
        <v xml:space="preserve">   ZZZ_Monde</v>
      </c>
      <c r="B681" t="str">
        <f>T("   ZZZ_Monde")</f>
        <v xml:space="preserve">   ZZZ_Monde</v>
      </c>
      <c r="C681">
        <v>196460937</v>
      </c>
      <c r="D681">
        <v>605462</v>
      </c>
    </row>
    <row r="682" spans="1:4" x14ac:dyDescent="0.25">
      <c r="A682" t="str">
        <f>T("   CA")</f>
        <v xml:space="preserve">   CA</v>
      </c>
      <c r="B682" t="str">
        <f>T("   Canada")</f>
        <v xml:space="preserve">   Canada</v>
      </c>
      <c r="C682">
        <v>2562605</v>
      </c>
      <c r="D682">
        <v>8604</v>
      </c>
    </row>
    <row r="683" spans="1:4" x14ac:dyDescent="0.25">
      <c r="A683" t="str">
        <f>T("   TG")</f>
        <v xml:space="preserve">   TG</v>
      </c>
      <c r="B683" t="str">
        <f>T("   Togo")</f>
        <v xml:space="preserve">   Togo</v>
      </c>
      <c r="C683">
        <v>2056126</v>
      </c>
      <c r="D683">
        <v>22772</v>
      </c>
    </row>
    <row r="684" spans="1:4" x14ac:dyDescent="0.25">
      <c r="A684" t="str">
        <f>T("   ZA")</f>
        <v xml:space="preserve">   ZA</v>
      </c>
      <c r="B684" t="str">
        <f>T("   Afrique du Sud")</f>
        <v xml:space="preserve">   Afrique du Sud</v>
      </c>
      <c r="C684">
        <v>191842206</v>
      </c>
      <c r="D684">
        <v>574086</v>
      </c>
    </row>
    <row r="685" spans="1:4" x14ac:dyDescent="0.25">
      <c r="A685" t="str">
        <f>T("080920")</f>
        <v>080920</v>
      </c>
      <c r="B685" t="str">
        <f>T("Cerises, fraîches")</f>
        <v>Cerises, fraîches</v>
      </c>
    </row>
    <row r="686" spans="1:4" x14ac:dyDescent="0.25">
      <c r="A686" t="str">
        <f>T("   ZZZ_Monde")</f>
        <v xml:space="preserve">   ZZZ_Monde</v>
      </c>
      <c r="B686" t="str">
        <f>T("   ZZZ_Monde")</f>
        <v xml:space="preserve">   ZZZ_Monde</v>
      </c>
      <c r="C686">
        <v>73341</v>
      </c>
      <c r="D686">
        <v>650</v>
      </c>
    </row>
    <row r="687" spans="1:4" x14ac:dyDescent="0.25">
      <c r="A687" t="str">
        <f>T("   FR")</f>
        <v xml:space="preserve">   FR</v>
      </c>
      <c r="B687" t="str">
        <f>T("   France")</f>
        <v xml:space="preserve">   France</v>
      </c>
      <c r="C687">
        <v>73341</v>
      </c>
      <c r="D687">
        <v>650</v>
      </c>
    </row>
    <row r="688" spans="1:4" x14ac:dyDescent="0.25">
      <c r="A688" t="str">
        <f>T("080930")</f>
        <v>080930</v>
      </c>
      <c r="B688" t="str">
        <f>T("Pêches, y,c, les brugnons et nectarines, fraîches")</f>
        <v>Pêches, y,c, les brugnons et nectarines, fraîches</v>
      </c>
    </row>
    <row r="689" spans="1:4" x14ac:dyDescent="0.25">
      <c r="A689" t="str">
        <f>T("   ZZZ_Monde")</f>
        <v xml:space="preserve">   ZZZ_Monde</v>
      </c>
      <c r="B689" t="str">
        <f>T("   ZZZ_Monde")</f>
        <v xml:space="preserve">   ZZZ_Monde</v>
      </c>
      <c r="C689">
        <v>2135856</v>
      </c>
      <c r="D689">
        <v>11483</v>
      </c>
    </row>
    <row r="690" spans="1:4" x14ac:dyDescent="0.25">
      <c r="A690" t="str">
        <f>T("   CA")</f>
        <v xml:space="preserve">   CA</v>
      </c>
      <c r="B690" t="str">
        <f>T("   Canada")</f>
        <v xml:space="preserve">   Canada</v>
      </c>
      <c r="C690">
        <v>122714</v>
      </c>
      <c r="D690">
        <v>175</v>
      </c>
    </row>
    <row r="691" spans="1:4" x14ac:dyDescent="0.25">
      <c r="A691" t="str">
        <f>T("   ZA")</f>
        <v xml:space="preserve">   ZA</v>
      </c>
      <c r="B691" t="str">
        <f>T("   Afrique du Sud")</f>
        <v xml:space="preserve">   Afrique du Sud</v>
      </c>
      <c r="C691">
        <v>2013142</v>
      </c>
      <c r="D691">
        <v>11308</v>
      </c>
    </row>
    <row r="692" spans="1:4" x14ac:dyDescent="0.25">
      <c r="A692" t="str">
        <f>T("080940")</f>
        <v>080940</v>
      </c>
      <c r="B692" t="str">
        <f>T("Prunes et prunelles, fraîches")</f>
        <v>Prunes et prunelles, fraîches</v>
      </c>
    </row>
    <row r="693" spans="1:4" x14ac:dyDescent="0.25">
      <c r="A693" t="str">
        <f>T("   ZZZ_Monde")</f>
        <v xml:space="preserve">   ZZZ_Monde</v>
      </c>
      <c r="B693" t="str">
        <f>T("   ZZZ_Monde")</f>
        <v xml:space="preserve">   ZZZ_Monde</v>
      </c>
      <c r="C693">
        <v>30233792</v>
      </c>
      <c r="D693">
        <v>40838</v>
      </c>
    </row>
    <row r="694" spans="1:4" x14ac:dyDescent="0.25">
      <c r="A694" t="str">
        <f>T("   CA")</f>
        <v xml:space="preserve">   CA</v>
      </c>
      <c r="B694" t="str">
        <f>T("   Canada")</f>
        <v xml:space="preserve">   Canada</v>
      </c>
      <c r="C694">
        <v>87721</v>
      </c>
      <c r="D694">
        <v>250</v>
      </c>
    </row>
    <row r="695" spans="1:4" x14ac:dyDescent="0.25">
      <c r="A695" t="str">
        <f>T("   ZA")</f>
        <v xml:space="preserve">   ZA</v>
      </c>
      <c r="B695" t="str">
        <f>T("   Afrique du Sud")</f>
        <v xml:space="preserve">   Afrique du Sud</v>
      </c>
      <c r="C695">
        <v>30146071</v>
      </c>
      <c r="D695">
        <v>40588</v>
      </c>
    </row>
    <row r="696" spans="1:4" x14ac:dyDescent="0.25">
      <c r="A696" t="str">
        <f>T("081050")</f>
        <v>081050</v>
      </c>
      <c r="B696" t="str">
        <f>T("Kiwis, frais")</f>
        <v>Kiwis, frais</v>
      </c>
    </row>
    <row r="697" spans="1:4" x14ac:dyDescent="0.25">
      <c r="A697" t="str">
        <f>T("   ZZZ_Monde")</f>
        <v xml:space="preserve">   ZZZ_Monde</v>
      </c>
      <c r="B697" t="str">
        <f>T("   ZZZ_Monde")</f>
        <v xml:space="preserve">   ZZZ_Monde</v>
      </c>
      <c r="C697">
        <v>19023</v>
      </c>
      <c r="D697">
        <v>15</v>
      </c>
    </row>
    <row r="698" spans="1:4" x14ac:dyDescent="0.25">
      <c r="A698" t="str">
        <f>T("   FR")</f>
        <v xml:space="preserve">   FR</v>
      </c>
      <c r="B698" t="str">
        <f>T("   France")</f>
        <v xml:space="preserve">   France</v>
      </c>
      <c r="C698">
        <v>19023</v>
      </c>
      <c r="D698">
        <v>15</v>
      </c>
    </row>
    <row r="699" spans="1:4" x14ac:dyDescent="0.25">
      <c r="A699" t="str">
        <f>T("081090")</f>
        <v>081090</v>
      </c>
      <c r="B699" t="str">
        <f>T("Tamarins, pommes de cajou, fruits du jaquier [pain des singes], litchis, sapotilles, fruits de la passion, caramboles, pitahayas et autres fruits comestibles frais (sauf fruits à coque, bananes, dattes, figues, ananas, avocats, goyaves, mangues, mangousta")</f>
        <v>Tamarins, pommes de cajou, fruits du jaquier [pain des singes], litchis, sapotilles, fruits de la passion, caramboles, pitahayas et autres fruits comestibles frais (sauf fruits à coque, bananes, dattes, figues, ananas, avocats, goyaves, mangues, mangousta</v>
      </c>
    </row>
    <row r="700" spans="1:4" x14ac:dyDescent="0.25">
      <c r="A700" t="str">
        <f>T("   ZZZ_Monde")</f>
        <v xml:space="preserve">   ZZZ_Monde</v>
      </c>
      <c r="B700" t="str">
        <f>T("   ZZZ_Monde")</f>
        <v xml:space="preserve">   ZZZ_Monde</v>
      </c>
      <c r="C700">
        <v>2267147</v>
      </c>
      <c r="D700">
        <v>2542</v>
      </c>
    </row>
    <row r="701" spans="1:4" x14ac:dyDescent="0.25">
      <c r="A701" t="str">
        <f>T("   CA")</f>
        <v xml:space="preserve">   CA</v>
      </c>
      <c r="B701" t="str">
        <f>T("   Canada")</f>
        <v xml:space="preserve">   Canada</v>
      </c>
      <c r="C701">
        <v>87721</v>
      </c>
      <c r="D701">
        <v>100</v>
      </c>
    </row>
    <row r="702" spans="1:4" x14ac:dyDescent="0.25">
      <c r="A702" t="str">
        <f>T("   FR")</f>
        <v xml:space="preserve">   FR</v>
      </c>
      <c r="B702" t="str">
        <f>T("   France")</f>
        <v xml:space="preserve">   France</v>
      </c>
      <c r="C702">
        <v>2179426</v>
      </c>
      <c r="D702">
        <v>2442</v>
      </c>
    </row>
    <row r="703" spans="1:4" x14ac:dyDescent="0.25">
      <c r="A703" t="str">
        <f>T("081190")</f>
        <v>081190</v>
      </c>
      <c r="B703" t="str">
        <f>T("FRUITS COMESTIBLES, NON-CUITS OU CUITS À L'EAU OU À LA VAPEUR, CONGELÉS, MÊME ADDITIONNÉS DE SUCRE OU D'AUTRES ÉDULCORANTS (À L'EXCL, DES FRAISES, DES FRAMBOISES, DES MÛRES DE RONCE OU DE MÛRIER, DES MÛRES-FRAMBOISES ET DES GROSEILLES À GRAPPES OU À MAQUE")</f>
        <v>FRUITS COMESTIBLES, NON-CUITS OU CUITS À L'EAU OU À LA VAPEUR, CONGELÉS, MÊME ADDITIONNÉS DE SUCRE OU D'AUTRES ÉDULCORANTS (À L'EXCL, DES FRAISES, DES FRAMBOISES, DES MÛRES DE RONCE OU DE MÛRIER, DES MÛRES-FRAMBOISES ET DES GROSEILLES À GRAPPES OU À MAQUE</v>
      </c>
    </row>
    <row r="704" spans="1:4" x14ac:dyDescent="0.25">
      <c r="A704" t="str">
        <f>T("   ZZZ_Monde")</f>
        <v xml:space="preserve">   ZZZ_Monde</v>
      </c>
      <c r="B704" t="str">
        <f>T("   ZZZ_Monde")</f>
        <v xml:space="preserve">   ZZZ_Monde</v>
      </c>
      <c r="C704">
        <v>62126</v>
      </c>
      <c r="D704">
        <v>293.85000000000002</v>
      </c>
    </row>
    <row r="705" spans="1:4" x14ac:dyDescent="0.25">
      <c r="A705" t="str">
        <f>T("   FR")</f>
        <v xml:space="preserve">   FR</v>
      </c>
      <c r="B705" t="str">
        <f>T("   France")</f>
        <v xml:space="preserve">   France</v>
      </c>
      <c r="C705">
        <v>62126</v>
      </c>
      <c r="D705">
        <v>293.85000000000002</v>
      </c>
    </row>
    <row r="706" spans="1:4" x14ac:dyDescent="0.25">
      <c r="A706" t="str">
        <f>T("081330")</f>
        <v>081330</v>
      </c>
      <c r="B706" t="str">
        <f>T("Pommes, séchées")</f>
        <v>Pommes, séchées</v>
      </c>
    </row>
    <row r="707" spans="1:4" x14ac:dyDescent="0.25">
      <c r="A707" t="str">
        <f>T("   ZZZ_Monde")</f>
        <v xml:space="preserve">   ZZZ_Monde</v>
      </c>
      <c r="B707" t="str">
        <f>T("   ZZZ_Monde")</f>
        <v xml:space="preserve">   ZZZ_Monde</v>
      </c>
      <c r="C707">
        <v>75633</v>
      </c>
      <c r="D707">
        <v>1750</v>
      </c>
    </row>
    <row r="708" spans="1:4" x14ac:dyDescent="0.25">
      <c r="A708" t="str">
        <f>T("   TG")</f>
        <v xml:space="preserve">   TG</v>
      </c>
      <c r="B708" t="str">
        <f>T("   Togo")</f>
        <v xml:space="preserve">   Togo</v>
      </c>
      <c r="C708">
        <v>75633</v>
      </c>
      <c r="D708">
        <v>1750</v>
      </c>
    </row>
    <row r="709" spans="1:4" x14ac:dyDescent="0.25">
      <c r="A709" t="str">
        <f>T("081340")</f>
        <v>081340</v>
      </c>
      <c r="B709" t="str">
        <f>T("PÊCHES, POIRES, PAPAYES, TAMARINS ET AUTRES FRUITS COMESTIBLES, SÉCHÉS (SAUF FRUITS À COQUE, BANANES, DATTES, FIGUES, ANANAS, AVOCATS, GOYAVES, MANGUES, MAGOUSTANS, AGRUMES, RAISINS, ABRICOTS, PRUNES ET POMMES, NON-MÉLANGÉS)")</f>
        <v>PÊCHES, POIRES, PAPAYES, TAMARINS ET AUTRES FRUITS COMESTIBLES, SÉCHÉS (SAUF FRUITS À COQUE, BANANES, DATTES, FIGUES, ANANAS, AVOCATS, GOYAVES, MANGUES, MAGOUSTANS, AGRUMES, RAISINS, ABRICOTS, PRUNES ET POMMES, NON-MÉLANGÉS)</v>
      </c>
    </row>
    <row r="710" spans="1:4" x14ac:dyDescent="0.25">
      <c r="A710" t="str">
        <f>T("   ZZZ_Monde")</f>
        <v xml:space="preserve">   ZZZ_Monde</v>
      </c>
      <c r="B710" t="str">
        <f>T("   ZZZ_Monde")</f>
        <v xml:space="preserve">   ZZZ_Monde</v>
      </c>
      <c r="C710">
        <v>43220</v>
      </c>
      <c r="D710">
        <v>1800</v>
      </c>
    </row>
    <row r="711" spans="1:4" x14ac:dyDescent="0.25">
      <c r="A711" t="str">
        <f>T("   TG")</f>
        <v xml:space="preserve">   TG</v>
      </c>
      <c r="B711" t="str">
        <f>T("   Togo")</f>
        <v xml:space="preserve">   Togo</v>
      </c>
      <c r="C711">
        <v>43220</v>
      </c>
      <c r="D711">
        <v>1800</v>
      </c>
    </row>
    <row r="712" spans="1:4" x14ac:dyDescent="0.25">
      <c r="A712" t="str">
        <f>T("090111")</f>
        <v>090111</v>
      </c>
      <c r="B712" t="str">
        <f>T("Café, non torréfié, non décaféiné")</f>
        <v>Café, non torréfié, non décaféiné</v>
      </c>
    </row>
    <row r="713" spans="1:4" x14ac:dyDescent="0.25">
      <c r="A713" t="str">
        <f>T("   ZZZ_Monde")</f>
        <v xml:space="preserve">   ZZZ_Monde</v>
      </c>
      <c r="B713" t="str">
        <f>T("   ZZZ_Monde")</f>
        <v xml:space="preserve">   ZZZ_Monde</v>
      </c>
      <c r="C713">
        <v>17484360</v>
      </c>
      <c r="D713">
        <v>52468</v>
      </c>
    </row>
    <row r="714" spans="1:4" x14ac:dyDescent="0.25">
      <c r="A714" t="str">
        <f>T("   BE")</f>
        <v xml:space="preserve">   BE</v>
      </c>
      <c r="B714" t="str">
        <f>T("   Belgique")</f>
        <v xml:space="preserve">   Belgique</v>
      </c>
      <c r="C714">
        <v>150956</v>
      </c>
      <c r="D714">
        <v>33</v>
      </c>
    </row>
    <row r="715" spans="1:4" x14ac:dyDescent="0.25">
      <c r="A715" t="str">
        <f>T("   CN")</f>
        <v xml:space="preserve">   CN</v>
      </c>
      <c r="B715" t="str">
        <f>T("   Chine")</f>
        <v xml:space="preserve">   Chine</v>
      </c>
      <c r="C715">
        <v>10383480</v>
      </c>
      <c r="D715">
        <v>34980</v>
      </c>
    </row>
    <row r="716" spans="1:4" x14ac:dyDescent="0.25">
      <c r="A716" t="str">
        <f>T("   FR")</f>
        <v xml:space="preserve">   FR</v>
      </c>
      <c r="B716" t="str">
        <f>T("   France")</f>
        <v xml:space="preserve">   France</v>
      </c>
      <c r="C716">
        <v>1227957</v>
      </c>
      <c r="D716">
        <v>295</v>
      </c>
    </row>
    <row r="717" spans="1:4" x14ac:dyDescent="0.25">
      <c r="A717" t="str">
        <f>T("   IN")</f>
        <v xml:space="preserve">   IN</v>
      </c>
      <c r="B717" t="str">
        <f>T("   Inde")</f>
        <v xml:space="preserve">   Inde</v>
      </c>
      <c r="C717">
        <v>5403693</v>
      </c>
      <c r="D717">
        <v>15960</v>
      </c>
    </row>
    <row r="718" spans="1:4" x14ac:dyDescent="0.25">
      <c r="A718" t="str">
        <f>T("   LB")</f>
        <v xml:space="preserve">   LB</v>
      </c>
      <c r="B718" t="str">
        <f>T("   Liban")</f>
        <v xml:space="preserve">   Liban</v>
      </c>
      <c r="C718">
        <v>297197</v>
      </c>
      <c r="D718">
        <v>1150</v>
      </c>
    </row>
    <row r="719" spans="1:4" x14ac:dyDescent="0.25">
      <c r="A719" t="str">
        <f>T("   TG")</f>
        <v xml:space="preserve">   TG</v>
      </c>
      <c r="B719" t="str">
        <f>T("   Togo")</f>
        <v xml:space="preserve">   Togo</v>
      </c>
      <c r="C719">
        <v>21077</v>
      </c>
      <c r="D719">
        <v>50</v>
      </c>
    </row>
    <row r="720" spans="1:4" x14ac:dyDescent="0.25">
      <c r="A720" t="str">
        <f>T("090112")</f>
        <v>090112</v>
      </c>
      <c r="B720" t="str">
        <f>T("Café, non torréfié, décaféiné")</f>
        <v>Café, non torréfié, décaféiné</v>
      </c>
    </row>
    <row r="721" spans="1:4" x14ac:dyDescent="0.25">
      <c r="A721" t="str">
        <f>T("   ZZZ_Monde")</f>
        <v xml:space="preserve">   ZZZ_Monde</v>
      </c>
      <c r="B721" t="str">
        <f>T("   ZZZ_Monde")</f>
        <v xml:space="preserve">   ZZZ_Monde</v>
      </c>
      <c r="C721">
        <v>1561773</v>
      </c>
      <c r="D721">
        <v>4500</v>
      </c>
    </row>
    <row r="722" spans="1:4" x14ac:dyDescent="0.25">
      <c r="A722" t="str">
        <f>T("   FR")</f>
        <v xml:space="preserve">   FR</v>
      </c>
      <c r="B722" t="str">
        <f>T("   France")</f>
        <v xml:space="preserve">   France</v>
      </c>
      <c r="C722">
        <v>1361773</v>
      </c>
      <c r="D722">
        <v>2500</v>
      </c>
    </row>
    <row r="723" spans="1:4" x14ac:dyDescent="0.25">
      <c r="A723" t="str">
        <f>T("   TG")</f>
        <v xml:space="preserve">   TG</v>
      </c>
      <c r="B723" t="str">
        <f>T("   Togo")</f>
        <v xml:space="preserve">   Togo</v>
      </c>
      <c r="C723">
        <v>200000</v>
      </c>
      <c r="D723">
        <v>2000</v>
      </c>
    </row>
    <row r="724" spans="1:4" x14ac:dyDescent="0.25">
      <c r="A724" t="str">
        <f>T("090121")</f>
        <v>090121</v>
      </c>
      <c r="B724" t="str">
        <f>T("Café, torréfié, non décaféiné")</f>
        <v>Café, torréfié, non décaféiné</v>
      </c>
    </row>
    <row r="725" spans="1:4" x14ac:dyDescent="0.25">
      <c r="A725" t="str">
        <f>T("   ZZZ_Monde")</f>
        <v xml:space="preserve">   ZZZ_Monde</v>
      </c>
      <c r="B725" t="str">
        <f>T("   ZZZ_Monde")</f>
        <v xml:space="preserve">   ZZZ_Monde</v>
      </c>
      <c r="C725">
        <v>28466095</v>
      </c>
      <c r="D725">
        <v>24505</v>
      </c>
    </row>
    <row r="726" spans="1:4" x14ac:dyDescent="0.25">
      <c r="A726" t="str">
        <f>T("   FR")</f>
        <v xml:space="preserve">   FR</v>
      </c>
      <c r="B726" t="str">
        <f>T("   France")</f>
        <v xml:space="preserve">   France</v>
      </c>
      <c r="C726">
        <v>14335350</v>
      </c>
      <c r="D726">
        <v>6611</v>
      </c>
    </row>
    <row r="727" spans="1:4" x14ac:dyDescent="0.25">
      <c r="A727" t="str">
        <f>T("   IN")</f>
        <v xml:space="preserve">   IN</v>
      </c>
      <c r="B727" t="str">
        <f>T("   Inde")</f>
        <v xml:space="preserve">   Inde</v>
      </c>
      <c r="C727">
        <v>10805028</v>
      </c>
      <c r="D727">
        <v>17442</v>
      </c>
    </row>
    <row r="728" spans="1:4" x14ac:dyDescent="0.25">
      <c r="A728" t="str">
        <f>T("   IT")</f>
        <v xml:space="preserve">   IT</v>
      </c>
      <c r="B728" t="str">
        <f>T("   Italie")</f>
        <v xml:space="preserve">   Italie</v>
      </c>
      <c r="C728">
        <v>3325717</v>
      </c>
      <c r="D728">
        <v>452</v>
      </c>
    </row>
    <row r="729" spans="1:4" x14ac:dyDescent="0.25">
      <c r="A729" t="str">
        <f>T("090122")</f>
        <v>090122</v>
      </c>
      <c r="B729" t="str">
        <f>T("Café, torréfié, décaféiné")</f>
        <v>Café, torréfié, décaféiné</v>
      </c>
    </row>
    <row r="730" spans="1:4" x14ac:dyDescent="0.25">
      <c r="A730" t="str">
        <f>T("   ZZZ_Monde")</f>
        <v xml:space="preserve">   ZZZ_Monde</v>
      </c>
      <c r="B730" t="str">
        <f>T("   ZZZ_Monde")</f>
        <v xml:space="preserve">   ZZZ_Monde</v>
      </c>
      <c r="C730">
        <v>1852431</v>
      </c>
      <c r="D730">
        <v>1277</v>
      </c>
    </row>
    <row r="731" spans="1:4" x14ac:dyDescent="0.25">
      <c r="A731" t="str">
        <f>T("   FR")</f>
        <v xml:space="preserve">   FR</v>
      </c>
      <c r="B731" t="str">
        <f>T("   France")</f>
        <v xml:space="preserve">   France</v>
      </c>
      <c r="C731">
        <v>1852431</v>
      </c>
      <c r="D731">
        <v>1277</v>
      </c>
    </row>
    <row r="732" spans="1:4" x14ac:dyDescent="0.25">
      <c r="A732" t="str">
        <f>T("090190")</f>
        <v>090190</v>
      </c>
      <c r="B732" t="str">
        <f>T("Coques et pellicules de café; succédanés du café contenant du café, quelles que soient les proportions du mélange")</f>
        <v>Coques et pellicules de café; succédanés du café contenant du café, quelles que soient les proportions du mélange</v>
      </c>
    </row>
    <row r="733" spans="1:4" x14ac:dyDescent="0.25">
      <c r="A733" t="str">
        <f>T("   ZZZ_Monde")</f>
        <v xml:space="preserve">   ZZZ_Monde</v>
      </c>
      <c r="B733" t="str">
        <f>T("   ZZZ_Monde")</f>
        <v xml:space="preserve">   ZZZ_Monde</v>
      </c>
      <c r="C733">
        <v>36050815</v>
      </c>
      <c r="D733">
        <v>106687</v>
      </c>
    </row>
    <row r="734" spans="1:4" x14ac:dyDescent="0.25">
      <c r="A734" t="str">
        <f>T("   CA")</f>
        <v xml:space="preserve">   CA</v>
      </c>
      <c r="B734" t="str">
        <f>T("   Canada")</f>
        <v xml:space="preserve">   Canada</v>
      </c>
      <c r="C734">
        <v>97308</v>
      </c>
      <c r="D734">
        <v>319</v>
      </c>
    </row>
    <row r="735" spans="1:4" x14ac:dyDescent="0.25">
      <c r="A735" t="str">
        <f>T("   CN")</f>
        <v xml:space="preserve">   CN</v>
      </c>
      <c r="B735" t="str">
        <f>T("   Chine")</f>
        <v xml:space="preserve">   Chine</v>
      </c>
      <c r="C735">
        <v>2500000</v>
      </c>
      <c r="D735">
        <v>11330</v>
      </c>
    </row>
    <row r="736" spans="1:4" x14ac:dyDescent="0.25">
      <c r="A736" t="str">
        <f>T("   FR")</f>
        <v xml:space="preserve">   FR</v>
      </c>
      <c r="B736" t="str">
        <f>T("   France")</f>
        <v xml:space="preserve">   France</v>
      </c>
      <c r="C736">
        <v>4899135</v>
      </c>
      <c r="D736">
        <v>5129</v>
      </c>
    </row>
    <row r="737" spans="1:4" x14ac:dyDescent="0.25">
      <c r="A737" t="str">
        <f>T("   IN")</f>
        <v xml:space="preserve">   IN</v>
      </c>
      <c r="B737" t="str">
        <f>T("   Inde")</f>
        <v xml:space="preserve">   Inde</v>
      </c>
      <c r="C737">
        <v>3495535</v>
      </c>
      <c r="D737">
        <v>6600</v>
      </c>
    </row>
    <row r="738" spans="1:4" x14ac:dyDescent="0.25">
      <c r="A738" t="str">
        <f>T("   TG")</f>
        <v xml:space="preserve">   TG</v>
      </c>
      <c r="B738" t="str">
        <f>T("   Togo")</f>
        <v xml:space="preserve">   Togo</v>
      </c>
      <c r="C738">
        <v>25058837</v>
      </c>
      <c r="D738">
        <v>83309</v>
      </c>
    </row>
    <row r="739" spans="1:4" x14ac:dyDescent="0.25">
      <c r="A739" t="str">
        <f>T("090210")</f>
        <v>090210</v>
      </c>
      <c r="B739" t="str">
        <f>T("Thé vert [thé non fermenté], présenté en emballages immédiats d'un contenu &lt;= 3 kg")</f>
        <v>Thé vert [thé non fermenté], présenté en emballages immédiats d'un contenu &lt;= 3 kg</v>
      </c>
    </row>
    <row r="740" spans="1:4" x14ac:dyDescent="0.25">
      <c r="A740" t="str">
        <f>T("   ZZZ_Monde")</f>
        <v xml:space="preserve">   ZZZ_Monde</v>
      </c>
      <c r="B740" t="str">
        <f>T("   ZZZ_Monde")</f>
        <v xml:space="preserve">   ZZZ_Monde</v>
      </c>
      <c r="C740">
        <v>41298602</v>
      </c>
      <c r="D740">
        <v>66118</v>
      </c>
    </row>
    <row r="741" spans="1:4" x14ac:dyDescent="0.25">
      <c r="A741" t="str">
        <f>T("   CN")</f>
        <v xml:space="preserve">   CN</v>
      </c>
      <c r="B741" t="str">
        <f>T("   Chine")</f>
        <v xml:space="preserve">   Chine</v>
      </c>
      <c r="C741">
        <v>16541091</v>
      </c>
      <c r="D741">
        <v>38115</v>
      </c>
    </row>
    <row r="742" spans="1:4" x14ac:dyDescent="0.25">
      <c r="A742" t="str">
        <f>T("   FR")</f>
        <v xml:space="preserve">   FR</v>
      </c>
      <c r="B742" t="str">
        <f>T("   France")</f>
        <v xml:space="preserve">   France</v>
      </c>
      <c r="C742">
        <v>14180208</v>
      </c>
      <c r="D742">
        <v>8171</v>
      </c>
    </row>
    <row r="743" spans="1:4" x14ac:dyDescent="0.25">
      <c r="A743" t="str">
        <f>T("   GB")</f>
        <v xml:space="preserve">   GB</v>
      </c>
      <c r="B743" t="str">
        <f>T("   Royaume-Uni")</f>
        <v xml:space="preserve">   Royaume-Uni</v>
      </c>
      <c r="C743">
        <v>2942415</v>
      </c>
      <c r="D743">
        <v>4796</v>
      </c>
    </row>
    <row r="744" spans="1:4" x14ac:dyDescent="0.25">
      <c r="A744" t="str">
        <f>T("   GH")</f>
        <v xml:space="preserve">   GH</v>
      </c>
      <c r="B744" t="str">
        <f>T("   Ghana")</f>
        <v xml:space="preserve">   Ghana</v>
      </c>
      <c r="C744">
        <v>600000</v>
      </c>
      <c r="D744">
        <v>1980</v>
      </c>
    </row>
    <row r="745" spans="1:4" x14ac:dyDescent="0.25">
      <c r="A745" t="str">
        <f>T("   IN")</f>
        <v xml:space="preserve">   IN</v>
      </c>
      <c r="B745" t="str">
        <f>T("   Inde")</f>
        <v xml:space="preserve">   Inde</v>
      </c>
      <c r="C745">
        <v>4640000</v>
      </c>
      <c r="D745">
        <v>4906</v>
      </c>
    </row>
    <row r="746" spans="1:4" x14ac:dyDescent="0.25">
      <c r="A746" t="str">
        <f>T("   LB")</f>
        <v xml:space="preserve">   LB</v>
      </c>
      <c r="B746" t="str">
        <f>T("   Liban")</f>
        <v xml:space="preserve">   Liban</v>
      </c>
      <c r="C746">
        <v>394888</v>
      </c>
      <c r="D746">
        <v>250</v>
      </c>
    </row>
    <row r="747" spans="1:4" x14ac:dyDescent="0.25">
      <c r="A747" t="str">
        <f>T("   TG")</f>
        <v xml:space="preserve">   TG</v>
      </c>
      <c r="B747" t="str">
        <f>T("   Togo")</f>
        <v xml:space="preserve">   Togo</v>
      </c>
      <c r="C747">
        <v>2000000</v>
      </c>
      <c r="D747">
        <v>7900</v>
      </c>
    </row>
    <row r="748" spans="1:4" x14ac:dyDescent="0.25">
      <c r="A748" t="str">
        <f>T("090220")</f>
        <v>090220</v>
      </c>
      <c r="B748" t="str">
        <f>T("Thé vert [thé non fermenté], présenté en emballages immédiats d'un contenu &gt; 3 kg")</f>
        <v>Thé vert [thé non fermenté], présenté en emballages immédiats d'un contenu &gt; 3 kg</v>
      </c>
    </row>
    <row r="749" spans="1:4" x14ac:dyDescent="0.25">
      <c r="A749" t="str">
        <f>T("   ZZZ_Monde")</f>
        <v xml:space="preserve">   ZZZ_Monde</v>
      </c>
      <c r="B749" t="str">
        <f>T("   ZZZ_Monde")</f>
        <v xml:space="preserve">   ZZZ_Monde</v>
      </c>
      <c r="C749">
        <v>43658289</v>
      </c>
      <c r="D749">
        <v>96703</v>
      </c>
    </row>
    <row r="750" spans="1:4" x14ac:dyDescent="0.25">
      <c r="A750" t="str">
        <f>T("   CA")</f>
        <v xml:space="preserve">   CA</v>
      </c>
      <c r="B750" t="str">
        <f>T("   Canada")</f>
        <v xml:space="preserve">   Canada</v>
      </c>
      <c r="C750">
        <v>190781</v>
      </c>
      <c r="D750">
        <v>686</v>
      </c>
    </row>
    <row r="751" spans="1:4" x14ac:dyDescent="0.25">
      <c r="A751" t="str">
        <f>T("   CN")</f>
        <v xml:space="preserve">   CN</v>
      </c>
      <c r="B751" t="str">
        <f>T("   Chine")</f>
        <v xml:space="preserve">   Chine</v>
      </c>
      <c r="C751">
        <v>34809162</v>
      </c>
      <c r="D751">
        <v>83375</v>
      </c>
    </row>
    <row r="752" spans="1:4" x14ac:dyDescent="0.25">
      <c r="A752" t="str">
        <f>T("   FR")</f>
        <v xml:space="preserve">   FR</v>
      </c>
      <c r="B752" t="str">
        <f>T("   France")</f>
        <v xml:space="preserve">   France</v>
      </c>
      <c r="C752">
        <v>6328703</v>
      </c>
      <c r="D752">
        <v>7318</v>
      </c>
    </row>
    <row r="753" spans="1:4" x14ac:dyDescent="0.25">
      <c r="A753" t="str">
        <f>T("   GH")</f>
        <v xml:space="preserve">   GH</v>
      </c>
      <c r="B753" t="str">
        <f>T("   Ghana")</f>
        <v xml:space="preserve">   Ghana</v>
      </c>
      <c r="C753">
        <v>1300000</v>
      </c>
      <c r="D753">
        <v>3500</v>
      </c>
    </row>
    <row r="754" spans="1:4" x14ac:dyDescent="0.25">
      <c r="A754" t="str">
        <f>T("   LB")</f>
        <v xml:space="preserve">   LB</v>
      </c>
      <c r="B754" t="str">
        <f>T("   Liban")</f>
        <v xml:space="preserve">   Liban</v>
      </c>
      <c r="C754">
        <v>129425</v>
      </c>
      <c r="D754">
        <v>61</v>
      </c>
    </row>
    <row r="755" spans="1:4" x14ac:dyDescent="0.25">
      <c r="A755" t="str">
        <f>T("   TG")</f>
        <v xml:space="preserve">   TG</v>
      </c>
      <c r="B755" t="str">
        <f>T("   Togo")</f>
        <v xml:space="preserve">   Togo</v>
      </c>
      <c r="C755">
        <v>698182</v>
      </c>
      <c r="D755">
        <v>1250</v>
      </c>
    </row>
    <row r="756" spans="1:4" x14ac:dyDescent="0.25">
      <c r="A756" t="str">
        <f>T("   TH")</f>
        <v xml:space="preserve">   TH</v>
      </c>
      <c r="B756" t="str">
        <f>T("   Thaïlande")</f>
        <v xml:space="preserve">   Thaïlande</v>
      </c>
      <c r="C756">
        <v>202036</v>
      </c>
      <c r="D756">
        <v>513</v>
      </c>
    </row>
    <row r="757" spans="1:4" x14ac:dyDescent="0.25">
      <c r="A757" t="str">
        <f>T("090230")</f>
        <v>090230</v>
      </c>
      <c r="B757" t="str">
        <f>T("THÉ NOIR [FERMENTÉ] ET THÉ PARTIELLEMENT FERMENTÉ, MÊME AROMATISÉS, PRÉSENTÉS EN EMBALLAGES IMMÉDIATS D'UN CONTENU &lt;= 3 KG [01/01/1988-31/12/1991: THÉ NOIR [THÉ FERMENTE], ET THÉ PARTIELLEMENT FERMENTE, PRESENTES EN EMBALLAGES IMMEDIATS D'UN CONTENU &lt;= 3")</f>
        <v>THÉ NOIR [FERMENTÉ] ET THÉ PARTIELLEMENT FERMENTÉ, MÊME AROMATISÉS, PRÉSENTÉS EN EMBALLAGES IMMÉDIATS D'UN CONTENU &lt;= 3 KG [01/01/1988-31/12/1991: THÉ NOIR [THÉ FERMENTE], ET THÉ PARTIELLEMENT FERMENTE, PRESENTES EN EMBALLAGES IMMEDIATS D'UN CONTENU &lt;= 3</v>
      </c>
    </row>
    <row r="758" spans="1:4" x14ac:dyDescent="0.25">
      <c r="A758" t="str">
        <f>T("   ZZZ_Monde")</f>
        <v xml:space="preserve">   ZZZ_Monde</v>
      </c>
      <c r="B758" t="str">
        <f>T("   ZZZ_Monde")</f>
        <v xml:space="preserve">   ZZZ_Monde</v>
      </c>
      <c r="C758">
        <v>29215537</v>
      </c>
      <c r="D758">
        <v>20446</v>
      </c>
    </row>
    <row r="759" spans="1:4" x14ac:dyDescent="0.25">
      <c r="A759" t="str">
        <f>T("   CN")</f>
        <v xml:space="preserve">   CN</v>
      </c>
      <c r="B759" t="str">
        <f>T("   Chine")</f>
        <v xml:space="preserve">   Chine</v>
      </c>
      <c r="C759">
        <v>212052</v>
      </c>
      <c r="D759">
        <v>5410</v>
      </c>
    </row>
    <row r="760" spans="1:4" x14ac:dyDescent="0.25">
      <c r="A760" t="str">
        <f>T("   FR")</f>
        <v xml:space="preserve">   FR</v>
      </c>
      <c r="B760" t="str">
        <f>T("   France")</f>
        <v xml:space="preserve">   France</v>
      </c>
      <c r="C760">
        <v>28376744</v>
      </c>
      <c r="D760">
        <v>14601</v>
      </c>
    </row>
    <row r="761" spans="1:4" x14ac:dyDescent="0.25">
      <c r="A761" t="str">
        <f>T("   IN")</f>
        <v xml:space="preserve">   IN</v>
      </c>
      <c r="B761" t="str">
        <f>T("   Inde")</f>
        <v xml:space="preserve">   Inde</v>
      </c>
      <c r="C761">
        <v>101244</v>
      </c>
      <c r="D761">
        <v>42</v>
      </c>
    </row>
    <row r="762" spans="1:4" x14ac:dyDescent="0.25">
      <c r="A762" t="str">
        <f>T("   LB")</f>
        <v xml:space="preserve">   LB</v>
      </c>
      <c r="B762" t="str">
        <f>T("   Liban")</f>
        <v xml:space="preserve">   Liban</v>
      </c>
      <c r="C762">
        <v>525497</v>
      </c>
      <c r="D762">
        <v>393</v>
      </c>
    </row>
    <row r="763" spans="1:4" x14ac:dyDescent="0.25">
      <c r="A763" t="str">
        <f>T("090240")</f>
        <v>090240</v>
      </c>
      <c r="B763" t="str">
        <f>T("THÉ NOIR [FERMENTÉ] ET THÉ PARTIELLEMENT FERMENTÉ, MÊME AROMATISÉS, PRÉSENTÉS EN EMBALLAGES IMMÉDIATS D'UN CONTENU &gt; 3 KG [01/01/1988-31/12/1991: THÉ NOIR [THÉ FERMENTE], ET THÉ PARTIELLEMENT FERMENTE, PRESENTES EN EMBALLAGES IMMEDIATS D'UN CONTENU &gt; 3 KG")</f>
        <v>THÉ NOIR [FERMENTÉ] ET THÉ PARTIELLEMENT FERMENTÉ, MÊME AROMATISÉS, PRÉSENTÉS EN EMBALLAGES IMMÉDIATS D'UN CONTENU &gt; 3 KG [01/01/1988-31/12/1991: THÉ NOIR [THÉ FERMENTE], ET THÉ PARTIELLEMENT FERMENTE, PRESENTES EN EMBALLAGES IMMEDIATS D'UN CONTENU &gt; 3 KG</v>
      </c>
    </row>
    <row r="764" spans="1:4" x14ac:dyDescent="0.25">
      <c r="A764" t="str">
        <f>T("   ZZZ_Monde")</f>
        <v xml:space="preserve">   ZZZ_Monde</v>
      </c>
      <c r="B764" t="str">
        <f>T("   ZZZ_Monde")</f>
        <v xml:space="preserve">   ZZZ_Monde</v>
      </c>
      <c r="C764">
        <v>34053095</v>
      </c>
      <c r="D764">
        <v>60238</v>
      </c>
    </row>
    <row r="765" spans="1:4" x14ac:dyDescent="0.25">
      <c r="A765" t="str">
        <f>T("   AE")</f>
        <v xml:space="preserve">   AE</v>
      </c>
      <c r="B765" t="str">
        <f>T("   Emirats Arabes Unis")</f>
        <v xml:space="preserve">   Emirats Arabes Unis</v>
      </c>
      <c r="C765">
        <v>14546662</v>
      </c>
      <c r="D765">
        <v>22875</v>
      </c>
    </row>
    <row r="766" spans="1:4" x14ac:dyDescent="0.25">
      <c r="A766" t="str">
        <f>T("   CN")</f>
        <v xml:space="preserve">   CN</v>
      </c>
      <c r="B766" t="str">
        <f>T("   Chine")</f>
        <v xml:space="preserve">   Chine</v>
      </c>
      <c r="C766">
        <v>2833236</v>
      </c>
      <c r="D766">
        <v>7450</v>
      </c>
    </row>
    <row r="767" spans="1:4" x14ac:dyDescent="0.25">
      <c r="A767" t="str">
        <f>T("   IN")</f>
        <v xml:space="preserve">   IN</v>
      </c>
      <c r="B767" t="str">
        <f>T("   Inde")</f>
        <v xml:space="preserve">   Inde</v>
      </c>
      <c r="C767">
        <v>14518000</v>
      </c>
      <c r="D767">
        <v>22180</v>
      </c>
    </row>
    <row r="768" spans="1:4" x14ac:dyDescent="0.25">
      <c r="A768" t="str">
        <f>T("   LB")</f>
        <v xml:space="preserve">   LB</v>
      </c>
      <c r="B768" t="str">
        <f>T("   Liban")</f>
        <v xml:space="preserve">   Liban</v>
      </c>
      <c r="C768">
        <v>118832</v>
      </c>
      <c r="D768">
        <v>673</v>
      </c>
    </row>
    <row r="769" spans="1:4" x14ac:dyDescent="0.25">
      <c r="A769" t="str">
        <f>T("   TG")</f>
        <v xml:space="preserve">   TG</v>
      </c>
      <c r="B769" t="str">
        <f>T("   Togo")</f>
        <v xml:space="preserve">   Togo</v>
      </c>
      <c r="C769">
        <v>2036365</v>
      </c>
      <c r="D769">
        <v>7060</v>
      </c>
    </row>
    <row r="770" spans="1:4" x14ac:dyDescent="0.25">
      <c r="A770" t="str">
        <f>T("090300")</f>
        <v>090300</v>
      </c>
      <c r="B770" t="str">
        <f>T("Maté")</f>
        <v>Maté</v>
      </c>
    </row>
    <row r="771" spans="1:4" x14ac:dyDescent="0.25">
      <c r="A771" t="str">
        <f>T("   ZZZ_Monde")</f>
        <v xml:space="preserve">   ZZZ_Monde</v>
      </c>
      <c r="B771" t="str">
        <f>T("   ZZZ_Monde")</f>
        <v xml:space="preserve">   ZZZ_Monde</v>
      </c>
      <c r="C771">
        <v>6661496</v>
      </c>
      <c r="D771">
        <v>22290</v>
      </c>
    </row>
    <row r="772" spans="1:4" x14ac:dyDescent="0.25">
      <c r="A772" t="str">
        <f>T("   GH")</f>
        <v xml:space="preserve">   GH</v>
      </c>
      <c r="B772" t="str">
        <f>T("   Ghana")</f>
        <v xml:space="preserve">   Ghana</v>
      </c>
      <c r="C772">
        <v>6061496</v>
      </c>
      <c r="D772">
        <v>20290</v>
      </c>
    </row>
    <row r="773" spans="1:4" x14ac:dyDescent="0.25">
      <c r="A773" t="str">
        <f>T("   TG")</f>
        <v xml:space="preserve">   TG</v>
      </c>
      <c r="B773" t="str">
        <f>T("   Togo")</f>
        <v xml:space="preserve">   Togo</v>
      </c>
      <c r="C773">
        <v>600000</v>
      </c>
      <c r="D773">
        <v>2000</v>
      </c>
    </row>
    <row r="774" spans="1:4" x14ac:dyDescent="0.25">
      <c r="A774" t="str">
        <f>T("090411")</f>
        <v>090411</v>
      </c>
      <c r="B774" t="str">
        <f>T("Poivre du genre 'Piper', non broyé ni pulvérisé")</f>
        <v>Poivre du genre 'Piper', non broyé ni pulvérisé</v>
      </c>
    </row>
    <row r="775" spans="1:4" x14ac:dyDescent="0.25">
      <c r="A775" t="str">
        <f>T("   ZZZ_Monde")</f>
        <v xml:space="preserve">   ZZZ_Monde</v>
      </c>
      <c r="B775" t="str">
        <f>T("   ZZZ_Monde")</f>
        <v xml:space="preserve">   ZZZ_Monde</v>
      </c>
      <c r="C775">
        <v>27300</v>
      </c>
      <c r="D775">
        <v>65</v>
      </c>
    </row>
    <row r="776" spans="1:4" x14ac:dyDescent="0.25">
      <c r="A776" t="str">
        <f>T("   NG")</f>
        <v xml:space="preserve">   NG</v>
      </c>
      <c r="B776" t="str">
        <f>T("   Nigéria")</f>
        <v xml:space="preserve">   Nigéria</v>
      </c>
      <c r="C776">
        <v>27300</v>
      </c>
      <c r="D776">
        <v>65</v>
      </c>
    </row>
    <row r="777" spans="1:4" x14ac:dyDescent="0.25">
      <c r="A777" t="str">
        <f>T("090412")</f>
        <v>090412</v>
      </c>
      <c r="B777" t="str">
        <f>T("Poivre du genre 'Piper', broyé ou pulvérisé")</f>
        <v>Poivre du genre 'Piper', broyé ou pulvérisé</v>
      </c>
    </row>
    <row r="778" spans="1:4" x14ac:dyDescent="0.25">
      <c r="A778" t="str">
        <f>T("   ZZZ_Monde")</f>
        <v xml:space="preserve">   ZZZ_Monde</v>
      </c>
      <c r="B778" t="str">
        <f>T("   ZZZ_Monde")</f>
        <v xml:space="preserve">   ZZZ_Monde</v>
      </c>
      <c r="C778">
        <v>3077653</v>
      </c>
      <c r="D778">
        <v>3965</v>
      </c>
    </row>
    <row r="779" spans="1:4" x14ac:dyDescent="0.25">
      <c r="A779" t="str">
        <f>T("   FR")</f>
        <v xml:space="preserve">   FR</v>
      </c>
      <c r="B779" t="str">
        <f>T("   France")</f>
        <v xml:space="preserve">   France</v>
      </c>
      <c r="C779">
        <v>3012826</v>
      </c>
      <c r="D779">
        <v>3245</v>
      </c>
    </row>
    <row r="780" spans="1:4" x14ac:dyDescent="0.25">
      <c r="A780" t="str">
        <f>T("   TG")</f>
        <v xml:space="preserve">   TG</v>
      </c>
      <c r="B780" t="str">
        <f>T("   Togo")</f>
        <v xml:space="preserve">   Togo</v>
      </c>
      <c r="C780">
        <v>64827</v>
      </c>
      <c r="D780">
        <v>720</v>
      </c>
    </row>
    <row r="781" spans="1:4" x14ac:dyDescent="0.25">
      <c r="A781" t="str">
        <f>T("090420")</f>
        <v>090420</v>
      </c>
      <c r="B781" t="str">
        <f>T("Piments du genre 'Capsicum' ou du genre 'Pimenta', séchés ou broyés ou pulvérisés")</f>
        <v>Piments du genre 'Capsicum' ou du genre 'Pimenta', séchés ou broyés ou pulvérisés</v>
      </c>
    </row>
    <row r="782" spans="1:4" x14ac:dyDescent="0.25">
      <c r="A782" t="str">
        <f>T("   ZZZ_Monde")</f>
        <v xml:space="preserve">   ZZZ_Monde</v>
      </c>
      <c r="B782" t="str">
        <f>T("   ZZZ_Monde")</f>
        <v xml:space="preserve">   ZZZ_Monde</v>
      </c>
      <c r="C782">
        <v>3287628</v>
      </c>
      <c r="D782">
        <v>17222</v>
      </c>
    </row>
    <row r="783" spans="1:4" x14ac:dyDescent="0.25">
      <c r="A783" t="str">
        <f>T("   CN")</f>
        <v xml:space="preserve">   CN</v>
      </c>
      <c r="B783" t="str">
        <f>T("   Chine")</f>
        <v xml:space="preserve">   Chine</v>
      </c>
      <c r="C783">
        <v>219537</v>
      </c>
      <c r="D783">
        <v>1000</v>
      </c>
    </row>
    <row r="784" spans="1:4" x14ac:dyDescent="0.25">
      <c r="A784" t="str">
        <f>T("   FR")</f>
        <v xml:space="preserve">   FR</v>
      </c>
      <c r="B784" t="str">
        <f>T("   France")</f>
        <v xml:space="preserve">   France</v>
      </c>
      <c r="C784">
        <v>1860303</v>
      </c>
      <c r="D784">
        <v>2400</v>
      </c>
    </row>
    <row r="785" spans="1:4" x14ac:dyDescent="0.25">
      <c r="A785" t="str">
        <f>T("   NG")</f>
        <v xml:space="preserve">   NG</v>
      </c>
      <c r="B785" t="str">
        <f>T("   Nigéria")</f>
        <v xml:space="preserve">   Nigéria</v>
      </c>
      <c r="C785">
        <v>1005300</v>
      </c>
      <c r="D785">
        <v>11170</v>
      </c>
    </row>
    <row r="786" spans="1:4" x14ac:dyDescent="0.25">
      <c r="A786" t="str">
        <f>T("   PK")</f>
        <v xml:space="preserve">   PK</v>
      </c>
      <c r="B786" t="str">
        <f>T("   Pakistan")</f>
        <v xml:space="preserve">   Pakistan</v>
      </c>
      <c r="C786">
        <v>185200</v>
      </c>
      <c r="D786">
        <v>1852</v>
      </c>
    </row>
    <row r="787" spans="1:4" x14ac:dyDescent="0.25">
      <c r="A787" t="str">
        <f>T("   TG")</f>
        <v xml:space="preserve">   TG</v>
      </c>
      <c r="B787" t="str">
        <f>T("   Togo")</f>
        <v xml:space="preserve">   Togo</v>
      </c>
      <c r="C787">
        <v>17288</v>
      </c>
      <c r="D787">
        <v>800</v>
      </c>
    </row>
    <row r="788" spans="1:4" x14ac:dyDescent="0.25">
      <c r="A788" t="str">
        <f>T("090500")</f>
        <v>090500</v>
      </c>
      <c r="B788" t="str">
        <f>T("Vanille")</f>
        <v>Vanille</v>
      </c>
    </row>
    <row r="789" spans="1:4" x14ac:dyDescent="0.25">
      <c r="A789" t="str">
        <f>T("   ZZZ_Monde")</f>
        <v xml:space="preserve">   ZZZ_Monde</v>
      </c>
      <c r="B789" t="str">
        <f>T("   ZZZ_Monde")</f>
        <v xml:space="preserve">   ZZZ_Monde</v>
      </c>
      <c r="C789">
        <v>1838000</v>
      </c>
      <c r="D789">
        <v>2208</v>
      </c>
    </row>
    <row r="790" spans="1:4" x14ac:dyDescent="0.25">
      <c r="A790" t="str">
        <f>T("   FR")</f>
        <v xml:space="preserve">   FR</v>
      </c>
      <c r="B790" t="str">
        <f>T("   France")</f>
        <v xml:space="preserve">   France</v>
      </c>
      <c r="C790">
        <v>1838000</v>
      </c>
      <c r="D790">
        <v>2208</v>
      </c>
    </row>
    <row r="791" spans="1:4" x14ac:dyDescent="0.25">
      <c r="A791" t="str">
        <f>T("090610")</f>
        <v>090610</v>
      </c>
      <c r="B791" t="str">
        <f>T("Cannelle et fleurs de cannelier, non broyées ni pulvérisées")</f>
        <v>Cannelle et fleurs de cannelier, non broyées ni pulvérisées</v>
      </c>
    </row>
    <row r="792" spans="1:4" x14ac:dyDescent="0.25">
      <c r="A792" t="str">
        <f>T("   ZZZ_Monde")</f>
        <v xml:space="preserve">   ZZZ_Monde</v>
      </c>
      <c r="B792" t="str">
        <f>T("   ZZZ_Monde")</f>
        <v xml:space="preserve">   ZZZ_Monde</v>
      </c>
      <c r="C792">
        <v>246866</v>
      </c>
      <c r="D792">
        <v>817</v>
      </c>
    </row>
    <row r="793" spans="1:4" x14ac:dyDescent="0.25">
      <c r="A793" t="str">
        <f>T("   LB")</f>
        <v xml:space="preserve">   LB</v>
      </c>
      <c r="B793" t="str">
        <f>T("   Liban")</f>
        <v xml:space="preserve">   Liban</v>
      </c>
      <c r="C793">
        <v>246866</v>
      </c>
      <c r="D793">
        <v>817</v>
      </c>
    </row>
    <row r="794" spans="1:4" x14ac:dyDescent="0.25">
      <c r="A794" t="str">
        <f>T("090910")</f>
        <v>090910</v>
      </c>
      <c r="B794" t="str">
        <f>T("Graines d'anis ou de badiane")</f>
        <v>Graines d'anis ou de badiane</v>
      </c>
    </row>
    <row r="795" spans="1:4" x14ac:dyDescent="0.25">
      <c r="A795" t="str">
        <f>T("   ZZZ_Monde")</f>
        <v xml:space="preserve">   ZZZ_Monde</v>
      </c>
      <c r="B795" t="str">
        <f>T("   ZZZ_Monde")</f>
        <v xml:space="preserve">   ZZZ_Monde</v>
      </c>
      <c r="C795">
        <v>10814157</v>
      </c>
      <c r="D795">
        <v>1289</v>
      </c>
    </row>
    <row r="796" spans="1:4" x14ac:dyDescent="0.25">
      <c r="A796" t="str">
        <f>T("   FR")</f>
        <v xml:space="preserve">   FR</v>
      </c>
      <c r="B796" t="str">
        <f>T("   France")</f>
        <v xml:space="preserve">   France</v>
      </c>
      <c r="C796">
        <v>10814157</v>
      </c>
      <c r="D796">
        <v>1289</v>
      </c>
    </row>
    <row r="797" spans="1:4" x14ac:dyDescent="0.25">
      <c r="A797" t="str">
        <f>T("091010")</f>
        <v>091010</v>
      </c>
      <c r="B797" t="str">
        <f>T("Gingembre")</f>
        <v>Gingembre</v>
      </c>
    </row>
    <row r="798" spans="1:4" x14ac:dyDescent="0.25">
      <c r="A798" t="str">
        <f>T("   ZZZ_Monde")</f>
        <v xml:space="preserve">   ZZZ_Monde</v>
      </c>
      <c r="B798" t="str">
        <f>T("   ZZZ_Monde")</f>
        <v xml:space="preserve">   ZZZ_Monde</v>
      </c>
      <c r="C798">
        <v>14434073</v>
      </c>
      <c r="D798">
        <v>158936</v>
      </c>
    </row>
    <row r="799" spans="1:4" x14ac:dyDescent="0.25">
      <c r="A799" t="str">
        <f>T("   CA")</f>
        <v xml:space="preserve">   CA</v>
      </c>
      <c r="B799" t="str">
        <f>T("   Canada")</f>
        <v xml:space="preserve">   Canada</v>
      </c>
      <c r="C799">
        <v>5273</v>
      </c>
      <c r="D799">
        <v>16</v>
      </c>
    </row>
    <row r="800" spans="1:4" x14ac:dyDescent="0.25">
      <c r="A800" t="str">
        <f>T("   NG")</f>
        <v xml:space="preserve">   NG</v>
      </c>
      <c r="B800" t="str">
        <f>T("   Nigéria")</f>
        <v xml:space="preserve">   Nigéria</v>
      </c>
      <c r="C800">
        <v>14428800</v>
      </c>
      <c r="D800">
        <v>158920</v>
      </c>
    </row>
    <row r="801" spans="1:4" x14ac:dyDescent="0.25">
      <c r="A801" t="str">
        <f>T("091050")</f>
        <v>091050</v>
      </c>
      <c r="B801" t="str">
        <f>T("Curry")</f>
        <v>Curry</v>
      </c>
    </row>
    <row r="802" spans="1:4" x14ac:dyDescent="0.25">
      <c r="A802" t="str">
        <f>T("   ZZZ_Monde")</f>
        <v xml:space="preserve">   ZZZ_Monde</v>
      </c>
      <c r="B802" t="str">
        <f>T("   ZZZ_Monde")</f>
        <v xml:space="preserve">   ZZZ_Monde</v>
      </c>
      <c r="C802">
        <v>1438</v>
      </c>
      <c r="D802">
        <v>14</v>
      </c>
    </row>
    <row r="803" spans="1:4" x14ac:dyDescent="0.25">
      <c r="A803" t="str">
        <f>T("   CA")</f>
        <v xml:space="preserve">   CA</v>
      </c>
      <c r="B803" t="str">
        <f>T("   Canada")</f>
        <v xml:space="preserve">   Canada</v>
      </c>
      <c r="C803">
        <v>1438</v>
      </c>
      <c r="D803">
        <v>14</v>
      </c>
    </row>
    <row r="804" spans="1:4" x14ac:dyDescent="0.25">
      <c r="A804" t="str">
        <f>T("091091")</f>
        <v>091091</v>
      </c>
      <c r="B804" t="str">
        <f>T("Mélanges d'épices")</f>
        <v>Mélanges d'épices</v>
      </c>
    </row>
    <row r="805" spans="1:4" x14ac:dyDescent="0.25">
      <c r="A805" t="str">
        <f>T("   ZZZ_Monde")</f>
        <v xml:space="preserve">   ZZZ_Monde</v>
      </c>
      <c r="B805" t="str">
        <f>T("   ZZZ_Monde")</f>
        <v xml:space="preserve">   ZZZ_Monde</v>
      </c>
      <c r="C805">
        <v>13655532</v>
      </c>
      <c r="D805">
        <v>32941</v>
      </c>
    </row>
    <row r="806" spans="1:4" x14ac:dyDescent="0.25">
      <c r="A806" t="str">
        <f>T("   FR")</f>
        <v xml:space="preserve">   FR</v>
      </c>
      <c r="B806" t="str">
        <f>T("   France")</f>
        <v xml:space="preserve">   France</v>
      </c>
      <c r="C806">
        <v>8368088</v>
      </c>
      <c r="D806">
        <v>2406</v>
      </c>
    </row>
    <row r="807" spans="1:4" x14ac:dyDescent="0.25">
      <c r="A807" t="str">
        <f>T("   LB")</f>
        <v xml:space="preserve">   LB</v>
      </c>
      <c r="B807" t="str">
        <f>T("   Liban")</f>
        <v xml:space="preserve">   Liban</v>
      </c>
      <c r="C807">
        <v>394888</v>
      </c>
      <c r="D807">
        <v>675</v>
      </c>
    </row>
    <row r="808" spans="1:4" x14ac:dyDescent="0.25">
      <c r="A808" t="str">
        <f>T("   TG")</f>
        <v xml:space="preserve">   TG</v>
      </c>
      <c r="B808" t="str">
        <f>T("   Togo")</f>
        <v xml:space="preserve">   Togo</v>
      </c>
      <c r="C808">
        <v>321556</v>
      </c>
      <c r="D808">
        <v>1860</v>
      </c>
    </row>
    <row r="809" spans="1:4" x14ac:dyDescent="0.25">
      <c r="A809" t="str">
        <f>T("   Z2")</f>
        <v xml:space="preserve">   Z2</v>
      </c>
      <c r="B809" t="str">
        <f>T("   Pays non défini")</f>
        <v xml:space="preserve">   Pays non défini</v>
      </c>
      <c r="C809">
        <v>4571000</v>
      </c>
      <c r="D809">
        <v>28000</v>
      </c>
    </row>
    <row r="810" spans="1:4" x14ac:dyDescent="0.25">
      <c r="A810" t="str">
        <f>T("091099")</f>
        <v>091099</v>
      </c>
      <c r="B810" t="str">
        <f>T("ÉPICES (SAUF POIVRE [DU GENRE PIPER], PIMENTS DU GENRE CAPSICUM OU DU GENRE PIMENTA, VANILLE, CANNELLE ET FLEURS DE CANNELIER, GIROFLES [ANTOFLES, CLOUS ET GRIFFES], NOIX DE MUSCADE, MACIS, AMOMES ET CARDAMOMES, GRAINES D'ANIS, DE BADIANE, DE FENOUIL, DE")</f>
        <v>ÉPICES (SAUF POIVRE [DU GENRE PIPER], PIMENTS DU GENRE CAPSICUM OU DU GENRE PIMENTA, VANILLE, CANNELLE ET FLEURS DE CANNELIER, GIROFLES [ANTOFLES, CLOUS ET GRIFFES], NOIX DE MUSCADE, MACIS, AMOMES ET CARDAMOMES, GRAINES D'ANIS, DE BADIANE, DE FENOUIL, DE</v>
      </c>
    </row>
    <row r="811" spans="1:4" x14ac:dyDescent="0.25">
      <c r="A811" t="str">
        <f>T("   ZZZ_Monde")</f>
        <v xml:space="preserve">   ZZZ_Monde</v>
      </c>
      <c r="B811" t="str">
        <f>T("   ZZZ_Monde")</f>
        <v xml:space="preserve">   ZZZ_Monde</v>
      </c>
      <c r="C811">
        <v>12451988</v>
      </c>
      <c r="D811">
        <v>37087</v>
      </c>
    </row>
    <row r="812" spans="1:4" x14ac:dyDescent="0.25">
      <c r="A812" t="str">
        <f>T("   BE")</f>
        <v xml:space="preserve">   BE</v>
      </c>
      <c r="B812" t="str">
        <f>T("   Belgique")</f>
        <v xml:space="preserve">   Belgique</v>
      </c>
      <c r="C812">
        <v>1459511</v>
      </c>
      <c r="D812">
        <v>1728</v>
      </c>
    </row>
    <row r="813" spans="1:4" x14ac:dyDescent="0.25">
      <c r="A813" t="str">
        <f>T("   CN")</f>
        <v xml:space="preserve">   CN</v>
      </c>
      <c r="B813" t="str">
        <f>T("   Chine")</f>
        <v xml:space="preserve">   Chine</v>
      </c>
      <c r="C813">
        <v>5378223</v>
      </c>
      <c r="D813">
        <v>27895</v>
      </c>
    </row>
    <row r="814" spans="1:4" x14ac:dyDescent="0.25">
      <c r="A814" t="str">
        <f>T("   GH")</f>
        <v xml:space="preserve">   GH</v>
      </c>
      <c r="B814" t="str">
        <f>T("   Ghana")</f>
        <v xml:space="preserve">   Ghana</v>
      </c>
      <c r="C814">
        <v>422650</v>
      </c>
      <c r="D814">
        <v>1225</v>
      </c>
    </row>
    <row r="815" spans="1:4" x14ac:dyDescent="0.25">
      <c r="A815" t="str">
        <f>T("   IN")</f>
        <v xml:space="preserve">   IN</v>
      </c>
      <c r="B815" t="str">
        <f>T("   Inde")</f>
        <v xml:space="preserve">   Inde</v>
      </c>
      <c r="C815">
        <v>653815</v>
      </c>
      <c r="D815">
        <v>222</v>
      </c>
    </row>
    <row r="816" spans="1:4" x14ac:dyDescent="0.25">
      <c r="A816" t="str">
        <f>T("   LB")</f>
        <v xml:space="preserve">   LB</v>
      </c>
      <c r="B816" t="str">
        <f>T("   Liban")</f>
        <v xml:space="preserve">   Liban</v>
      </c>
      <c r="C816">
        <v>924510</v>
      </c>
      <c r="D816">
        <v>1284</v>
      </c>
    </row>
    <row r="817" spans="1:4" x14ac:dyDescent="0.25">
      <c r="A817" t="str">
        <f>T("   TG")</f>
        <v xml:space="preserve">   TG</v>
      </c>
      <c r="B817" t="str">
        <f>T("   Togo")</f>
        <v xml:space="preserve">   Togo</v>
      </c>
      <c r="C817">
        <v>203000</v>
      </c>
      <c r="D817">
        <v>625</v>
      </c>
    </row>
    <row r="818" spans="1:4" x14ac:dyDescent="0.25">
      <c r="A818" t="str">
        <f>T("   US")</f>
        <v xml:space="preserve">   US</v>
      </c>
      <c r="B818" t="str">
        <f>T("   Etats-Unis")</f>
        <v xml:space="preserve">   Etats-Unis</v>
      </c>
      <c r="C818">
        <v>3410279</v>
      </c>
      <c r="D818">
        <v>4108</v>
      </c>
    </row>
    <row r="819" spans="1:4" x14ac:dyDescent="0.25">
      <c r="A819" t="str">
        <f>T("100110")</f>
        <v>100110</v>
      </c>
      <c r="B819" t="str">
        <f>T("Froment [blé] dur")</f>
        <v>Froment [blé] dur</v>
      </c>
    </row>
    <row r="820" spans="1:4" x14ac:dyDescent="0.25">
      <c r="A820" t="str">
        <f>T("   ZZZ_Monde")</f>
        <v xml:space="preserve">   ZZZ_Monde</v>
      </c>
      <c r="B820" t="str">
        <f>T("   ZZZ_Monde")</f>
        <v xml:space="preserve">   ZZZ_Monde</v>
      </c>
      <c r="C820">
        <v>5290028693</v>
      </c>
      <c r="D820">
        <v>27922770</v>
      </c>
    </row>
    <row r="821" spans="1:4" x14ac:dyDescent="0.25">
      <c r="A821" t="str">
        <f>T("   FR")</f>
        <v xml:space="preserve">   FR</v>
      </c>
      <c r="B821" t="str">
        <f>T("   France")</f>
        <v xml:space="preserve">   France</v>
      </c>
      <c r="C821">
        <v>5236028693</v>
      </c>
      <c r="D821">
        <v>27562500</v>
      </c>
    </row>
    <row r="822" spans="1:4" x14ac:dyDescent="0.25">
      <c r="A822" t="str">
        <f>T("   TN")</f>
        <v xml:space="preserve">   TN</v>
      </c>
      <c r="B822" t="str">
        <f>T("   Tunisie")</f>
        <v xml:space="preserve">   Tunisie</v>
      </c>
      <c r="C822">
        <v>17250000</v>
      </c>
      <c r="D822">
        <v>115270</v>
      </c>
    </row>
    <row r="823" spans="1:4" x14ac:dyDescent="0.25">
      <c r="A823" t="str">
        <f>T("   TR")</f>
        <v xml:space="preserve">   TR</v>
      </c>
      <c r="B823" t="str">
        <f>T("   Turquie")</f>
        <v xml:space="preserve">   Turquie</v>
      </c>
      <c r="C823">
        <v>36750000</v>
      </c>
      <c r="D823">
        <v>245000</v>
      </c>
    </row>
    <row r="824" spans="1:4" x14ac:dyDescent="0.25">
      <c r="A824" t="str">
        <f>T("100190")</f>
        <v>100190</v>
      </c>
      <c r="B824" t="str">
        <f>T("Froment [blé] et méteil (à l'excl, du froment [blé] dur)")</f>
        <v>Froment [blé] et méteil (à l'excl, du froment [blé] dur)</v>
      </c>
    </row>
    <row r="825" spans="1:4" x14ac:dyDescent="0.25">
      <c r="A825" t="str">
        <f>T("   ZZZ_Monde")</f>
        <v xml:space="preserve">   ZZZ_Monde</v>
      </c>
      <c r="B825" t="str">
        <f>T("   ZZZ_Monde")</f>
        <v xml:space="preserve">   ZZZ_Monde</v>
      </c>
      <c r="C825">
        <v>2039632808</v>
      </c>
      <c r="D825">
        <v>11049000</v>
      </c>
    </row>
    <row r="826" spans="1:4" x14ac:dyDescent="0.25">
      <c r="A826" t="str">
        <f>T("   FR")</f>
        <v xml:space="preserve">   FR</v>
      </c>
      <c r="B826" t="str">
        <f>T("   France")</f>
        <v xml:space="preserve">   France</v>
      </c>
      <c r="C826">
        <v>2039632808</v>
      </c>
      <c r="D826">
        <v>11049000</v>
      </c>
    </row>
    <row r="827" spans="1:4" x14ac:dyDescent="0.25">
      <c r="A827" t="str">
        <f>T("100200")</f>
        <v>100200</v>
      </c>
      <c r="B827" t="str">
        <f>T("Seigle")</f>
        <v>Seigle</v>
      </c>
    </row>
    <row r="828" spans="1:4" x14ac:dyDescent="0.25">
      <c r="A828" t="str">
        <f>T("   ZZZ_Monde")</f>
        <v xml:space="preserve">   ZZZ_Monde</v>
      </c>
      <c r="B828" t="str">
        <f>T("   ZZZ_Monde")</f>
        <v xml:space="preserve">   ZZZ_Monde</v>
      </c>
      <c r="C828">
        <v>26</v>
      </c>
      <c r="D828">
        <v>1</v>
      </c>
    </row>
    <row r="829" spans="1:4" x14ac:dyDescent="0.25">
      <c r="A829" t="str">
        <f>T("   FR")</f>
        <v xml:space="preserve">   FR</v>
      </c>
      <c r="B829" t="str">
        <f>T("   France")</f>
        <v xml:space="preserve">   France</v>
      </c>
      <c r="C829">
        <v>26</v>
      </c>
      <c r="D829">
        <v>1</v>
      </c>
    </row>
    <row r="830" spans="1:4" x14ac:dyDescent="0.25">
      <c r="A830" t="str">
        <f>T("100590")</f>
        <v>100590</v>
      </c>
      <c r="B830" t="str">
        <f>T("Maïs (autre que de semence)")</f>
        <v>Maïs (autre que de semence)</v>
      </c>
    </row>
    <row r="831" spans="1:4" x14ac:dyDescent="0.25">
      <c r="A831" t="str">
        <f>T("   ZZZ_Monde")</f>
        <v xml:space="preserve">   ZZZ_Monde</v>
      </c>
      <c r="B831" t="str">
        <f>T("   ZZZ_Monde")</f>
        <v xml:space="preserve">   ZZZ_Monde</v>
      </c>
      <c r="C831">
        <v>410507296</v>
      </c>
      <c r="D831">
        <v>1133630</v>
      </c>
    </row>
    <row r="832" spans="1:4" x14ac:dyDescent="0.25">
      <c r="A832" t="str">
        <f>T("   AE")</f>
        <v xml:space="preserve">   AE</v>
      </c>
      <c r="B832" t="str">
        <f>T("   Emirats Arabes Unis")</f>
        <v xml:space="preserve">   Emirats Arabes Unis</v>
      </c>
      <c r="C832">
        <v>30826840</v>
      </c>
      <c r="D832">
        <v>130510</v>
      </c>
    </row>
    <row r="833" spans="1:4" x14ac:dyDescent="0.25">
      <c r="A833" t="str">
        <f>T("   AR")</f>
        <v xml:space="preserve">   AR</v>
      </c>
      <c r="B833" t="str">
        <f>T("   Argentine")</f>
        <v xml:space="preserve">   Argentine</v>
      </c>
      <c r="C833">
        <v>228558686</v>
      </c>
      <c r="D833">
        <v>664544</v>
      </c>
    </row>
    <row r="834" spans="1:4" x14ac:dyDescent="0.25">
      <c r="A834" t="str">
        <f>T("   LB")</f>
        <v xml:space="preserve">   LB</v>
      </c>
      <c r="B834" t="str">
        <f>T("   Liban")</f>
        <v xml:space="preserve">   Liban</v>
      </c>
      <c r="C834">
        <v>168252</v>
      </c>
      <c r="D834">
        <v>846</v>
      </c>
    </row>
    <row r="835" spans="1:4" x14ac:dyDescent="0.25">
      <c r="A835" t="str">
        <f>T("   NG")</f>
        <v xml:space="preserve">   NG</v>
      </c>
      <c r="B835" t="str">
        <f>T("   Nigéria")</f>
        <v xml:space="preserve">   Nigéria</v>
      </c>
      <c r="C835">
        <v>34500</v>
      </c>
      <c r="D835">
        <v>460</v>
      </c>
    </row>
    <row r="836" spans="1:4" x14ac:dyDescent="0.25">
      <c r="A836" t="str">
        <f>T("   TG")</f>
        <v xml:space="preserve">   TG</v>
      </c>
      <c r="B836" t="str">
        <f>T("   Togo")</f>
        <v xml:space="preserve">   Togo</v>
      </c>
      <c r="C836">
        <v>1959182</v>
      </c>
      <c r="D836">
        <v>2950</v>
      </c>
    </row>
    <row r="837" spans="1:4" x14ac:dyDescent="0.25">
      <c r="A837" t="str">
        <f>T("   US")</f>
        <v xml:space="preserve">   US</v>
      </c>
      <c r="B837" t="str">
        <f>T("   Etats-Unis")</f>
        <v xml:space="preserve">   Etats-Unis</v>
      </c>
      <c r="C837">
        <v>148959836</v>
      </c>
      <c r="D837">
        <v>334320</v>
      </c>
    </row>
    <row r="838" spans="1:4" x14ac:dyDescent="0.25">
      <c r="A838" t="str">
        <f>T("100610")</f>
        <v>100610</v>
      </c>
      <c r="B838" t="str">
        <f>T("Riz en paille [riz paddy]")</f>
        <v>Riz en paille [riz paddy]</v>
      </c>
    </row>
    <row r="839" spans="1:4" x14ac:dyDescent="0.25">
      <c r="A839" t="str">
        <f>T("   ZZZ_Monde")</f>
        <v xml:space="preserve">   ZZZ_Monde</v>
      </c>
      <c r="B839" t="str">
        <f>T("   ZZZ_Monde")</f>
        <v xml:space="preserve">   ZZZ_Monde</v>
      </c>
      <c r="C839">
        <v>23185571</v>
      </c>
      <c r="D839">
        <v>491757</v>
      </c>
    </row>
    <row r="840" spans="1:4" x14ac:dyDescent="0.25">
      <c r="A840" t="str">
        <f>T("   CN")</f>
        <v xml:space="preserve">   CN</v>
      </c>
      <c r="B840" t="str">
        <f>T("   Chine")</f>
        <v xml:space="preserve">   Chine</v>
      </c>
      <c r="C840">
        <v>73247</v>
      </c>
      <c r="D840">
        <v>15</v>
      </c>
    </row>
    <row r="841" spans="1:4" x14ac:dyDescent="0.25">
      <c r="A841" t="str">
        <f>T("   FR")</f>
        <v xml:space="preserve">   FR</v>
      </c>
      <c r="B841" t="str">
        <f>T("   France")</f>
        <v xml:space="preserve">   France</v>
      </c>
      <c r="C841">
        <v>625130</v>
      </c>
      <c r="D841">
        <v>682</v>
      </c>
    </row>
    <row r="842" spans="1:4" x14ac:dyDescent="0.25">
      <c r="A842" t="str">
        <f>T("   IN")</f>
        <v xml:space="preserve">   IN</v>
      </c>
      <c r="B842" t="str">
        <f>T("   Inde")</f>
        <v xml:space="preserve">   Inde</v>
      </c>
      <c r="C842">
        <v>20403366</v>
      </c>
      <c r="D842">
        <v>406250</v>
      </c>
    </row>
    <row r="843" spans="1:4" x14ac:dyDescent="0.25">
      <c r="A843" t="str">
        <f>T("   TG")</f>
        <v xml:space="preserve">   TG</v>
      </c>
      <c r="B843" t="str">
        <f>T("   Togo")</f>
        <v xml:space="preserve">   Togo</v>
      </c>
      <c r="C843">
        <v>1163828</v>
      </c>
      <c r="D843">
        <v>1760</v>
      </c>
    </row>
    <row r="844" spans="1:4" x14ac:dyDescent="0.25">
      <c r="A844" t="str">
        <f>T("   Z2")</f>
        <v xml:space="preserve">   Z2</v>
      </c>
      <c r="B844" t="str">
        <f>T("   Pays non défini")</f>
        <v xml:space="preserve">   Pays non défini</v>
      </c>
      <c r="C844">
        <v>920000</v>
      </c>
      <c r="D844">
        <v>83050</v>
      </c>
    </row>
    <row r="845" spans="1:4" x14ac:dyDescent="0.25">
      <c r="A845" t="str">
        <f>T("100620")</f>
        <v>100620</v>
      </c>
      <c r="B845" t="str">
        <f>T("Riz décortiqué [riz cargo ou riz brun]")</f>
        <v>Riz décortiqué [riz cargo ou riz brun]</v>
      </c>
    </row>
    <row r="846" spans="1:4" x14ac:dyDescent="0.25">
      <c r="A846" t="str">
        <f>T("   ZZZ_Monde")</f>
        <v xml:space="preserve">   ZZZ_Monde</v>
      </c>
      <c r="B846" t="str">
        <f>T("   ZZZ_Monde")</f>
        <v xml:space="preserve">   ZZZ_Monde</v>
      </c>
      <c r="C846">
        <v>6012056244.1110001</v>
      </c>
      <c r="D846">
        <v>13546506</v>
      </c>
    </row>
    <row r="847" spans="1:4" x14ac:dyDescent="0.25">
      <c r="A847" t="str">
        <f>T("   FR")</f>
        <v xml:space="preserve">   FR</v>
      </c>
      <c r="B847" t="str">
        <f>T("   France")</f>
        <v xml:space="preserve">   France</v>
      </c>
      <c r="C847">
        <v>22207402.482000001</v>
      </c>
      <c r="D847">
        <v>35552</v>
      </c>
    </row>
    <row r="848" spans="1:4" x14ac:dyDescent="0.25">
      <c r="A848" t="str">
        <f>T("   IN")</f>
        <v xml:space="preserve">   IN</v>
      </c>
      <c r="B848" t="str">
        <f>T("   Inde")</f>
        <v xml:space="preserve">   Inde</v>
      </c>
      <c r="C848">
        <v>1128410774.5409999</v>
      </c>
      <c r="D848">
        <v>2059255</v>
      </c>
    </row>
    <row r="849" spans="1:4" x14ac:dyDescent="0.25">
      <c r="A849" t="str">
        <f>T("   JP")</f>
        <v xml:space="preserve">   JP</v>
      </c>
      <c r="B849" t="str">
        <f>T("   Japon")</f>
        <v xml:space="preserve">   Japon</v>
      </c>
      <c r="C849">
        <v>3631372308.2150002</v>
      </c>
      <c r="D849">
        <v>8321968</v>
      </c>
    </row>
    <row r="850" spans="1:4" x14ac:dyDescent="0.25">
      <c r="A850" t="str">
        <f>T("   PK")</f>
        <v xml:space="preserve">   PK</v>
      </c>
      <c r="B850" t="str">
        <f>T("   Pakistan")</f>
        <v xml:space="preserve">   Pakistan</v>
      </c>
      <c r="C850">
        <v>168981065.14199999</v>
      </c>
      <c r="D850">
        <v>530548</v>
      </c>
    </row>
    <row r="851" spans="1:4" x14ac:dyDescent="0.25">
      <c r="A851" t="str">
        <f>T("   TG")</f>
        <v xml:space="preserve">   TG</v>
      </c>
      <c r="B851" t="str">
        <f>T("   Togo")</f>
        <v xml:space="preserve">   Togo</v>
      </c>
      <c r="C851">
        <v>354161.179</v>
      </c>
      <c r="D851">
        <v>1100</v>
      </c>
    </row>
    <row r="852" spans="1:4" x14ac:dyDescent="0.25">
      <c r="A852" t="str">
        <f>T("   TH")</f>
        <v xml:space="preserve">   TH</v>
      </c>
      <c r="B852" t="str">
        <f>T("   Thaïlande")</f>
        <v xml:space="preserve">   Thaïlande</v>
      </c>
      <c r="C852">
        <v>1060730532.552</v>
      </c>
      <c r="D852">
        <v>2598083</v>
      </c>
    </row>
    <row r="853" spans="1:4" x14ac:dyDescent="0.25">
      <c r="A853" t="str">
        <f>T("100630")</f>
        <v>100630</v>
      </c>
      <c r="B853" t="str">
        <f>T("Riz semi-blanchi ou blanchi, même poli ou glacé")</f>
        <v>Riz semi-blanchi ou blanchi, même poli ou glacé</v>
      </c>
    </row>
    <row r="854" spans="1:4" x14ac:dyDescent="0.25">
      <c r="A854" t="str">
        <f>T("   ZZZ_Monde")</f>
        <v xml:space="preserve">   ZZZ_Monde</v>
      </c>
      <c r="B854" t="str">
        <f>T("   ZZZ_Monde")</f>
        <v xml:space="preserve">   ZZZ_Monde</v>
      </c>
      <c r="C854">
        <v>150443846025.07999</v>
      </c>
      <c r="D854">
        <v>532044331</v>
      </c>
    </row>
    <row r="855" spans="1:4" x14ac:dyDescent="0.25">
      <c r="A855" t="str">
        <f>T("   AE")</f>
        <v xml:space="preserve">   AE</v>
      </c>
      <c r="B855" t="str">
        <f>T("   Emirats Arabes Unis")</f>
        <v xml:space="preserve">   Emirats Arabes Unis</v>
      </c>
      <c r="C855">
        <v>20438955430.361</v>
      </c>
      <c r="D855">
        <v>72811765</v>
      </c>
    </row>
    <row r="856" spans="1:4" x14ac:dyDescent="0.25">
      <c r="A856" t="str">
        <f>T("   BR")</f>
        <v xml:space="preserve">   BR</v>
      </c>
      <c r="B856" t="str">
        <f>T("   Brésil")</f>
        <v xml:space="preserve">   Brésil</v>
      </c>
      <c r="C856">
        <v>16179458939.686001</v>
      </c>
      <c r="D856">
        <v>57211500</v>
      </c>
    </row>
    <row r="857" spans="1:4" x14ac:dyDescent="0.25">
      <c r="A857" t="str">
        <f>T("   CA")</f>
        <v xml:space="preserve">   CA</v>
      </c>
      <c r="B857" t="str">
        <f>T("   Canada")</f>
        <v xml:space="preserve">   Canada</v>
      </c>
      <c r="C857">
        <v>29720</v>
      </c>
      <c r="D857">
        <v>67</v>
      </c>
    </row>
    <row r="858" spans="1:4" x14ac:dyDescent="0.25">
      <c r="A858" t="str">
        <f>T("   CH")</f>
        <v xml:space="preserve">   CH</v>
      </c>
      <c r="B858" t="str">
        <f>T("   Suisse")</f>
        <v xml:space="preserve">   Suisse</v>
      </c>
      <c r="C858">
        <v>10331770057.027</v>
      </c>
      <c r="D858">
        <v>36571220</v>
      </c>
    </row>
    <row r="859" spans="1:4" x14ac:dyDescent="0.25">
      <c r="A859" t="str">
        <f>T("   CN")</f>
        <v xml:space="preserve">   CN</v>
      </c>
      <c r="B859" t="str">
        <f>T("   Chine")</f>
        <v xml:space="preserve">   Chine</v>
      </c>
      <c r="C859">
        <v>2357601029.0190001</v>
      </c>
      <c r="D859">
        <v>7891180</v>
      </c>
    </row>
    <row r="860" spans="1:4" x14ac:dyDescent="0.25">
      <c r="A860" t="str">
        <f>T("   CY")</f>
        <v xml:space="preserve">   CY</v>
      </c>
      <c r="B860" t="str">
        <f>T("   Chypre")</f>
        <v xml:space="preserve">   Chypre</v>
      </c>
      <c r="C860">
        <v>14703149.810000001</v>
      </c>
      <c r="D860">
        <v>52000</v>
      </c>
    </row>
    <row r="861" spans="1:4" x14ac:dyDescent="0.25">
      <c r="A861" t="str">
        <f>T("   FR")</f>
        <v xml:space="preserve">   FR</v>
      </c>
      <c r="B861" t="str">
        <f>T("   France")</f>
        <v xml:space="preserve">   France</v>
      </c>
      <c r="C861">
        <v>393079407.741</v>
      </c>
      <c r="D861">
        <v>1406978</v>
      </c>
    </row>
    <row r="862" spans="1:4" x14ac:dyDescent="0.25">
      <c r="A862" t="str">
        <f>T("   GB")</f>
        <v xml:space="preserve">   GB</v>
      </c>
      <c r="B862" t="str">
        <f>T("   Royaume-Uni")</f>
        <v xml:space="preserve">   Royaume-Uni</v>
      </c>
      <c r="C862">
        <v>1063319</v>
      </c>
      <c r="D862">
        <v>1074</v>
      </c>
    </row>
    <row r="863" spans="1:4" x14ac:dyDescent="0.25">
      <c r="A863" t="str">
        <f>T("   GH")</f>
        <v xml:space="preserve">   GH</v>
      </c>
      <c r="B863" t="str">
        <f>T("   Ghana")</f>
        <v xml:space="preserve">   Ghana</v>
      </c>
      <c r="C863">
        <v>400000</v>
      </c>
      <c r="D863">
        <v>200</v>
      </c>
    </row>
    <row r="864" spans="1:4" x14ac:dyDescent="0.25">
      <c r="A864" t="str">
        <f>T("   HK")</f>
        <v xml:space="preserve">   HK</v>
      </c>
      <c r="B864" t="str">
        <f>T("   Hong-Kong")</f>
        <v xml:space="preserve">   Hong-Kong</v>
      </c>
      <c r="C864">
        <v>5451991446.0640001</v>
      </c>
      <c r="D864">
        <v>18219689</v>
      </c>
    </row>
    <row r="865" spans="1:4" x14ac:dyDescent="0.25">
      <c r="A865" t="str">
        <f>T("   IN")</f>
        <v xml:space="preserve">   IN</v>
      </c>
      <c r="B865" t="str">
        <f>T("   Inde")</f>
        <v xml:space="preserve">   Inde</v>
      </c>
      <c r="C865">
        <v>37866697976.197998</v>
      </c>
      <c r="D865">
        <v>135519165</v>
      </c>
    </row>
    <row r="866" spans="1:4" x14ac:dyDescent="0.25">
      <c r="A866" t="str">
        <f>T("   IT")</f>
        <v xml:space="preserve">   IT</v>
      </c>
      <c r="B866" t="str">
        <f>T("   Italie")</f>
        <v xml:space="preserve">   Italie</v>
      </c>
      <c r="C866">
        <v>1107261</v>
      </c>
      <c r="D866">
        <v>952</v>
      </c>
    </row>
    <row r="867" spans="1:4" x14ac:dyDescent="0.25">
      <c r="A867" t="str">
        <f>T("   LB")</f>
        <v xml:space="preserve">   LB</v>
      </c>
      <c r="B867" t="str">
        <f>T("   Liban")</f>
        <v xml:space="preserve">   Liban</v>
      </c>
      <c r="C867">
        <v>1127026.5490000001</v>
      </c>
      <c r="D867">
        <v>2799</v>
      </c>
    </row>
    <row r="868" spans="1:4" x14ac:dyDescent="0.25">
      <c r="A868" t="str">
        <f>T("   PK")</f>
        <v xml:space="preserve">   PK</v>
      </c>
      <c r="B868" t="str">
        <f>T("   Pakistan")</f>
        <v xml:space="preserve">   Pakistan</v>
      </c>
      <c r="C868">
        <v>2523204090.8119998</v>
      </c>
      <c r="D868">
        <v>8985828</v>
      </c>
    </row>
    <row r="869" spans="1:4" x14ac:dyDescent="0.25">
      <c r="A869" t="str">
        <f>T("   SG")</f>
        <v xml:space="preserve">   SG</v>
      </c>
      <c r="B869" t="str">
        <f>T("   Singapour")</f>
        <v xml:space="preserve">   Singapour</v>
      </c>
      <c r="C869">
        <v>4656139465.0509996</v>
      </c>
      <c r="D869">
        <v>16963821</v>
      </c>
    </row>
    <row r="870" spans="1:4" x14ac:dyDescent="0.25">
      <c r="A870" t="str">
        <f>T("   TG")</f>
        <v xml:space="preserve">   TG</v>
      </c>
      <c r="B870" t="str">
        <f>T("   Togo")</f>
        <v xml:space="preserve">   Togo</v>
      </c>
      <c r="C870">
        <v>959728746.85500002</v>
      </c>
      <c r="D870">
        <v>3369690</v>
      </c>
    </row>
    <row r="871" spans="1:4" x14ac:dyDescent="0.25">
      <c r="A871" t="str">
        <f>T("   TH")</f>
        <v xml:space="preserve">   TH</v>
      </c>
      <c r="B871" t="str">
        <f>T("   Thaïlande")</f>
        <v xml:space="preserve">   Thaïlande</v>
      </c>
      <c r="C871">
        <v>47968366824.652</v>
      </c>
      <c r="D871">
        <v>168415009</v>
      </c>
    </row>
    <row r="872" spans="1:4" x14ac:dyDescent="0.25">
      <c r="A872" t="str">
        <f>T("   US")</f>
        <v xml:space="preserve">   US</v>
      </c>
      <c r="B872" t="str">
        <f>T("   Etats-Unis")</f>
        <v xml:space="preserve">   Etats-Unis</v>
      </c>
      <c r="C872">
        <v>28216254.855</v>
      </c>
      <c r="D872">
        <v>100270</v>
      </c>
    </row>
    <row r="873" spans="1:4" x14ac:dyDescent="0.25">
      <c r="A873" t="str">
        <f>T("   UY")</f>
        <v xml:space="preserve">   UY</v>
      </c>
      <c r="B873" t="str">
        <f>T("   Uruguay")</f>
        <v xml:space="preserve">   Uruguay</v>
      </c>
      <c r="C873">
        <v>786837833.19200003</v>
      </c>
      <c r="D873">
        <v>2800000</v>
      </c>
    </row>
    <row r="874" spans="1:4" x14ac:dyDescent="0.25">
      <c r="A874" t="str">
        <f>T("   VN")</f>
        <v xml:space="preserve">   VN</v>
      </c>
      <c r="B874" t="str">
        <f>T("   Vietnam")</f>
        <v xml:space="preserve">   Vietnam</v>
      </c>
      <c r="C874">
        <v>473928455.72399998</v>
      </c>
      <c r="D874">
        <v>1669124</v>
      </c>
    </row>
    <row r="875" spans="1:4" x14ac:dyDescent="0.25">
      <c r="A875" t="str">
        <f>T("   Z2")</f>
        <v xml:space="preserve">   Z2</v>
      </c>
      <c r="B875" t="str">
        <f>T("   Pays non défini")</f>
        <v xml:space="preserve">   Pays non défini</v>
      </c>
      <c r="C875">
        <v>9439591.4820000008</v>
      </c>
      <c r="D875">
        <v>52000</v>
      </c>
    </row>
    <row r="876" spans="1:4" x14ac:dyDescent="0.25">
      <c r="A876" t="str">
        <f>T("100640")</f>
        <v>100640</v>
      </c>
      <c r="B876" t="str">
        <f>T("Riz en brisures")</f>
        <v>Riz en brisures</v>
      </c>
    </row>
    <row r="877" spans="1:4" x14ac:dyDescent="0.25">
      <c r="A877" t="str">
        <f>T("   ZZZ_Monde")</f>
        <v xml:space="preserve">   ZZZ_Monde</v>
      </c>
      <c r="B877" t="str">
        <f>T("   ZZZ_Monde")</f>
        <v xml:space="preserve">   ZZZ_Monde</v>
      </c>
      <c r="C877">
        <v>1965377322.118</v>
      </c>
      <c r="D877">
        <v>6459059</v>
      </c>
    </row>
    <row r="878" spans="1:4" x14ac:dyDescent="0.25">
      <c r="A878" t="str">
        <f>T("   AE")</f>
        <v xml:space="preserve">   AE</v>
      </c>
      <c r="B878" t="str">
        <f>T("   Emirats Arabes Unis")</f>
        <v xml:space="preserve">   Emirats Arabes Unis</v>
      </c>
      <c r="C878">
        <v>67247170.814999998</v>
      </c>
      <c r="D878">
        <v>250000</v>
      </c>
    </row>
    <row r="879" spans="1:4" x14ac:dyDescent="0.25">
      <c r="A879" t="str">
        <f>T("   CH")</f>
        <v xml:space="preserve">   CH</v>
      </c>
      <c r="B879" t="str">
        <f>T("   Suisse")</f>
        <v xml:space="preserve">   Suisse</v>
      </c>
      <c r="C879">
        <v>185008272</v>
      </c>
      <c r="D879">
        <v>600000</v>
      </c>
    </row>
    <row r="880" spans="1:4" x14ac:dyDescent="0.25">
      <c r="A880" t="str">
        <f>T("   CN")</f>
        <v xml:space="preserve">   CN</v>
      </c>
      <c r="B880" t="str">
        <f>T("   Chine")</f>
        <v xml:space="preserve">   Chine</v>
      </c>
      <c r="C880">
        <v>2745588.0249999999</v>
      </c>
      <c r="D880">
        <v>3022</v>
      </c>
    </row>
    <row r="881" spans="1:4" x14ac:dyDescent="0.25">
      <c r="A881" t="str">
        <f>T("   IN")</f>
        <v xml:space="preserve">   IN</v>
      </c>
      <c r="B881" t="str">
        <f>T("   Inde")</f>
        <v xml:space="preserve">   Inde</v>
      </c>
      <c r="C881">
        <v>369779810.301</v>
      </c>
      <c r="D881">
        <v>1246111</v>
      </c>
    </row>
    <row r="882" spans="1:4" x14ac:dyDescent="0.25">
      <c r="A882" t="str">
        <f>T("   TH")</f>
        <v xml:space="preserve">   TH</v>
      </c>
      <c r="B882" t="str">
        <f>T("   Thaïlande")</f>
        <v xml:space="preserve">   Thaïlande</v>
      </c>
      <c r="C882">
        <v>1255478041.806</v>
      </c>
      <c r="D882">
        <v>4068767</v>
      </c>
    </row>
    <row r="883" spans="1:4" x14ac:dyDescent="0.25">
      <c r="A883" t="str">
        <f>T("   VN")</f>
        <v xml:space="preserve">   VN</v>
      </c>
      <c r="B883" t="str">
        <f>T("   Vietnam")</f>
        <v xml:space="preserve">   Vietnam</v>
      </c>
      <c r="C883">
        <v>68000000</v>
      </c>
      <c r="D883">
        <v>212500</v>
      </c>
    </row>
    <row r="884" spans="1:4" x14ac:dyDescent="0.25">
      <c r="A884" t="str">
        <f>T("   Z2")</f>
        <v xml:space="preserve">   Z2</v>
      </c>
      <c r="B884" t="str">
        <f>T("   Pays non défini")</f>
        <v xml:space="preserve">   Pays non défini</v>
      </c>
      <c r="C884">
        <v>17118439.171999998</v>
      </c>
      <c r="D884">
        <v>78659</v>
      </c>
    </row>
    <row r="885" spans="1:4" x14ac:dyDescent="0.25">
      <c r="A885" t="str">
        <f>T("100700")</f>
        <v>100700</v>
      </c>
      <c r="B885" t="str">
        <f>T("Sorgho à grains")</f>
        <v>Sorgho à grains</v>
      </c>
    </row>
    <row r="886" spans="1:4" x14ac:dyDescent="0.25">
      <c r="A886" t="str">
        <f>T("   ZZZ_Monde")</f>
        <v xml:space="preserve">   ZZZ_Monde</v>
      </c>
      <c r="B886" t="str">
        <f>T("   ZZZ_Monde")</f>
        <v xml:space="preserve">   ZZZ_Monde</v>
      </c>
      <c r="C886">
        <v>2062500</v>
      </c>
      <c r="D886">
        <v>27500</v>
      </c>
    </row>
    <row r="887" spans="1:4" x14ac:dyDescent="0.25">
      <c r="A887" t="str">
        <f>T("   NG")</f>
        <v xml:space="preserve">   NG</v>
      </c>
      <c r="B887" t="str">
        <f>T("   Nigéria")</f>
        <v xml:space="preserve">   Nigéria</v>
      </c>
      <c r="C887">
        <v>2062500</v>
      </c>
      <c r="D887">
        <v>27500</v>
      </c>
    </row>
    <row r="888" spans="1:4" x14ac:dyDescent="0.25">
      <c r="A888" t="str">
        <f>T("100890")</f>
        <v>100890</v>
      </c>
      <c r="B888" t="str">
        <f>T("Céréales (à l'excl, du froment [blé], du méteil, du seigle, de l'orge, de l'avoine, du maïs, du riz, du sorgho à grains, du sarrasin, du millet et de l'alpiste)")</f>
        <v>Céréales (à l'excl, du froment [blé], du méteil, du seigle, de l'orge, de l'avoine, du maïs, du riz, du sorgho à grains, du sarrasin, du millet et de l'alpiste)</v>
      </c>
    </row>
    <row r="889" spans="1:4" x14ac:dyDescent="0.25">
      <c r="A889" t="str">
        <f>T("   ZZZ_Monde")</f>
        <v xml:space="preserve">   ZZZ_Monde</v>
      </c>
      <c r="B889" t="str">
        <f>T("   ZZZ_Monde")</f>
        <v xml:space="preserve">   ZZZ_Monde</v>
      </c>
      <c r="C889">
        <v>1715336</v>
      </c>
      <c r="D889">
        <v>908</v>
      </c>
    </row>
    <row r="890" spans="1:4" x14ac:dyDescent="0.25">
      <c r="A890" t="str">
        <f>T("   FR")</f>
        <v xml:space="preserve">   FR</v>
      </c>
      <c r="B890" t="str">
        <f>T("   France")</f>
        <v xml:space="preserve">   France</v>
      </c>
      <c r="C890">
        <v>1715336</v>
      </c>
      <c r="D890">
        <v>908</v>
      </c>
    </row>
    <row r="891" spans="1:4" x14ac:dyDescent="0.25">
      <c r="A891" t="str">
        <f>T("110100")</f>
        <v>110100</v>
      </c>
      <c r="B891" t="str">
        <f>T("Farines de froment [blé] ou de méteil")</f>
        <v>Farines de froment [blé] ou de méteil</v>
      </c>
    </row>
    <row r="892" spans="1:4" x14ac:dyDescent="0.25">
      <c r="A892" t="str">
        <f>T("   ZZZ_Monde")</f>
        <v xml:space="preserve">   ZZZ_Monde</v>
      </c>
      <c r="B892" t="str">
        <f>T("   ZZZ_Monde")</f>
        <v xml:space="preserve">   ZZZ_Monde</v>
      </c>
      <c r="C892">
        <v>14181369834.455999</v>
      </c>
      <c r="D892">
        <v>52324064</v>
      </c>
    </row>
    <row r="893" spans="1:4" x14ac:dyDescent="0.25">
      <c r="A893" t="str">
        <f>T("   AE")</f>
        <v xml:space="preserve">   AE</v>
      </c>
      <c r="B893" t="str">
        <f>T("   Emirats Arabes Unis")</f>
        <v xml:space="preserve">   Emirats Arabes Unis</v>
      </c>
      <c r="C893">
        <v>178800</v>
      </c>
      <c r="D893">
        <v>390</v>
      </c>
    </row>
    <row r="894" spans="1:4" x14ac:dyDescent="0.25">
      <c r="A894" t="str">
        <f>T("   DE")</f>
        <v xml:space="preserve">   DE</v>
      </c>
      <c r="B894" t="str">
        <f>T("   Allemagne")</f>
        <v xml:space="preserve">   Allemagne</v>
      </c>
      <c r="C894">
        <v>6374783.5669999998</v>
      </c>
      <c r="D894">
        <v>23215</v>
      </c>
    </row>
    <row r="895" spans="1:4" x14ac:dyDescent="0.25">
      <c r="A895" t="str">
        <f>T("   FJ")</f>
        <v xml:space="preserve">   FJ</v>
      </c>
      <c r="B895" t="str">
        <f>T("   Fiji")</f>
        <v xml:space="preserve">   Fiji</v>
      </c>
      <c r="C895">
        <v>201253603.50999999</v>
      </c>
      <c r="D895">
        <v>752000</v>
      </c>
    </row>
    <row r="896" spans="1:4" x14ac:dyDescent="0.25">
      <c r="A896" t="str">
        <f>T("   FR")</f>
        <v xml:space="preserve">   FR</v>
      </c>
      <c r="B896" t="str">
        <f>T("   France")</f>
        <v xml:space="preserve">   France</v>
      </c>
      <c r="C896">
        <v>12334978208.796</v>
      </c>
      <c r="D896">
        <v>45510119</v>
      </c>
    </row>
    <row r="897" spans="1:4" x14ac:dyDescent="0.25">
      <c r="A897" t="str">
        <f>T("   IN")</f>
        <v xml:space="preserve">   IN</v>
      </c>
      <c r="B897" t="str">
        <f>T("   Inde")</f>
        <v xml:space="preserve">   Inde</v>
      </c>
      <c r="C897">
        <v>4370711.1550000003</v>
      </c>
      <c r="D897">
        <v>16156</v>
      </c>
    </row>
    <row r="898" spans="1:4" x14ac:dyDescent="0.25">
      <c r="A898" t="str">
        <f>T("   IT")</f>
        <v xml:space="preserve">   IT</v>
      </c>
      <c r="B898" t="str">
        <f>T("   Italie")</f>
        <v xml:space="preserve">   Italie</v>
      </c>
      <c r="C898">
        <v>6290018.0949999997</v>
      </c>
      <c r="D898">
        <v>23350</v>
      </c>
    </row>
    <row r="899" spans="1:4" x14ac:dyDescent="0.25">
      <c r="A899" t="str">
        <f>T("   NG")</f>
        <v xml:space="preserve">   NG</v>
      </c>
      <c r="B899" t="str">
        <f>T("   Nigéria")</f>
        <v xml:space="preserve">   Nigéria</v>
      </c>
      <c r="C899">
        <v>20520368.326000001</v>
      </c>
      <c r="D899">
        <v>63647</v>
      </c>
    </row>
    <row r="900" spans="1:4" x14ac:dyDescent="0.25">
      <c r="A900" t="str">
        <f>T("   NL")</f>
        <v xml:space="preserve">   NL</v>
      </c>
      <c r="B900" t="str">
        <f>T("   Pays-bas")</f>
        <v xml:space="preserve">   Pays-bas</v>
      </c>
      <c r="C900">
        <v>311973656.61199999</v>
      </c>
      <c r="D900">
        <v>1151567</v>
      </c>
    </row>
    <row r="901" spans="1:4" x14ac:dyDescent="0.25">
      <c r="A901" t="str">
        <f>T("   QA")</f>
        <v xml:space="preserve">   QA</v>
      </c>
      <c r="B901" t="str">
        <f>T("   Qatar")</f>
        <v xml:space="preserve">   Qatar</v>
      </c>
      <c r="C901">
        <v>6186139.6880000001</v>
      </c>
      <c r="D901">
        <v>23115</v>
      </c>
    </row>
    <row r="902" spans="1:4" x14ac:dyDescent="0.25">
      <c r="A902" t="str">
        <f>T("   TG")</f>
        <v xml:space="preserve">   TG</v>
      </c>
      <c r="B902" t="str">
        <f>T("   Togo")</f>
        <v xml:space="preserve">   Togo</v>
      </c>
      <c r="C902">
        <v>251894.33300000001</v>
      </c>
      <c r="D902">
        <v>917</v>
      </c>
    </row>
    <row r="903" spans="1:4" x14ac:dyDescent="0.25">
      <c r="A903" t="str">
        <f>T("   TN")</f>
        <v xml:space="preserve">   TN</v>
      </c>
      <c r="B903" t="str">
        <f>T("   Tunisie")</f>
        <v xml:space="preserve">   Tunisie</v>
      </c>
      <c r="C903">
        <v>37907826.734999999</v>
      </c>
      <c r="D903">
        <v>138000</v>
      </c>
    </row>
    <row r="904" spans="1:4" x14ac:dyDescent="0.25">
      <c r="A904" t="str">
        <f>T("   TR")</f>
        <v xml:space="preserve">   TR</v>
      </c>
      <c r="B904" t="str">
        <f>T("   Turquie")</f>
        <v xml:space="preserve">   Turquie</v>
      </c>
      <c r="C904">
        <v>1216427509.1830001</v>
      </c>
      <c r="D904">
        <v>4493724</v>
      </c>
    </row>
    <row r="905" spans="1:4" x14ac:dyDescent="0.25">
      <c r="A905" t="str">
        <f>T("   UA")</f>
        <v xml:space="preserve">   UA</v>
      </c>
      <c r="B905" t="str">
        <f>T("   Ukraine")</f>
        <v xml:space="preserve">   Ukraine</v>
      </c>
      <c r="C905">
        <v>34656314.456</v>
      </c>
      <c r="D905">
        <v>127864</v>
      </c>
    </row>
    <row r="906" spans="1:4" x14ac:dyDescent="0.25">
      <c r="A906" t="str">
        <f>T("110220")</f>
        <v>110220</v>
      </c>
      <c r="B906" t="str">
        <f>T("Farine de maïs")</f>
        <v>Farine de maïs</v>
      </c>
    </row>
    <row r="907" spans="1:4" x14ac:dyDescent="0.25">
      <c r="A907" t="str">
        <f>T("   ZZZ_Monde")</f>
        <v xml:space="preserve">   ZZZ_Monde</v>
      </c>
      <c r="B907" t="str">
        <f>T("   ZZZ_Monde")</f>
        <v xml:space="preserve">   ZZZ_Monde</v>
      </c>
      <c r="C907">
        <v>1092300</v>
      </c>
      <c r="D907">
        <v>4500</v>
      </c>
    </row>
    <row r="908" spans="1:4" x14ac:dyDescent="0.25">
      <c r="A908" t="str">
        <f>T("   TG")</f>
        <v xml:space="preserve">   TG</v>
      </c>
      <c r="B908" t="str">
        <f>T("   Togo")</f>
        <v xml:space="preserve">   Togo</v>
      </c>
      <c r="C908">
        <v>1092300</v>
      </c>
      <c r="D908">
        <v>4500</v>
      </c>
    </row>
    <row r="909" spans="1:4" x14ac:dyDescent="0.25">
      <c r="A909" t="str">
        <f>T("110290")</f>
        <v>110290</v>
      </c>
      <c r="B909" t="str">
        <f>T("FARINES DE CÉRÉALES (À L'EXCL, DES FARINES DE FROMENT [BLÉ], DE MÉTEIL, DE SEIGLE ET DE MAÏS)")</f>
        <v>FARINES DE CÉRÉALES (À L'EXCL, DES FARINES DE FROMENT [BLÉ], DE MÉTEIL, DE SEIGLE ET DE MAÏS)</v>
      </c>
    </row>
    <row r="910" spans="1:4" x14ac:dyDescent="0.25">
      <c r="A910" t="str">
        <f>T("   ZZZ_Monde")</f>
        <v xml:space="preserve">   ZZZ_Monde</v>
      </c>
      <c r="B910" t="str">
        <f>T("   ZZZ_Monde")</f>
        <v xml:space="preserve">   ZZZ_Monde</v>
      </c>
      <c r="C910">
        <v>22841089</v>
      </c>
      <c r="D910">
        <v>86925</v>
      </c>
    </row>
    <row r="911" spans="1:4" x14ac:dyDescent="0.25">
      <c r="A911" t="str">
        <f>T("   CA")</f>
        <v xml:space="preserve">   CA</v>
      </c>
      <c r="B911" t="str">
        <f>T("   Canada")</f>
        <v xml:space="preserve">   Canada</v>
      </c>
      <c r="C911">
        <v>1438</v>
      </c>
      <c r="D911">
        <v>16</v>
      </c>
    </row>
    <row r="912" spans="1:4" x14ac:dyDescent="0.25">
      <c r="A912" t="str">
        <f>T("   CN")</f>
        <v xml:space="preserve">   CN</v>
      </c>
      <c r="B912" t="str">
        <f>T("   Chine")</f>
        <v xml:space="preserve">   Chine</v>
      </c>
      <c r="C912">
        <v>1578020</v>
      </c>
      <c r="D912">
        <v>10506</v>
      </c>
    </row>
    <row r="913" spans="1:4" x14ac:dyDescent="0.25">
      <c r="A913" t="str">
        <f>T("   FR")</f>
        <v xml:space="preserve">   FR</v>
      </c>
      <c r="B913" t="str">
        <f>T("   France")</f>
        <v xml:space="preserve">   France</v>
      </c>
      <c r="C913">
        <v>21261631</v>
      </c>
      <c r="D913">
        <v>76403</v>
      </c>
    </row>
    <row r="914" spans="1:4" x14ac:dyDescent="0.25">
      <c r="A914" t="str">
        <f>T("110311")</f>
        <v>110311</v>
      </c>
      <c r="B914" t="str">
        <f>T("Gruaux et semoules de froment [blé]")</f>
        <v>Gruaux et semoules de froment [blé]</v>
      </c>
    </row>
    <row r="915" spans="1:4" x14ac:dyDescent="0.25">
      <c r="A915" t="str">
        <f>T("   ZZZ_Monde")</f>
        <v xml:space="preserve">   ZZZ_Monde</v>
      </c>
      <c r="B915" t="str">
        <f>T("   ZZZ_Monde")</f>
        <v xml:space="preserve">   ZZZ_Monde</v>
      </c>
      <c r="C915">
        <v>4245078276</v>
      </c>
      <c r="D915">
        <v>13425294</v>
      </c>
    </row>
    <row r="916" spans="1:4" x14ac:dyDescent="0.25">
      <c r="A916" t="str">
        <f>T("   ES")</f>
        <v xml:space="preserve">   ES</v>
      </c>
      <c r="B916" t="str">
        <f>T("   Espagne")</f>
        <v xml:space="preserve">   Espagne</v>
      </c>
      <c r="C916">
        <v>76541085</v>
      </c>
      <c r="D916">
        <v>235188</v>
      </c>
    </row>
    <row r="917" spans="1:4" x14ac:dyDescent="0.25">
      <c r="A917" t="str">
        <f>T("   FR")</f>
        <v xml:space="preserve">   FR</v>
      </c>
      <c r="B917" t="str">
        <f>T("   France")</f>
        <v xml:space="preserve">   France</v>
      </c>
      <c r="C917">
        <v>3698475293</v>
      </c>
      <c r="D917">
        <v>11621098</v>
      </c>
    </row>
    <row r="918" spans="1:4" x14ac:dyDescent="0.25">
      <c r="A918" t="str">
        <f>T("   GH")</f>
        <v xml:space="preserve">   GH</v>
      </c>
      <c r="B918" t="str">
        <f>T("   Ghana")</f>
        <v xml:space="preserve">   Ghana</v>
      </c>
      <c r="C918">
        <v>3660000</v>
      </c>
      <c r="D918">
        <v>21668</v>
      </c>
    </row>
    <row r="919" spans="1:4" x14ac:dyDescent="0.25">
      <c r="A919" t="str">
        <f>T("   TG")</f>
        <v xml:space="preserve">   TG</v>
      </c>
      <c r="B919" t="str">
        <f>T("   Togo")</f>
        <v xml:space="preserve">   Togo</v>
      </c>
      <c r="C919">
        <v>4304582</v>
      </c>
      <c r="D919">
        <v>13223</v>
      </c>
    </row>
    <row r="920" spans="1:4" x14ac:dyDescent="0.25">
      <c r="A920" t="str">
        <f>T("   TN")</f>
        <v xml:space="preserve">   TN</v>
      </c>
      <c r="B920" t="str">
        <f>T("   Tunisie")</f>
        <v xml:space="preserve">   Tunisie</v>
      </c>
      <c r="C920">
        <v>315895543</v>
      </c>
      <c r="D920">
        <v>1016600</v>
      </c>
    </row>
    <row r="921" spans="1:4" x14ac:dyDescent="0.25">
      <c r="A921" t="str">
        <f>T("   TR")</f>
        <v xml:space="preserve">   TR</v>
      </c>
      <c r="B921" t="str">
        <f>T("   Turquie")</f>
        <v xml:space="preserve">   Turquie</v>
      </c>
      <c r="C921">
        <v>146201773</v>
      </c>
      <c r="D921">
        <v>517517</v>
      </c>
    </row>
    <row r="922" spans="1:4" x14ac:dyDescent="0.25">
      <c r="A922" t="str">
        <f>T("110313")</f>
        <v>110313</v>
      </c>
      <c r="B922" t="str">
        <f>T("Gruaux et semoules de maïs")</f>
        <v>Gruaux et semoules de maïs</v>
      </c>
    </row>
    <row r="923" spans="1:4" x14ac:dyDescent="0.25">
      <c r="A923" t="str">
        <f>T("   ZZZ_Monde")</f>
        <v xml:space="preserve">   ZZZ_Monde</v>
      </c>
      <c r="B923" t="str">
        <f>T("   ZZZ_Monde")</f>
        <v xml:space="preserve">   ZZZ_Monde</v>
      </c>
      <c r="C923">
        <v>242600</v>
      </c>
      <c r="D923">
        <v>500</v>
      </c>
    </row>
    <row r="924" spans="1:4" x14ac:dyDescent="0.25">
      <c r="A924" t="str">
        <f>T("   NG")</f>
        <v xml:space="preserve">   NG</v>
      </c>
      <c r="B924" t="str">
        <f>T("   Nigéria")</f>
        <v xml:space="preserve">   Nigéria</v>
      </c>
      <c r="C924">
        <v>242600</v>
      </c>
      <c r="D924">
        <v>500</v>
      </c>
    </row>
    <row r="925" spans="1:4" x14ac:dyDescent="0.25">
      <c r="A925" t="str">
        <f>T("110319")</f>
        <v>110319</v>
      </c>
      <c r="B925" t="str">
        <f>T("Gruaux et semoules de céréales (à l'excl, des gruaux et semoules de froment [blé] et de maïs)")</f>
        <v>Gruaux et semoules de céréales (à l'excl, des gruaux et semoules de froment [blé] et de maïs)</v>
      </c>
    </row>
    <row r="926" spans="1:4" x14ac:dyDescent="0.25">
      <c r="A926" t="str">
        <f>T("   ZZZ_Monde")</f>
        <v xml:space="preserve">   ZZZ_Monde</v>
      </c>
      <c r="B926" t="str">
        <f>T("   ZZZ_Monde")</f>
        <v xml:space="preserve">   ZZZ_Monde</v>
      </c>
      <c r="C926">
        <v>1582489</v>
      </c>
      <c r="D926">
        <v>1791</v>
      </c>
    </row>
    <row r="927" spans="1:4" x14ac:dyDescent="0.25">
      <c r="A927" t="str">
        <f>T("   FR")</f>
        <v xml:space="preserve">   FR</v>
      </c>
      <c r="B927" t="str">
        <f>T("   France")</f>
        <v xml:space="preserve">   France</v>
      </c>
      <c r="C927">
        <v>305021</v>
      </c>
      <c r="D927">
        <v>90</v>
      </c>
    </row>
    <row r="928" spans="1:4" x14ac:dyDescent="0.25">
      <c r="A928" t="str">
        <f>T("   IN")</f>
        <v xml:space="preserve">   IN</v>
      </c>
      <c r="B928" t="str">
        <f>T("   Inde")</f>
        <v xml:space="preserve">   Inde</v>
      </c>
      <c r="C928">
        <v>1277468</v>
      </c>
      <c r="D928">
        <v>1701</v>
      </c>
    </row>
    <row r="929" spans="1:4" x14ac:dyDescent="0.25">
      <c r="A929" t="str">
        <f>T("110412")</f>
        <v>110412</v>
      </c>
      <c r="B929" t="str">
        <f>T("Grains d'avoine, aplatis ou en flocons")</f>
        <v>Grains d'avoine, aplatis ou en flocons</v>
      </c>
    </row>
    <row r="930" spans="1:4" x14ac:dyDescent="0.25">
      <c r="A930" t="str">
        <f>T("   ZZZ_Monde")</f>
        <v xml:space="preserve">   ZZZ_Monde</v>
      </c>
      <c r="B930" t="str">
        <f>T("   ZZZ_Monde")</f>
        <v xml:space="preserve">   ZZZ_Monde</v>
      </c>
      <c r="C930">
        <v>3479082</v>
      </c>
      <c r="D930">
        <v>6776</v>
      </c>
    </row>
    <row r="931" spans="1:4" x14ac:dyDescent="0.25">
      <c r="A931" t="str">
        <f>T("   FR")</f>
        <v xml:space="preserve">   FR</v>
      </c>
      <c r="B931" t="str">
        <f>T("   France")</f>
        <v xml:space="preserve">   France</v>
      </c>
      <c r="C931">
        <v>3479082</v>
      </c>
      <c r="D931">
        <v>6776</v>
      </c>
    </row>
    <row r="932" spans="1:4" x14ac:dyDescent="0.25">
      <c r="A932" t="str">
        <f>T("110419")</f>
        <v>110419</v>
      </c>
      <c r="B932" t="str">
        <f>T("GRAINS DE CÉRÉALES, APLATIS OU EN FLOCONS (À L'EXCL, DES GRAINS D'AVOINE)")</f>
        <v>GRAINS DE CÉRÉALES, APLATIS OU EN FLOCONS (À L'EXCL, DES GRAINS D'AVOINE)</v>
      </c>
    </row>
    <row r="933" spans="1:4" x14ac:dyDescent="0.25">
      <c r="A933" t="str">
        <f>T("   ZZZ_Monde")</f>
        <v xml:space="preserve">   ZZZ_Monde</v>
      </c>
      <c r="B933" t="str">
        <f>T("   ZZZ_Monde")</f>
        <v xml:space="preserve">   ZZZ_Monde</v>
      </c>
      <c r="C933">
        <v>995794</v>
      </c>
      <c r="D933">
        <v>1656</v>
      </c>
    </row>
    <row r="934" spans="1:4" x14ac:dyDescent="0.25">
      <c r="A934" t="str">
        <f>T("   FR")</f>
        <v xml:space="preserve">   FR</v>
      </c>
      <c r="B934" t="str">
        <f>T("   France")</f>
        <v xml:space="preserve">   France</v>
      </c>
      <c r="C934">
        <v>995794</v>
      </c>
      <c r="D934">
        <v>1656</v>
      </c>
    </row>
    <row r="935" spans="1:4" x14ac:dyDescent="0.25">
      <c r="A935" t="str">
        <f>T("110510")</f>
        <v>110510</v>
      </c>
      <c r="B935" t="str">
        <f>T("Farine, semoule et poudre de pommes de terre")</f>
        <v>Farine, semoule et poudre de pommes de terre</v>
      </c>
    </row>
    <row r="936" spans="1:4" x14ac:dyDescent="0.25">
      <c r="A936" t="str">
        <f>T("   ZZZ_Monde")</f>
        <v xml:space="preserve">   ZZZ_Monde</v>
      </c>
      <c r="B936" t="str">
        <f>T("   ZZZ_Monde")</f>
        <v xml:space="preserve">   ZZZ_Monde</v>
      </c>
      <c r="C936">
        <v>1971820</v>
      </c>
      <c r="D936">
        <v>2638</v>
      </c>
    </row>
    <row r="937" spans="1:4" x14ac:dyDescent="0.25">
      <c r="A937" t="str">
        <f>T("   FR")</f>
        <v xml:space="preserve">   FR</v>
      </c>
      <c r="B937" t="str">
        <f>T("   France")</f>
        <v xml:space="preserve">   France</v>
      </c>
      <c r="C937">
        <v>1971820</v>
      </c>
      <c r="D937">
        <v>2638</v>
      </c>
    </row>
    <row r="938" spans="1:4" x14ac:dyDescent="0.25">
      <c r="A938" t="str">
        <f>T("110520")</f>
        <v>110520</v>
      </c>
      <c r="B938" t="str">
        <f>T("Flocons, granulés et agglomérés sous forme de pellets, de pommes de terre")</f>
        <v>Flocons, granulés et agglomérés sous forme de pellets, de pommes de terre</v>
      </c>
    </row>
    <row r="939" spans="1:4" x14ac:dyDescent="0.25">
      <c r="A939" t="str">
        <f>T("   ZZZ_Monde")</f>
        <v xml:space="preserve">   ZZZ_Monde</v>
      </c>
      <c r="B939" t="str">
        <f>T("   ZZZ_Monde")</f>
        <v xml:space="preserve">   ZZZ_Monde</v>
      </c>
      <c r="C939">
        <v>898664</v>
      </c>
      <c r="D939">
        <v>1480</v>
      </c>
    </row>
    <row r="940" spans="1:4" x14ac:dyDescent="0.25">
      <c r="A940" t="str">
        <f>T("   BE")</f>
        <v xml:space="preserve">   BE</v>
      </c>
      <c r="B940" t="str">
        <f>T("   Belgique")</f>
        <v xml:space="preserve">   Belgique</v>
      </c>
      <c r="C940">
        <v>843565</v>
      </c>
      <c r="D940">
        <v>1300</v>
      </c>
    </row>
    <row r="941" spans="1:4" x14ac:dyDescent="0.25">
      <c r="A941" t="str">
        <f>T("   FR")</f>
        <v xml:space="preserve">   FR</v>
      </c>
      <c r="B941" t="str">
        <f>T("   France")</f>
        <v xml:space="preserve">   France</v>
      </c>
      <c r="C941">
        <v>55099</v>
      </c>
      <c r="D941">
        <v>180</v>
      </c>
    </row>
    <row r="942" spans="1:4" x14ac:dyDescent="0.25">
      <c r="A942" t="str">
        <f>T("110620")</f>
        <v>110620</v>
      </c>
      <c r="B942" t="str">
        <f>T("Farines, semoules et poudres de sagou ou des racines ou tubercules du n° 0714")</f>
        <v>Farines, semoules et poudres de sagou ou des racines ou tubercules du n° 0714</v>
      </c>
    </row>
    <row r="943" spans="1:4" x14ac:dyDescent="0.25">
      <c r="A943" t="str">
        <f>T("   ZZZ_Monde")</f>
        <v xml:space="preserve">   ZZZ_Monde</v>
      </c>
      <c r="B943" t="str">
        <f>T("   ZZZ_Monde")</f>
        <v xml:space="preserve">   ZZZ_Monde</v>
      </c>
      <c r="C943">
        <v>39323</v>
      </c>
      <c r="D943">
        <v>180</v>
      </c>
    </row>
    <row r="944" spans="1:4" x14ac:dyDescent="0.25">
      <c r="A944" t="str">
        <f>T("   TG")</f>
        <v xml:space="preserve">   TG</v>
      </c>
      <c r="B944" t="str">
        <f>T("   Togo")</f>
        <v xml:space="preserve">   Togo</v>
      </c>
      <c r="C944">
        <v>39323</v>
      </c>
      <c r="D944">
        <v>180</v>
      </c>
    </row>
    <row r="945" spans="1:4" x14ac:dyDescent="0.25">
      <c r="A945" t="str">
        <f>T("110710")</f>
        <v>110710</v>
      </c>
      <c r="B945" t="str">
        <f>T("MALT, NON-TORRÉFIÉ")</f>
        <v>MALT, NON-TORRÉFIÉ</v>
      </c>
    </row>
    <row r="946" spans="1:4" x14ac:dyDescent="0.25">
      <c r="A946" t="str">
        <f>T("   ZZZ_Monde")</f>
        <v xml:space="preserve">   ZZZ_Monde</v>
      </c>
      <c r="B946" t="str">
        <f>T("   ZZZ_Monde")</f>
        <v xml:space="preserve">   ZZZ_Monde</v>
      </c>
      <c r="C946">
        <v>4664833763</v>
      </c>
      <c r="D946">
        <v>10661971</v>
      </c>
    </row>
    <row r="947" spans="1:4" x14ac:dyDescent="0.25">
      <c r="A947" t="str">
        <f>T("   BE")</f>
        <v xml:space="preserve">   BE</v>
      </c>
      <c r="B947" t="str">
        <f>T("   Belgique")</f>
        <v xml:space="preserve">   Belgique</v>
      </c>
      <c r="C947">
        <v>2706917097</v>
      </c>
      <c r="D947">
        <v>6139515</v>
      </c>
    </row>
    <row r="948" spans="1:4" x14ac:dyDescent="0.25">
      <c r="A948" t="str">
        <f>T("   DE")</f>
        <v xml:space="preserve">   DE</v>
      </c>
      <c r="B948" t="str">
        <f>T("   Allemagne")</f>
        <v xml:space="preserve">   Allemagne</v>
      </c>
      <c r="C948">
        <v>317299398</v>
      </c>
      <c r="D948">
        <v>716642</v>
      </c>
    </row>
    <row r="949" spans="1:4" x14ac:dyDescent="0.25">
      <c r="A949" t="str">
        <f>T("   ES")</f>
        <v xml:space="preserve">   ES</v>
      </c>
      <c r="B949" t="str">
        <f>T("   Espagne")</f>
        <v xml:space="preserve">   Espagne</v>
      </c>
      <c r="C949">
        <v>99015850</v>
      </c>
      <c r="D949">
        <v>311060</v>
      </c>
    </row>
    <row r="950" spans="1:4" x14ac:dyDescent="0.25">
      <c r="A950" t="str">
        <f>T("   FR")</f>
        <v xml:space="preserve">   FR</v>
      </c>
      <c r="B950" t="str">
        <f>T("   France")</f>
        <v xml:space="preserve">   France</v>
      </c>
      <c r="C950">
        <v>805681682</v>
      </c>
      <c r="D950">
        <v>1843174</v>
      </c>
    </row>
    <row r="951" spans="1:4" x14ac:dyDescent="0.25">
      <c r="A951" t="str">
        <f>T("   IE")</f>
        <v xml:space="preserve">   IE</v>
      </c>
      <c r="B951" t="str">
        <f>T("   Irlande")</f>
        <v xml:space="preserve">   Irlande</v>
      </c>
      <c r="C951">
        <v>203490781</v>
      </c>
      <c r="D951">
        <v>456820</v>
      </c>
    </row>
    <row r="952" spans="1:4" x14ac:dyDescent="0.25">
      <c r="A952" t="str">
        <f>T("   NL")</f>
        <v xml:space="preserve">   NL</v>
      </c>
      <c r="B952" t="str">
        <f>T("   Pays-bas")</f>
        <v xml:space="preserve">   Pays-bas</v>
      </c>
      <c r="C952">
        <v>532428955</v>
      </c>
      <c r="D952">
        <v>1194760</v>
      </c>
    </row>
    <row r="953" spans="1:4" x14ac:dyDescent="0.25">
      <c r="A953" t="str">
        <f>T("110720")</f>
        <v>110720</v>
      </c>
      <c r="B953" t="str">
        <f>T("Malt, torréfié")</f>
        <v>Malt, torréfié</v>
      </c>
    </row>
    <row r="954" spans="1:4" x14ac:dyDescent="0.25">
      <c r="A954" t="str">
        <f>T("   ZZZ_Monde")</f>
        <v xml:space="preserve">   ZZZ_Monde</v>
      </c>
      <c r="B954" t="str">
        <f>T("   ZZZ_Monde")</f>
        <v xml:space="preserve">   ZZZ_Monde</v>
      </c>
      <c r="C954">
        <v>13665614</v>
      </c>
      <c r="D954">
        <v>15120</v>
      </c>
    </row>
    <row r="955" spans="1:4" x14ac:dyDescent="0.25">
      <c r="A955" t="str">
        <f>T("   FR")</f>
        <v xml:space="preserve">   FR</v>
      </c>
      <c r="B955" t="str">
        <f>T("   France")</f>
        <v xml:space="preserve">   France</v>
      </c>
      <c r="C955">
        <v>13665614</v>
      </c>
      <c r="D955">
        <v>15120</v>
      </c>
    </row>
    <row r="956" spans="1:4" x14ac:dyDescent="0.25">
      <c r="A956" t="str">
        <f>T("110819")</f>
        <v>110819</v>
      </c>
      <c r="B956" t="str">
        <f>T("Amidons et fécules (à l'excl, des amidons et fécules de froment [blé], de maïs, de pommes de terre et de manioc)")</f>
        <v>Amidons et fécules (à l'excl, des amidons et fécules de froment [blé], de maïs, de pommes de terre et de manioc)</v>
      </c>
    </row>
    <row r="957" spans="1:4" x14ac:dyDescent="0.25">
      <c r="A957" t="str">
        <f>T("   ZZZ_Monde")</f>
        <v xml:space="preserve">   ZZZ_Monde</v>
      </c>
      <c r="B957" t="str">
        <f>T("   ZZZ_Monde")</f>
        <v xml:space="preserve">   ZZZ_Monde</v>
      </c>
      <c r="C957">
        <v>1034114</v>
      </c>
      <c r="D957">
        <v>879</v>
      </c>
    </row>
    <row r="958" spans="1:4" x14ac:dyDescent="0.25">
      <c r="A958" t="str">
        <f>T("   FR")</f>
        <v xml:space="preserve">   FR</v>
      </c>
      <c r="B958" t="str">
        <f>T("   France")</f>
        <v xml:space="preserve">   France</v>
      </c>
      <c r="C958">
        <v>1034114</v>
      </c>
      <c r="D958">
        <v>879</v>
      </c>
    </row>
    <row r="959" spans="1:4" x14ac:dyDescent="0.25">
      <c r="A959" t="str">
        <f>T("120100")</f>
        <v>120100</v>
      </c>
      <c r="B959" t="str">
        <f>T("Fèves de soja, même concassées")</f>
        <v>Fèves de soja, même concassées</v>
      </c>
    </row>
    <row r="960" spans="1:4" x14ac:dyDescent="0.25">
      <c r="A960" t="str">
        <f>T("   ZZZ_Monde")</f>
        <v xml:space="preserve">   ZZZ_Monde</v>
      </c>
      <c r="B960" t="str">
        <f>T("   ZZZ_Monde")</f>
        <v xml:space="preserve">   ZZZ_Monde</v>
      </c>
      <c r="C960">
        <v>1029961</v>
      </c>
      <c r="D960">
        <v>12158</v>
      </c>
    </row>
    <row r="961" spans="1:4" x14ac:dyDescent="0.25">
      <c r="A961" t="str">
        <f>T("   IN")</f>
        <v xml:space="preserve">   IN</v>
      </c>
      <c r="B961" t="str">
        <f>T("   Inde")</f>
        <v xml:space="preserve">   Inde</v>
      </c>
      <c r="C961">
        <v>129961</v>
      </c>
      <c r="D961">
        <v>158</v>
      </c>
    </row>
    <row r="962" spans="1:4" x14ac:dyDescent="0.25">
      <c r="A962" t="str">
        <f>T("   NG")</f>
        <v xml:space="preserve">   NG</v>
      </c>
      <c r="B962" t="str">
        <f>T("   Nigéria")</f>
        <v xml:space="preserve">   Nigéria</v>
      </c>
      <c r="C962">
        <v>900000</v>
      </c>
      <c r="D962">
        <v>12000</v>
      </c>
    </row>
    <row r="963" spans="1:4" x14ac:dyDescent="0.25">
      <c r="A963" t="str">
        <f>T("120710")</f>
        <v>120710</v>
      </c>
      <c r="B963" t="str">
        <f>T("NOIX ET AMANDES DE PALMISTES")</f>
        <v>NOIX ET AMANDES DE PALMISTES</v>
      </c>
    </row>
    <row r="964" spans="1:4" x14ac:dyDescent="0.25">
      <c r="A964" t="str">
        <f>T("   ZZZ_Monde")</f>
        <v xml:space="preserve">   ZZZ_Monde</v>
      </c>
      <c r="B964" t="str">
        <f>T("   ZZZ_Monde")</f>
        <v xml:space="preserve">   ZZZ_Monde</v>
      </c>
      <c r="C964">
        <v>95219454</v>
      </c>
      <c r="D964">
        <v>9688870</v>
      </c>
    </row>
    <row r="965" spans="1:4" x14ac:dyDescent="0.25">
      <c r="A965" t="str">
        <f>T("   TG")</f>
        <v xml:space="preserve">   TG</v>
      </c>
      <c r="B965" t="str">
        <f>T("   Togo")</f>
        <v xml:space="preserve">   Togo</v>
      </c>
      <c r="C965">
        <v>95219454</v>
      </c>
      <c r="D965">
        <v>9688870</v>
      </c>
    </row>
    <row r="966" spans="1:4" x14ac:dyDescent="0.25">
      <c r="A966" t="str">
        <f>T("120720")</f>
        <v>120720</v>
      </c>
      <c r="B966" t="str">
        <f>T("Graines de coton, même concassées")</f>
        <v>Graines de coton, même concassées</v>
      </c>
    </row>
    <row r="967" spans="1:4" x14ac:dyDescent="0.25">
      <c r="A967" t="str">
        <f>T("   ZZZ_Monde")</f>
        <v xml:space="preserve">   ZZZ_Monde</v>
      </c>
      <c r="B967" t="str">
        <f>T("   ZZZ_Monde")</f>
        <v xml:space="preserve">   ZZZ_Monde</v>
      </c>
      <c r="C967">
        <v>535920</v>
      </c>
      <c r="D967">
        <v>30</v>
      </c>
    </row>
    <row r="968" spans="1:4" x14ac:dyDescent="0.25">
      <c r="A968" t="str">
        <f>T("   FR")</f>
        <v xml:space="preserve">   FR</v>
      </c>
      <c r="B968" t="str">
        <f>T("   France")</f>
        <v xml:space="preserve">   France</v>
      </c>
      <c r="C968">
        <v>535920</v>
      </c>
      <c r="D968">
        <v>30</v>
      </c>
    </row>
    <row r="969" spans="1:4" x14ac:dyDescent="0.25">
      <c r="A969" t="str">
        <f>T("120791")</f>
        <v>120791</v>
      </c>
      <c r="B969" t="str">
        <f>T("Graines d'oeillette ou de pavot, même concassées")</f>
        <v>Graines d'oeillette ou de pavot, même concassées</v>
      </c>
    </row>
    <row r="970" spans="1:4" x14ac:dyDescent="0.25">
      <c r="A970" t="str">
        <f>T("   ZZZ_Monde")</f>
        <v xml:space="preserve">   ZZZ_Monde</v>
      </c>
      <c r="B970" t="str">
        <f>T("   ZZZ_Monde")</f>
        <v xml:space="preserve">   ZZZ_Monde</v>
      </c>
      <c r="C970">
        <v>873391</v>
      </c>
      <c r="D970">
        <v>378</v>
      </c>
    </row>
    <row r="971" spans="1:4" x14ac:dyDescent="0.25">
      <c r="A971" t="str">
        <f>T("   FR")</f>
        <v xml:space="preserve">   FR</v>
      </c>
      <c r="B971" t="str">
        <f>T("   France")</f>
        <v xml:space="preserve">   France</v>
      </c>
      <c r="C971">
        <v>873391</v>
      </c>
      <c r="D971">
        <v>378</v>
      </c>
    </row>
    <row r="972" spans="1:4" x14ac:dyDescent="0.25">
      <c r="A972" t="str">
        <f>T("120799")</f>
        <v>120799</v>
      </c>
      <c r="B972" t="str">
        <f>T("GRAINES ET FRUITS OLÉAGINEUX, MÊME CONCASSÉS (À L'EXCL, DES FRUITS À COQUE COMESTIBLES, DES OLIVES, DES FÈVES DE SOJA, DES ARACHIDES, DU COPRAH ET DES GRAINES DE LIN, DE NAVETTE, DE COLZA, DE TOURNESOL, DE COTON, DE SÉSAME, DE MOUTARDE, D'OEILLETTE OU DE")</f>
        <v>GRAINES ET FRUITS OLÉAGINEUX, MÊME CONCASSÉS (À L'EXCL, DES FRUITS À COQUE COMESTIBLES, DES OLIVES, DES FÈVES DE SOJA, DES ARACHIDES, DU COPRAH ET DES GRAINES DE LIN, DE NAVETTE, DE COLZA, DE TOURNESOL, DE COTON, DE SÉSAME, DE MOUTARDE, D'OEILLETTE OU DE</v>
      </c>
    </row>
    <row r="973" spans="1:4" x14ac:dyDescent="0.25">
      <c r="A973" t="str">
        <f>T("   ZZZ_Monde")</f>
        <v xml:space="preserve">   ZZZ_Monde</v>
      </c>
      <c r="B973" t="str">
        <f>T("   ZZZ_Monde")</f>
        <v xml:space="preserve">   ZZZ_Monde</v>
      </c>
      <c r="C973">
        <v>1056095</v>
      </c>
      <c r="D973">
        <v>149</v>
      </c>
    </row>
    <row r="974" spans="1:4" x14ac:dyDescent="0.25">
      <c r="A974" t="str">
        <f>T("   FR")</f>
        <v xml:space="preserve">   FR</v>
      </c>
      <c r="B974" t="str">
        <f>T("   France")</f>
        <v xml:space="preserve">   France</v>
      </c>
      <c r="C974">
        <v>1056095</v>
      </c>
      <c r="D974">
        <v>149</v>
      </c>
    </row>
    <row r="975" spans="1:4" x14ac:dyDescent="0.25">
      <c r="A975" t="str">
        <f>T("120890")</f>
        <v>120890</v>
      </c>
      <c r="B975" t="str">
        <f>T("Farines de graines ou de fruits oléagineux (à l'excl, des farines de moutarde et de fèves de soja)")</f>
        <v>Farines de graines ou de fruits oléagineux (à l'excl, des farines de moutarde et de fèves de soja)</v>
      </c>
    </row>
    <row r="976" spans="1:4" x14ac:dyDescent="0.25">
      <c r="A976" t="str">
        <f>T("   ZZZ_Monde")</f>
        <v xml:space="preserve">   ZZZ_Monde</v>
      </c>
      <c r="B976" t="str">
        <f>T("   ZZZ_Monde")</f>
        <v xml:space="preserve">   ZZZ_Monde</v>
      </c>
      <c r="C976">
        <v>59040</v>
      </c>
      <c r="D976">
        <v>44</v>
      </c>
    </row>
    <row r="977" spans="1:4" x14ac:dyDescent="0.25">
      <c r="A977" t="str">
        <f>T("   TG")</f>
        <v xml:space="preserve">   TG</v>
      </c>
      <c r="B977" t="str">
        <f>T("   Togo")</f>
        <v xml:space="preserve">   Togo</v>
      </c>
      <c r="C977">
        <v>59040</v>
      </c>
      <c r="D977">
        <v>44</v>
      </c>
    </row>
    <row r="978" spans="1:4" x14ac:dyDescent="0.25">
      <c r="A978" t="str">
        <f>T("120929")</f>
        <v>120929</v>
      </c>
      <c r="B978" t="str">
        <f>T("GRAINES FOURRAGÈRES, À ENSEMENCER (À L'EXCL, DES GRAINES DE CÉRÉALES, DE BETTERAVES À SUCRE, DE LUZERNE, DE TRÈFLE [TRIFOLIUM SPP,], DE FÉTUQUE, DE PÂTURIN DES PRÉS DU KENTUCKY [POA PRATENSIS L,] ET DE RAY-GRASS [LOLIUM MULTIFLORUM LAM, ET LOLIUM PERRENNE")</f>
        <v>GRAINES FOURRAGÈRES, À ENSEMENCER (À L'EXCL, DES GRAINES DE CÉRÉALES, DE BETTERAVES À SUCRE, DE LUZERNE, DE TRÈFLE [TRIFOLIUM SPP,], DE FÉTUQUE, DE PÂTURIN DES PRÉS DU KENTUCKY [POA PRATENSIS L,] ET DE RAY-GRASS [LOLIUM MULTIFLORUM LAM, ET LOLIUM PERRENNE</v>
      </c>
    </row>
    <row r="979" spans="1:4" x14ac:dyDescent="0.25">
      <c r="A979" t="str">
        <f>T("   ZZZ_Monde")</f>
        <v xml:space="preserve">   ZZZ_Monde</v>
      </c>
      <c r="B979" t="str">
        <f>T("   ZZZ_Monde")</f>
        <v xml:space="preserve">   ZZZ_Monde</v>
      </c>
      <c r="C979">
        <v>11178</v>
      </c>
      <c r="D979">
        <v>1</v>
      </c>
    </row>
    <row r="980" spans="1:4" x14ac:dyDescent="0.25">
      <c r="A980" t="str">
        <f>T("   US")</f>
        <v xml:space="preserve">   US</v>
      </c>
      <c r="B980" t="str">
        <f>T("   Etats-Unis")</f>
        <v xml:space="preserve">   Etats-Unis</v>
      </c>
      <c r="C980">
        <v>11178</v>
      </c>
      <c r="D980">
        <v>1</v>
      </c>
    </row>
    <row r="981" spans="1:4" x14ac:dyDescent="0.25">
      <c r="A981" t="str">
        <f>T("120991")</f>
        <v>120991</v>
      </c>
      <c r="B981" t="str">
        <f>T("Graines de légumes, à ensemencer")</f>
        <v>Graines de légumes, à ensemencer</v>
      </c>
    </row>
    <row r="982" spans="1:4" x14ac:dyDescent="0.25">
      <c r="A982" t="str">
        <f>T("   ZZZ_Monde")</f>
        <v xml:space="preserve">   ZZZ_Monde</v>
      </c>
      <c r="B982" t="str">
        <f>T("   ZZZ_Monde")</f>
        <v xml:space="preserve">   ZZZ_Monde</v>
      </c>
      <c r="C982">
        <v>1163673</v>
      </c>
      <c r="D982">
        <v>104</v>
      </c>
    </row>
    <row r="983" spans="1:4" x14ac:dyDescent="0.25">
      <c r="A983" t="str">
        <f>T("   FR")</f>
        <v xml:space="preserve">   FR</v>
      </c>
      <c r="B983" t="str">
        <f>T("   France")</f>
        <v xml:space="preserve">   France</v>
      </c>
      <c r="C983">
        <v>1163673</v>
      </c>
      <c r="D983">
        <v>104</v>
      </c>
    </row>
    <row r="984" spans="1:4" x14ac:dyDescent="0.25">
      <c r="A984" t="str">
        <f>T("120999")</f>
        <v>120999</v>
      </c>
      <c r="B984" t="str">
        <f>T("Graines, fruits et spores à ensemencer (à l'excl, des légumes à cosse, du maïs doux, café, thé, maté, des épices, céréales, graines et fruits oléagineux, betteraves, plantes fourragères, graines de légumes ainsi que des graines de plantes herbacées utilis")</f>
        <v>Graines, fruits et spores à ensemencer (à l'excl, des légumes à cosse, du maïs doux, café, thé, maté, des épices, céréales, graines et fruits oléagineux, betteraves, plantes fourragères, graines de légumes ainsi que des graines de plantes herbacées utilis</v>
      </c>
    </row>
    <row r="985" spans="1:4" x14ac:dyDescent="0.25">
      <c r="A985" t="str">
        <f>T("   ZZZ_Monde")</f>
        <v xml:space="preserve">   ZZZ_Monde</v>
      </c>
      <c r="B985" t="str">
        <f>T("   ZZZ_Monde")</f>
        <v xml:space="preserve">   ZZZ_Monde</v>
      </c>
      <c r="C985">
        <v>135656</v>
      </c>
      <c r="D985">
        <v>300</v>
      </c>
    </row>
    <row r="986" spans="1:4" x14ac:dyDescent="0.25">
      <c r="A986" t="str">
        <f>T("   LB")</f>
        <v xml:space="preserve">   LB</v>
      </c>
      <c r="B986" t="str">
        <f>T("   Liban")</f>
        <v xml:space="preserve">   Liban</v>
      </c>
      <c r="C986">
        <v>135656</v>
      </c>
      <c r="D986">
        <v>300</v>
      </c>
    </row>
    <row r="987" spans="1:4" x14ac:dyDescent="0.25">
      <c r="A987" t="str">
        <f>T("121020")</f>
        <v>121020</v>
      </c>
      <c r="B987" t="str">
        <f>T("Cônes de houblon, broyés, moulus ou sous forme de pellets; lupuline")</f>
        <v>Cônes de houblon, broyés, moulus ou sous forme de pellets; lupuline</v>
      </c>
    </row>
    <row r="988" spans="1:4" x14ac:dyDescent="0.25">
      <c r="A988" t="str">
        <f>T("   ZZZ_Monde")</f>
        <v xml:space="preserve">   ZZZ_Monde</v>
      </c>
      <c r="B988" t="str">
        <f>T("   ZZZ_Monde")</f>
        <v xml:space="preserve">   ZZZ_Monde</v>
      </c>
      <c r="C988">
        <v>61122306</v>
      </c>
      <c r="D988">
        <v>8418</v>
      </c>
    </row>
    <row r="989" spans="1:4" x14ac:dyDescent="0.25">
      <c r="A989" t="str">
        <f>T("   DE")</f>
        <v xml:space="preserve">   DE</v>
      </c>
      <c r="B989" t="str">
        <f>T("   Allemagne")</f>
        <v xml:space="preserve">   Allemagne</v>
      </c>
      <c r="C989">
        <v>4896695</v>
      </c>
      <c r="D989">
        <v>5479</v>
      </c>
    </row>
    <row r="990" spans="1:4" x14ac:dyDescent="0.25">
      <c r="A990" t="str">
        <f>T("   FR")</f>
        <v xml:space="preserve">   FR</v>
      </c>
      <c r="B990" t="str">
        <f>T("   France")</f>
        <v xml:space="preserve">   France</v>
      </c>
      <c r="C990">
        <v>56225611</v>
      </c>
      <c r="D990">
        <v>2939</v>
      </c>
    </row>
    <row r="991" spans="1:4" x14ac:dyDescent="0.25">
      <c r="A991" t="str">
        <f>T("121190")</f>
        <v>121190</v>
      </c>
      <c r="B991" t="str">
        <f>T("PLANTES, PARTIES DE PLANTES, GRAINES ET FRUITS DES ESPÈCES UTILISÉES PRINCIPALEMENT EN PARFUMERIE, EN MÉDECINE OU À USAGES INSECTICIDES, PARASITICIDES OU SIMIL,, FRAIS OU SECS, MÊME COUPÉS, CONCASSÉS OU PULVÉRISÉS (À L'EXCL, DES RACINES DE GINSENG, DES FE")</f>
        <v>PLANTES, PARTIES DE PLANTES, GRAINES ET FRUITS DES ESPÈCES UTILISÉES PRINCIPALEMENT EN PARFUMERIE, EN MÉDECINE OU À USAGES INSECTICIDES, PARASITICIDES OU SIMIL,, FRAIS OU SECS, MÊME COUPÉS, CONCASSÉS OU PULVÉRISÉS (À L'EXCL, DES RACINES DE GINSENG, DES FE</v>
      </c>
    </row>
    <row r="992" spans="1:4" x14ac:dyDescent="0.25">
      <c r="A992" t="str">
        <f>T("   ZZZ_Monde")</f>
        <v xml:space="preserve">   ZZZ_Monde</v>
      </c>
      <c r="B992" t="str">
        <f>T("   ZZZ_Monde")</f>
        <v xml:space="preserve">   ZZZ_Monde</v>
      </c>
      <c r="C992">
        <v>12359677</v>
      </c>
      <c r="D992">
        <v>197173</v>
      </c>
    </row>
    <row r="993" spans="1:4" x14ac:dyDescent="0.25">
      <c r="A993" t="str">
        <f>T("   AE")</f>
        <v xml:space="preserve">   AE</v>
      </c>
      <c r="B993" t="str">
        <f>T("   Emirats Arabes Unis")</f>
        <v xml:space="preserve">   Emirats Arabes Unis</v>
      </c>
      <c r="C993">
        <v>176401</v>
      </c>
      <c r="D993">
        <v>458</v>
      </c>
    </row>
    <row r="994" spans="1:4" x14ac:dyDescent="0.25">
      <c r="A994" t="str">
        <f>T("   FR")</f>
        <v xml:space="preserve">   FR</v>
      </c>
      <c r="B994" t="str">
        <f>T("   France")</f>
        <v xml:space="preserve">   France</v>
      </c>
      <c r="C994">
        <v>5255847</v>
      </c>
      <c r="D994">
        <v>2085</v>
      </c>
    </row>
    <row r="995" spans="1:4" x14ac:dyDescent="0.25">
      <c r="A995" t="str">
        <f>T("   NG")</f>
        <v xml:space="preserve">   NG</v>
      </c>
      <c r="B995" t="str">
        <f>T("   Nigéria")</f>
        <v xml:space="preserve">   Nigéria</v>
      </c>
      <c r="C995">
        <v>5781500</v>
      </c>
      <c r="D995">
        <v>115630</v>
      </c>
    </row>
    <row r="996" spans="1:4" x14ac:dyDescent="0.25">
      <c r="A996" t="str">
        <f>T("   TG")</f>
        <v xml:space="preserve">   TG</v>
      </c>
      <c r="B996" t="str">
        <f>T("   Togo")</f>
        <v xml:space="preserve">   Togo</v>
      </c>
      <c r="C996">
        <v>1145929</v>
      </c>
      <c r="D996">
        <v>79000</v>
      </c>
    </row>
    <row r="997" spans="1:4" x14ac:dyDescent="0.25">
      <c r="A997" t="str">
        <f>T("121220")</f>
        <v>121220</v>
      </c>
      <c r="B997" t="str">
        <f>T("Algues, fraîches, réfrigérées, congelées ou séchées, même pulvérisées")</f>
        <v>Algues, fraîches, réfrigérées, congelées ou séchées, même pulvérisées</v>
      </c>
    </row>
    <row r="998" spans="1:4" x14ac:dyDescent="0.25">
      <c r="A998" t="str">
        <f>T("   ZZZ_Monde")</f>
        <v xml:space="preserve">   ZZZ_Monde</v>
      </c>
      <c r="B998" t="str">
        <f>T("   ZZZ_Monde")</f>
        <v xml:space="preserve">   ZZZ_Monde</v>
      </c>
      <c r="C998">
        <v>244017</v>
      </c>
      <c r="D998">
        <v>120</v>
      </c>
    </row>
    <row r="999" spans="1:4" x14ac:dyDescent="0.25">
      <c r="A999" t="str">
        <f>T("   FR")</f>
        <v xml:space="preserve">   FR</v>
      </c>
      <c r="B999" t="str">
        <f>T("   France")</f>
        <v xml:space="preserve">   France</v>
      </c>
      <c r="C999">
        <v>244017</v>
      </c>
      <c r="D999">
        <v>120</v>
      </c>
    </row>
    <row r="1000" spans="1:4" x14ac:dyDescent="0.25">
      <c r="A1000" t="str">
        <f>T("121299")</f>
        <v>121299</v>
      </c>
      <c r="B1000" t="str">
        <f>T("NOYAUX ET AMANDES DE FRUITS ET AUTRES PRODUITS VÉGÉTAUX - Y,C, LES RACINES DE CHICORÉE NON-TORRÉFIÉES DE LA VARIÉTÉ 'CICHORIUM INTYBUS SATIVUM' -, SERVANT PRINCIPALEMENT À L'ALIMENTATION HUMAINE, N,D,A,")</f>
        <v>NOYAUX ET AMANDES DE FRUITS ET AUTRES PRODUITS VÉGÉTAUX - Y,C, LES RACINES DE CHICORÉE NON-TORRÉFIÉES DE LA VARIÉTÉ 'CICHORIUM INTYBUS SATIVUM' -, SERVANT PRINCIPALEMENT À L'ALIMENTATION HUMAINE, N,D,A,</v>
      </c>
    </row>
    <row r="1001" spans="1:4" x14ac:dyDescent="0.25">
      <c r="A1001" t="str">
        <f>T("   ZZZ_Monde")</f>
        <v xml:space="preserve">   ZZZ_Monde</v>
      </c>
      <c r="B1001" t="str">
        <f>T("   ZZZ_Monde")</f>
        <v xml:space="preserve">   ZZZ_Monde</v>
      </c>
      <c r="C1001">
        <v>109546</v>
      </c>
      <c r="D1001">
        <v>29</v>
      </c>
    </row>
    <row r="1002" spans="1:4" x14ac:dyDescent="0.25">
      <c r="A1002" t="str">
        <f>T("   FR")</f>
        <v xml:space="preserve">   FR</v>
      </c>
      <c r="B1002" t="str">
        <f>T("   France")</f>
        <v xml:space="preserve">   France</v>
      </c>
      <c r="C1002">
        <v>109546</v>
      </c>
      <c r="D1002">
        <v>29</v>
      </c>
    </row>
    <row r="1003" spans="1:4" x14ac:dyDescent="0.25">
      <c r="A1003" t="str">
        <f>T("121490")</f>
        <v>121490</v>
      </c>
      <c r="B1003" t="str">
        <f>T("Rutabagas, betteraves fourragères, racines fourragères, foin, luzerne, trèfle, sainfoin, choux fourragers, lupin, vesces et produits fourragers simil,, même agglomérés sous forme de pellets (à l'excl, de la farine et des agglomérés sous forme de pellets,")</f>
        <v>Rutabagas, betteraves fourragères, racines fourragères, foin, luzerne, trèfle, sainfoin, choux fourragers, lupin, vesces et produits fourragers simil,, même agglomérés sous forme de pellets (à l'excl, de la farine et des agglomérés sous forme de pellets,</v>
      </c>
    </row>
    <row r="1004" spans="1:4" x14ac:dyDescent="0.25">
      <c r="A1004" t="str">
        <f>T("   ZZZ_Monde")</f>
        <v xml:space="preserve">   ZZZ_Monde</v>
      </c>
      <c r="B1004" t="str">
        <f>T("   ZZZ_Monde")</f>
        <v xml:space="preserve">   ZZZ_Monde</v>
      </c>
      <c r="C1004">
        <v>395570</v>
      </c>
      <c r="D1004">
        <v>4140</v>
      </c>
    </row>
    <row r="1005" spans="1:4" x14ac:dyDescent="0.25">
      <c r="A1005" t="str">
        <f>T("   FR")</f>
        <v xml:space="preserve">   FR</v>
      </c>
      <c r="B1005" t="str">
        <f>T("   France")</f>
        <v xml:space="preserve">   France</v>
      </c>
      <c r="C1005">
        <v>145570</v>
      </c>
      <c r="D1005">
        <v>1000</v>
      </c>
    </row>
    <row r="1006" spans="1:4" x14ac:dyDescent="0.25">
      <c r="A1006" t="str">
        <f>T("   TG")</f>
        <v xml:space="preserve">   TG</v>
      </c>
      <c r="B1006" t="str">
        <f>T("   Togo")</f>
        <v xml:space="preserve">   Togo</v>
      </c>
      <c r="C1006">
        <v>250000</v>
      </c>
      <c r="D1006">
        <v>3140</v>
      </c>
    </row>
    <row r="1007" spans="1:4" x14ac:dyDescent="0.25">
      <c r="A1007" t="str">
        <f>T("130120")</f>
        <v>130120</v>
      </c>
      <c r="B1007" t="str">
        <f>T("Gomme arabique")</f>
        <v>Gomme arabique</v>
      </c>
    </row>
    <row r="1008" spans="1:4" x14ac:dyDescent="0.25">
      <c r="A1008" t="str">
        <f>T("   ZZZ_Monde")</f>
        <v xml:space="preserve">   ZZZ_Monde</v>
      </c>
      <c r="B1008" t="str">
        <f>T("   ZZZ_Monde")</f>
        <v xml:space="preserve">   ZZZ_Monde</v>
      </c>
      <c r="C1008">
        <v>1053825</v>
      </c>
      <c r="D1008">
        <v>643</v>
      </c>
    </row>
    <row r="1009" spans="1:4" x14ac:dyDescent="0.25">
      <c r="A1009" t="str">
        <f>T("   DE")</f>
        <v xml:space="preserve">   DE</v>
      </c>
      <c r="B1009" t="str">
        <f>T("   Allemagne")</f>
        <v xml:space="preserve">   Allemagne</v>
      </c>
      <c r="C1009">
        <v>1031825</v>
      </c>
      <c r="D1009">
        <v>443</v>
      </c>
    </row>
    <row r="1010" spans="1:4" x14ac:dyDescent="0.25">
      <c r="A1010" t="str">
        <f>T("   NG")</f>
        <v xml:space="preserve">   NG</v>
      </c>
      <c r="B1010" t="str">
        <f>T("   Nigéria")</f>
        <v xml:space="preserve">   Nigéria</v>
      </c>
      <c r="C1010">
        <v>22000</v>
      </c>
      <c r="D1010">
        <v>200</v>
      </c>
    </row>
    <row r="1011" spans="1:4" x14ac:dyDescent="0.25">
      <c r="A1011" t="str">
        <f>T("130213")</f>
        <v>130213</v>
      </c>
      <c r="B1011" t="str">
        <f>T("Extraits de houblon")</f>
        <v>Extraits de houblon</v>
      </c>
    </row>
    <row r="1012" spans="1:4" x14ac:dyDescent="0.25">
      <c r="A1012" t="str">
        <f>T("   ZZZ_Monde")</f>
        <v xml:space="preserve">   ZZZ_Monde</v>
      </c>
      <c r="B1012" t="str">
        <f>T("   ZZZ_Monde")</f>
        <v xml:space="preserve">   ZZZ_Monde</v>
      </c>
      <c r="C1012">
        <v>214862157</v>
      </c>
      <c r="D1012">
        <v>9806</v>
      </c>
    </row>
    <row r="1013" spans="1:4" x14ac:dyDescent="0.25">
      <c r="A1013" t="str">
        <f>T("   CH")</f>
        <v xml:space="preserve">   CH</v>
      </c>
      <c r="B1013" t="str">
        <f>T("   Suisse")</f>
        <v xml:space="preserve">   Suisse</v>
      </c>
      <c r="C1013">
        <v>20622064</v>
      </c>
      <c r="D1013">
        <v>1052</v>
      </c>
    </row>
    <row r="1014" spans="1:4" x14ac:dyDescent="0.25">
      <c r="A1014" t="str">
        <f>T("   DE")</f>
        <v xml:space="preserve">   DE</v>
      </c>
      <c r="B1014" t="str">
        <f>T("   Allemagne")</f>
        <v xml:space="preserve">   Allemagne</v>
      </c>
      <c r="C1014">
        <v>39226585</v>
      </c>
      <c r="D1014">
        <v>1264</v>
      </c>
    </row>
    <row r="1015" spans="1:4" x14ac:dyDescent="0.25">
      <c r="A1015" t="str">
        <f>T("   FR")</f>
        <v xml:space="preserve">   FR</v>
      </c>
      <c r="B1015" t="str">
        <f>T("   France")</f>
        <v xml:space="preserve">   France</v>
      </c>
      <c r="C1015">
        <v>99028968</v>
      </c>
      <c r="D1015">
        <v>5076</v>
      </c>
    </row>
    <row r="1016" spans="1:4" x14ac:dyDescent="0.25">
      <c r="A1016" t="str">
        <f>T("   IE")</f>
        <v xml:space="preserve">   IE</v>
      </c>
      <c r="B1016" t="str">
        <f>T("   Irlande")</f>
        <v xml:space="preserve">   Irlande</v>
      </c>
      <c r="C1016">
        <v>55984540</v>
      </c>
      <c r="D1016">
        <v>2414</v>
      </c>
    </row>
    <row r="1017" spans="1:4" x14ac:dyDescent="0.25">
      <c r="A1017" t="str">
        <f>T("130220")</f>
        <v>130220</v>
      </c>
      <c r="B1017" t="str">
        <f>T("Matières pectiques, pectinates et pectates")</f>
        <v>Matières pectiques, pectinates et pectates</v>
      </c>
    </row>
    <row r="1018" spans="1:4" x14ac:dyDescent="0.25">
      <c r="A1018" t="str">
        <f>T("   ZZZ_Monde")</f>
        <v xml:space="preserve">   ZZZ_Monde</v>
      </c>
      <c r="B1018" t="str">
        <f>T("   ZZZ_Monde")</f>
        <v xml:space="preserve">   ZZZ_Monde</v>
      </c>
      <c r="C1018">
        <v>1424090</v>
      </c>
      <c r="D1018">
        <v>780.33</v>
      </c>
    </row>
    <row r="1019" spans="1:4" x14ac:dyDescent="0.25">
      <c r="A1019" t="str">
        <f>T("   DE")</f>
        <v xml:space="preserve">   DE</v>
      </c>
      <c r="B1019" t="str">
        <f>T("   Allemagne")</f>
        <v xml:space="preserve">   Allemagne</v>
      </c>
      <c r="C1019">
        <v>1424090</v>
      </c>
      <c r="D1019">
        <v>780.33</v>
      </c>
    </row>
    <row r="1020" spans="1:4" x14ac:dyDescent="0.25">
      <c r="A1020" t="str">
        <f>T("130231")</f>
        <v>130231</v>
      </c>
      <c r="B1020" t="str">
        <f>T("Agar-agar, même modifié")</f>
        <v>Agar-agar, même modifié</v>
      </c>
    </row>
    <row r="1021" spans="1:4" x14ac:dyDescent="0.25">
      <c r="A1021" t="str">
        <f>T("   ZZZ_Monde")</f>
        <v xml:space="preserve">   ZZZ_Monde</v>
      </c>
      <c r="B1021" t="str">
        <f>T("   ZZZ_Monde")</f>
        <v xml:space="preserve">   ZZZ_Monde</v>
      </c>
      <c r="C1021">
        <v>1327288</v>
      </c>
      <c r="D1021">
        <v>4</v>
      </c>
    </row>
    <row r="1022" spans="1:4" x14ac:dyDescent="0.25">
      <c r="A1022" t="str">
        <f>T("   DE")</f>
        <v xml:space="preserve">   DE</v>
      </c>
      <c r="B1022" t="str">
        <f>T("   Allemagne")</f>
        <v xml:space="preserve">   Allemagne</v>
      </c>
      <c r="C1022">
        <v>1327288</v>
      </c>
      <c r="D1022">
        <v>4</v>
      </c>
    </row>
    <row r="1023" spans="1:4" x14ac:dyDescent="0.25">
      <c r="A1023" t="str">
        <f>T("130239")</f>
        <v>130239</v>
      </c>
      <c r="B1023" t="str">
        <f>T("Mucilages et épaississants dérivés des végétaux, même modifiés (à l'excl, de l'agar-agar et des mucilages et épaississants de caroubes, de graines de caroubes ou de graines de guarée)")</f>
        <v>Mucilages et épaississants dérivés des végétaux, même modifiés (à l'excl, de l'agar-agar et des mucilages et épaississants de caroubes, de graines de caroubes ou de graines de guarée)</v>
      </c>
    </row>
    <row r="1024" spans="1:4" x14ac:dyDescent="0.25">
      <c r="A1024" t="str">
        <f>T("   ZZZ_Monde")</f>
        <v xml:space="preserve">   ZZZ_Monde</v>
      </c>
      <c r="B1024" t="str">
        <f>T("   ZZZ_Monde")</f>
        <v xml:space="preserve">   ZZZ_Monde</v>
      </c>
      <c r="C1024">
        <v>964140</v>
      </c>
      <c r="D1024">
        <v>53</v>
      </c>
    </row>
    <row r="1025" spans="1:4" x14ac:dyDescent="0.25">
      <c r="A1025" t="str">
        <f>T("   DE")</f>
        <v xml:space="preserve">   DE</v>
      </c>
      <c r="B1025" t="str">
        <f>T("   Allemagne")</f>
        <v xml:space="preserve">   Allemagne</v>
      </c>
      <c r="C1025">
        <v>964140</v>
      </c>
      <c r="D1025">
        <v>53</v>
      </c>
    </row>
    <row r="1026" spans="1:4" x14ac:dyDescent="0.25">
      <c r="A1026" t="str">
        <f>T("140490")</f>
        <v>140490</v>
      </c>
      <c r="B1026" t="str">
        <f>T("Produits végétaux, n,d,a,")</f>
        <v>Produits végétaux, n,d,a,</v>
      </c>
    </row>
    <row r="1027" spans="1:4" x14ac:dyDescent="0.25">
      <c r="A1027" t="str">
        <f>T("   ZZZ_Monde")</f>
        <v xml:space="preserve">   ZZZ_Monde</v>
      </c>
      <c r="B1027" t="str">
        <f>T("   ZZZ_Monde")</f>
        <v xml:space="preserve">   ZZZ_Monde</v>
      </c>
      <c r="C1027">
        <v>4027241</v>
      </c>
      <c r="D1027">
        <v>3599</v>
      </c>
    </row>
    <row r="1028" spans="1:4" x14ac:dyDescent="0.25">
      <c r="A1028" t="str">
        <f>T("   FR")</f>
        <v xml:space="preserve">   FR</v>
      </c>
      <c r="B1028" t="str">
        <f>T("   France")</f>
        <v xml:space="preserve">   France</v>
      </c>
      <c r="C1028">
        <v>4027241</v>
      </c>
      <c r="D1028">
        <v>3599</v>
      </c>
    </row>
    <row r="1029" spans="1:4" x14ac:dyDescent="0.25">
      <c r="A1029" t="str">
        <f>T("150410")</f>
        <v>150410</v>
      </c>
      <c r="B1029" t="str">
        <f>T("Huiles de foies de poissons et leurs fractions, même raffinées, mais non chimiquement modifiées")</f>
        <v>Huiles de foies de poissons et leurs fractions, même raffinées, mais non chimiquement modifiées</v>
      </c>
    </row>
    <row r="1030" spans="1:4" x14ac:dyDescent="0.25">
      <c r="A1030" t="str">
        <f>T("   ZZZ_Monde")</f>
        <v xml:space="preserve">   ZZZ_Monde</v>
      </c>
      <c r="B1030" t="str">
        <f>T("   ZZZ_Monde")</f>
        <v xml:space="preserve">   ZZZ_Monde</v>
      </c>
      <c r="C1030">
        <v>1063888</v>
      </c>
      <c r="D1030">
        <v>129</v>
      </c>
    </row>
    <row r="1031" spans="1:4" x14ac:dyDescent="0.25">
      <c r="A1031" t="str">
        <f>T("   FR")</f>
        <v xml:space="preserve">   FR</v>
      </c>
      <c r="B1031" t="str">
        <f>T("   France")</f>
        <v xml:space="preserve">   France</v>
      </c>
      <c r="C1031">
        <v>1063888</v>
      </c>
      <c r="D1031">
        <v>129</v>
      </c>
    </row>
    <row r="1032" spans="1:4" x14ac:dyDescent="0.25">
      <c r="A1032" t="str">
        <f>T("150710")</f>
        <v>150710</v>
      </c>
      <c r="B1032" t="str">
        <f>T("Huile de soja, brute, même dégommée")</f>
        <v>Huile de soja, brute, même dégommée</v>
      </c>
    </row>
    <row r="1033" spans="1:4" x14ac:dyDescent="0.25">
      <c r="A1033" t="str">
        <f>T("   ZZZ_Monde")</f>
        <v xml:space="preserve">   ZZZ_Monde</v>
      </c>
      <c r="B1033" t="str">
        <f>T("   ZZZ_Monde")</f>
        <v xml:space="preserve">   ZZZ_Monde</v>
      </c>
      <c r="C1033">
        <v>43750</v>
      </c>
      <c r="D1033">
        <v>175</v>
      </c>
    </row>
    <row r="1034" spans="1:4" x14ac:dyDescent="0.25">
      <c r="A1034" t="str">
        <f>T("   TG")</f>
        <v xml:space="preserve">   TG</v>
      </c>
      <c r="B1034" t="str">
        <f>T("   Togo")</f>
        <v xml:space="preserve">   Togo</v>
      </c>
      <c r="C1034">
        <v>43750</v>
      </c>
      <c r="D1034">
        <v>175</v>
      </c>
    </row>
    <row r="1035" spans="1:4" x14ac:dyDescent="0.25">
      <c r="A1035" t="str">
        <f>T("150790")</f>
        <v>150790</v>
      </c>
      <c r="B1035" t="str">
        <f>T("Huile de soja et ses fractions, même raffinées, mais non chimiquement modifiées (à l'excl, de l'huile de soja brute)")</f>
        <v>Huile de soja et ses fractions, même raffinées, mais non chimiquement modifiées (à l'excl, de l'huile de soja brute)</v>
      </c>
    </row>
    <row r="1036" spans="1:4" x14ac:dyDescent="0.25">
      <c r="A1036" t="str">
        <f>T("   ZZZ_Monde")</f>
        <v xml:space="preserve">   ZZZ_Monde</v>
      </c>
      <c r="B1036" t="str">
        <f>T("   ZZZ_Monde")</f>
        <v xml:space="preserve">   ZZZ_Monde</v>
      </c>
      <c r="C1036">
        <v>56043500</v>
      </c>
      <c r="D1036">
        <v>224174</v>
      </c>
    </row>
    <row r="1037" spans="1:4" x14ac:dyDescent="0.25">
      <c r="A1037" t="str">
        <f>T("   FR")</f>
        <v xml:space="preserve">   FR</v>
      </c>
      <c r="B1037" t="str">
        <f>T("   France")</f>
        <v xml:space="preserve">   France</v>
      </c>
      <c r="C1037">
        <v>220750</v>
      </c>
      <c r="D1037">
        <v>883</v>
      </c>
    </row>
    <row r="1038" spans="1:4" x14ac:dyDescent="0.25">
      <c r="A1038" t="str">
        <f>T("   SG")</f>
        <v xml:space="preserve">   SG</v>
      </c>
      <c r="B1038" t="str">
        <f>T("   Singapour")</f>
        <v xml:space="preserve">   Singapour</v>
      </c>
      <c r="C1038">
        <v>55822750</v>
      </c>
      <c r="D1038">
        <v>223291</v>
      </c>
    </row>
    <row r="1039" spans="1:4" x14ac:dyDescent="0.25">
      <c r="A1039" t="str">
        <f>T("150810")</f>
        <v>150810</v>
      </c>
      <c r="B1039" t="str">
        <f>T("Huile d'arachide, brute")</f>
        <v>Huile d'arachide, brute</v>
      </c>
    </row>
    <row r="1040" spans="1:4" x14ac:dyDescent="0.25">
      <c r="A1040" t="str">
        <f>T("   ZZZ_Monde")</f>
        <v xml:space="preserve">   ZZZ_Monde</v>
      </c>
      <c r="B1040" t="str">
        <f>T("   ZZZ_Monde")</f>
        <v xml:space="preserve">   ZZZ_Monde</v>
      </c>
      <c r="C1040">
        <v>327115000</v>
      </c>
      <c r="D1040">
        <v>1308460</v>
      </c>
    </row>
    <row r="1041" spans="1:4" x14ac:dyDescent="0.25">
      <c r="A1041" t="str">
        <f>T("   MY")</f>
        <v xml:space="preserve">   MY</v>
      </c>
      <c r="B1041" t="str">
        <f>T("   Malaisie")</f>
        <v xml:space="preserve">   Malaisie</v>
      </c>
      <c r="C1041">
        <v>206115000</v>
      </c>
      <c r="D1041">
        <v>824460</v>
      </c>
    </row>
    <row r="1042" spans="1:4" x14ac:dyDescent="0.25">
      <c r="A1042" t="str">
        <f>T("   SG")</f>
        <v xml:space="preserve">   SG</v>
      </c>
      <c r="B1042" t="str">
        <f>T("   Singapour")</f>
        <v xml:space="preserve">   Singapour</v>
      </c>
      <c r="C1042">
        <v>121000000</v>
      </c>
      <c r="D1042">
        <v>484000</v>
      </c>
    </row>
    <row r="1043" spans="1:4" x14ac:dyDescent="0.25">
      <c r="A1043" t="str">
        <f>T("150890")</f>
        <v>150890</v>
      </c>
      <c r="B1043" t="str">
        <f>T("Huile d'arachide et ses fractions, même raffinées, mais non chimiquement modifiées (à l'excl, de l'huile d'arachide brute)")</f>
        <v>Huile d'arachide et ses fractions, même raffinées, mais non chimiquement modifiées (à l'excl, de l'huile d'arachide brute)</v>
      </c>
    </row>
    <row r="1044" spans="1:4" x14ac:dyDescent="0.25">
      <c r="A1044" t="str">
        <f>T("   ZZZ_Monde")</f>
        <v xml:space="preserve">   ZZZ_Monde</v>
      </c>
      <c r="B1044" t="str">
        <f>T("   ZZZ_Monde")</f>
        <v xml:space="preserve">   ZZZ_Monde</v>
      </c>
      <c r="C1044">
        <v>2457730848.4990001</v>
      </c>
      <c r="D1044">
        <v>6236381.2699999996</v>
      </c>
    </row>
    <row r="1045" spans="1:4" x14ac:dyDescent="0.25">
      <c r="A1045" t="str">
        <f>T("   CN")</f>
        <v xml:space="preserve">   CN</v>
      </c>
      <c r="B1045" t="str">
        <f>T("   Chine")</f>
        <v xml:space="preserve">   Chine</v>
      </c>
      <c r="C1045">
        <v>18696753.105999999</v>
      </c>
      <c r="D1045">
        <v>47880</v>
      </c>
    </row>
    <row r="1046" spans="1:4" x14ac:dyDescent="0.25">
      <c r="A1046" t="str">
        <f>T("   FR")</f>
        <v xml:space="preserve">   FR</v>
      </c>
      <c r="B1046" t="str">
        <f>T("   France")</f>
        <v xml:space="preserve">   France</v>
      </c>
      <c r="C1046">
        <v>144605.894</v>
      </c>
      <c r="D1046">
        <v>366.27</v>
      </c>
    </row>
    <row r="1047" spans="1:4" x14ac:dyDescent="0.25">
      <c r="A1047" t="str">
        <f>T("   ID")</f>
        <v xml:space="preserve">   ID</v>
      </c>
      <c r="B1047" t="str">
        <f>T("   Indonésie")</f>
        <v xml:space="preserve">   Indonésie</v>
      </c>
      <c r="C1047">
        <v>35055737.226999998</v>
      </c>
      <c r="D1047">
        <v>88000</v>
      </c>
    </row>
    <row r="1048" spans="1:4" x14ac:dyDescent="0.25">
      <c r="A1048" t="str">
        <f>T("   MY")</f>
        <v xml:space="preserve">   MY</v>
      </c>
      <c r="B1048" t="str">
        <f>T("   Malaisie")</f>
        <v xml:space="preserve">   Malaisie</v>
      </c>
      <c r="C1048">
        <v>1952687367.4760001</v>
      </c>
      <c r="D1048">
        <v>4948447</v>
      </c>
    </row>
    <row r="1049" spans="1:4" x14ac:dyDescent="0.25">
      <c r="A1049" t="str">
        <f>T("   NG")</f>
        <v xml:space="preserve">   NG</v>
      </c>
      <c r="B1049" t="str">
        <f>T("   Nigéria")</f>
        <v xml:space="preserve">   Nigéria</v>
      </c>
      <c r="C1049">
        <v>69766.630999999994</v>
      </c>
      <c r="D1049">
        <v>181</v>
      </c>
    </row>
    <row r="1050" spans="1:4" x14ac:dyDescent="0.25">
      <c r="A1050" t="str">
        <f>T("   SG")</f>
        <v xml:space="preserve">   SG</v>
      </c>
      <c r="B1050" t="str">
        <f>T("   Singapour")</f>
        <v xml:space="preserve">   Singapour</v>
      </c>
      <c r="C1050">
        <v>450845669.78200001</v>
      </c>
      <c r="D1050">
        <v>1150920</v>
      </c>
    </row>
    <row r="1051" spans="1:4" x14ac:dyDescent="0.25">
      <c r="A1051" t="str">
        <f>T("   TG")</f>
        <v xml:space="preserve">   TG</v>
      </c>
      <c r="B1051" t="str">
        <f>T("   Togo")</f>
        <v xml:space="preserve">   Togo</v>
      </c>
      <c r="C1051">
        <v>230948.38200000001</v>
      </c>
      <c r="D1051">
        <v>587</v>
      </c>
    </row>
    <row r="1052" spans="1:4" x14ac:dyDescent="0.25">
      <c r="A1052" t="str">
        <f>T("150910")</f>
        <v>150910</v>
      </c>
      <c r="B1052" t="str">
        <f>T("Huile d'olive vierge et ses fractions, obtenues, à partir des fruits de l'olivier, uniquement par des procédés mécaniques ou physiques, dans des conditions n'altérant pas l'huile")</f>
        <v>Huile d'olive vierge et ses fractions, obtenues, à partir des fruits de l'olivier, uniquement par des procédés mécaniques ou physiques, dans des conditions n'altérant pas l'huile</v>
      </c>
    </row>
    <row r="1053" spans="1:4" x14ac:dyDescent="0.25">
      <c r="A1053" t="str">
        <f>T("   ZZZ_Monde")</f>
        <v xml:space="preserve">   ZZZ_Monde</v>
      </c>
      <c r="B1053" t="str">
        <f>T("   ZZZ_Monde")</f>
        <v xml:space="preserve">   ZZZ_Monde</v>
      </c>
      <c r="C1053">
        <v>8158936</v>
      </c>
      <c r="D1053">
        <v>7032</v>
      </c>
    </row>
    <row r="1054" spans="1:4" x14ac:dyDescent="0.25">
      <c r="A1054" t="str">
        <f>T("   FR")</f>
        <v xml:space="preserve">   FR</v>
      </c>
      <c r="B1054" t="str">
        <f>T("   France")</f>
        <v xml:space="preserve">   France</v>
      </c>
      <c r="C1054">
        <v>7819974</v>
      </c>
      <c r="D1054">
        <v>6321</v>
      </c>
    </row>
    <row r="1055" spans="1:4" x14ac:dyDescent="0.25">
      <c r="A1055" t="str">
        <f>T("   LB")</f>
        <v xml:space="preserve">   LB</v>
      </c>
      <c r="B1055" t="str">
        <f>T("   Liban")</f>
        <v xml:space="preserve">   Liban</v>
      </c>
      <c r="C1055">
        <v>338962</v>
      </c>
      <c r="D1055">
        <v>711</v>
      </c>
    </row>
    <row r="1056" spans="1:4" x14ac:dyDescent="0.25">
      <c r="A1056" t="str">
        <f>T("150990")</f>
        <v>150990</v>
      </c>
      <c r="B1056" t="str">
        <f>T("Huile d'olive et ses fractions, traitées mais non chimiquement modifiées, obtenues, à partir des fruits de l'olivier, uniquement par des procédés mécaniques ou physiques, dans des conditions n'altérant pas l'huile")</f>
        <v>Huile d'olive et ses fractions, traitées mais non chimiquement modifiées, obtenues, à partir des fruits de l'olivier, uniquement par des procédés mécaniques ou physiques, dans des conditions n'altérant pas l'huile</v>
      </c>
    </row>
    <row r="1057" spans="1:4" x14ac:dyDescent="0.25">
      <c r="A1057" t="str">
        <f>T("   ZZZ_Monde")</f>
        <v xml:space="preserve">   ZZZ_Monde</v>
      </c>
      <c r="B1057" t="str">
        <f>T("   ZZZ_Monde")</f>
        <v xml:space="preserve">   ZZZ_Monde</v>
      </c>
      <c r="C1057">
        <v>33243521</v>
      </c>
      <c r="D1057">
        <v>73034</v>
      </c>
    </row>
    <row r="1058" spans="1:4" x14ac:dyDescent="0.25">
      <c r="A1058" t="str">
        <f>T("   AE")</f>
        <v xml:space="preserve">   AE</v>
      </c>
      <c r="B1058" t="str">
        <f>T("   Emirats Arabes Unis")</f>
        <v xml:space="preserve">   Emirats Arabes Unis</v>
      </c>
      <c r="C1058">
        <v>41703</v>
      </c>
      <c r="D1058">
        <v>108</v>
      </c>
    </row>
    <row r="1059" spans="1:4" x14ac:dyDescent="0.25">
      <c r="A1059" t="str">
        <f>T("   BE")</f>
        <v xml:space="preserve">   BE</v>
      </c>
      <c r="B1059" t="str">
        <f>T("   Belgique")</f>
        <v xml:space="preserve">   Belgique</v>
      </c>
      <c r="C1059">
        <v>86586</v>
      </c>
      <c r="D1059">
        <v>102</v>
      </c>
    </row>
    <row r="1060" spans="1:4" x14ac:dyDescent="0.25">
      <c r="A1060" t="str">
        <f>T("   ES")</f>
        <v xml:space="preserve">   ES</v>
      </c>
      <c r="B1060" t="str">
        <f>T("   Espagne")</f>
        <v xml:space="preserve">   Espagne</v>
      </c>
      <c r="C1060">
        <v>1153178</v>
      </c>
      <c r="D1060">
        <v>1434</v>
      </c>
    </row>
    <row r="1061" spans="1:4" x14ac:dyDescent="0.25">
      <c r="A1061" t="str">
        <f>T("   FR")</f>
        <v xml:space="preserve">   FR</v>
      </c>
      <c r="B1061" t="str">
        <f>T("   France")</f>
        <v xml:space="preserve">   France</v>
      </c>
      <c r="C1061">
        <v>22627342</v>
      </c>
      <c r="D1061">
        <v>44162</v>
      </c>
    </row>
    <row r="1062" spans="1:4" x14ac:dyDescent="0.25">
      <c r="A1062" t="str">
        <f>T("   HK")</f>
        <v xml:space="preserve">   HK</v>
      </c>
      <c r="B1062" t="str">
        <f>T("   Hong-Kong")</f>
        <v xml:space="preserve">   Hong-Kong</v>
      </c>
      <c r="C1062">
        <v>2554597</v>
      </c>
      <c r="D1062">
        <v>4833</v>
      </c>
    </row>
    <row r="1063" spans="1:4" x14ac:dyDescent="0.25">
      <c r="A1063" t="str">
        <f>T("   IT")</f>
        <v xml:space="preserve">   IT</v>
      </c>
      <c r="B1063" t="str">
        <f>T("   Italie")</f>
        <v xml:space="preserve">   Italie</v>
      </c>
      <c r="C1063">
        <v>960000</v>
      </c>
      <c r="D1063">
        <v>170</v>
      </c>
    </row>
    <row r="1064" spans="1:4" x14ac:dyDescent="0.25">
      <c r="A1064" t="str">
        <f>T("   LB")</f>
        <v xml:space="preserve">   LB</v>
      </c>
      <c r="B1064" t="str">
        <f>T("   Liban")</f>
        <v xml:space="preserve">   Liban</v>
      </c>
      <c r="C1064">
        <v>319975</v>
      </c>
      <c r="D1064">
        <v>225</v>
      </c>
    </row>
    <row r="1065" spans="1:4" x14ac:dyDescent="0.25">
      <c r="A1065" t="str">
        <f>T("   MY")</f>
        <v xml:space="preserve">   MY</v>
      </c>
      <c r="B1065" t="str">
        <f>T("   Malaisie")</f>
        <v xml:space="preserve">   Malaisie</v>
      </c>
      <c r="C1065">
        <v>5500140</v>
      </c>
      <c r="D1065">
        <v>22000</v>
      </c>
    </row>
    <row r="1066" spans="1:4" x14ac:dyDescent="0.25">
      <c r="A1066" t="str">
        <f>T("151000")</f>
        <v>151000</v>
      </c>
      <c r="B1066" t="str">
        <f>T("Huiles et leurs fractions, obtenues exclusivement à partir d'olives et par des procédés autres que ceux mentionnés au n° 1509, même raffinées, mais non chimiquement modifiées et mélanges de ces huiles ou fractions avec des huiles ou fractions du n° 1509")</f>
        <v>Huiles et leurs fractions, obtenues exclusivement à partir d'olives et par des procédés autres que ceux mentionnés au n° 1509, même raffinées, mais non chimiquement modifiées et mélanges de ces huiles ou fractions avec des huiles ou fractions du n° 1509</v>
      </c>
    </row>
    <row r="1067" spans="1:4" x14ac:dyDescent="0.25">
      <c r="A1067" t="str">
        <f>T("   ZZZ_Monde")</f>
        <v xml:space="preserve">   ZZZ_Monde</v>
      </c>
      <c r="B1067" t="str">
        <f>T("   ZZZ_Monde")</f>
        <v xml:space="preserve">   ZZZ_Monde</v>
      </c>
      <c r="C1067">
        <v>1343863</v>
      </c>
      <c r="D1067">
        <v>2587</v>
      </c>
    </row>
    <row r="1068" spans="1:4" x14ac:dyDescent="0.25">
      <c r="A1068" t="str">
        <f>T("   AE")</f>
        <v xml:space="preserve">   AE</v>
      </c>
      <c r="B1068" t="str">
        <f>T("   Emirats Arabes Unis")</f>
        <v xml:space="preserve">   Emirats Arabes Unis</v>
      </c>
      <c r="C1068">
        <v>1343863</v>
      </c>
      <c r="D1068">
        <v>2587</v>
      </c>
    </row>
    <row r="1069" spans="1:4" x14ac:dyDescent="0.25">
      <c r="A1069" t="str">
        <f>T("151110")</f>
        <v>151110</v>
      </c>
      <c r="B1069" t="str">
        <f>T("Huile de palme, brute")</f>
        <v>Huile de palme, brute</v>
      </c>
    </row>
    <row r="1070" spans="1:4" x14ac:dyDescent="0.25">
      <c r="A1070" t="str">
        <f>T("   ZZZ_Monde")</f>
        <v xml:space="preserve">   ZZZ_Monde</v>
      </c>
      <c r="B1070" t="str">
        <f>T("   ZZZ_Monde")</f>
        <v xml:space="preserve">   ZZZ_Monde</v>
      </c>
      <c r="C1070">
        <v>2769048815</v>
      </c>
      <c r="D1070">
        <v>11076195.26</v>
      </c>
    </row>
    <row r="1071" spans="1:4" x14ac:dyDescent="0.25">
      <c r="A1071" t="str">
        <f>T("   CI")</f>
        <v xml:space="preserve">   CI</v>
      </c>
      <c r="B1071" t="str">
        <f>T("   Côte d'Ivoire")</f>
        <v xml:space="preserve">   Côte d'Ivoire</v>
      </c>
      <c r="C1071">
        <v>7500000</v>
      </c>
      <c r="D1071">
        <v>30000</v>
      </c>
    </row>
    <row r="1072" spans="1:4" x14ac:dyDescent="0.25">
      <c r="A1072" t="str">
        <f>T("   GH")</f>
        <v xml:space="preserve">   GH</v>
      </c>
      <c r="B1072" t="str">
        <f>T("   Ghana")</f>
        <v xml:space="preserve">   Ghana</v>
      </c>
      <c r="C1072">
        <v>3750000</v>
      </c>
      <c r="D1072">
        <v>15000</v>
      </c>
    </row>
    <row r="1073" spans="1:4" x14ac:dyDescent="0.25">
      <c r="A1073" t="str">
        <f>T("   ID")</f>
        <v xml:space="preserve">   ID</v>
      </c>
      <c r="B1073" t="str">
        <f>T("   Indonésie")</f>
        <v xml:space="preserve">   Indonésie</v>
      </c>
      <c r="C1073">
        <v>687500000</v>
      </c>
      <c r="D1073">
        <v>2750000</v>
      </c>
    </row>
    <row r="1074" spans="1:4" x14ac:dyDescent="0.25">
      <c r="A1074" t="str">
        <f>T("   MY")</f>
        <v xml:space="preserve">   MY</v>
      </c>
      <c r="B1074" t="str">
        <f>T("   Malaisie")</f>
        <v xml:space="preserve">   Malaisie</v>
      </c>
      <c r="C1074">
        <v>1963979500</v>
      </c>
      <c r="D1074">
        <v>7855918</v>
      </c>
    </row>
    <row r="1075" spans="1:4" x14ac:dyDescent="0.25">
      <c r="A1075" t="str">
        <f>T("   TG")</f>
        <v xml:space="preserve">   TG</v>
      </c>
      <c r="B1075" t="str">
        <f>T("   Togo")</f>
        <v xml:space="preserve">   Togo</v>
      </c>
      <c r="C1075">
        <v>106319315</v>
      </c>
      <c r="D1075">
        <v>425277.26</v>
      </c>
    </row>
    <row r="1076" spans="1:4" x14ac:dyDescent="0.25">
      <c r="A1076" t="str">
        <f>T("151190")</f>
        <v>151190</v>
      </c>
      <c r="B1076" t="str">
        <f>T("Huile de palme et ses fractions, même raffinées, mais non chimiquement modifiées (à l'excl, de l'huile de palme brute)")</f>
        <v>Huile de palme et ses fractions, même raffinées, mais non chimiquement modifiées (à l'excl, de l'huile de palme brute)</v>
      </c>
    </row>
    <row r="1077" spans="1:4" x14ac:dyDescent="0.25">
      <c r="A1077" t="str">
        <f>T("   ZZZ_Monde")</f>
        <v xml:space="preserve">   ZZZ_Monde</v>
      </c>
      <c r="B1077" t="str">
        <f>T("   ZZZ_Monde")</f>
        <v xml:space="preserve">   ZZZ_Monde</v>
      </c>
      <c r="C1077">
        <v>28713242004.155998</v>
      </c>
      <c r="D1077">
        <v>76112019.349999994</v>
      </c>
    </row>
    <row r="1078" spans="1:4" x14ac:dyDescent="0.25">
      <c r="A1078" t="str">
        <f>T("   AE")</f>
        <v xml:space="preserve">   AE</v>
      </c>
      <c r="B1078" t="str">
        <f>T("   Emirats Arabes Unis")</f>
        <v xml:space="preserve">   Emirats Arabes Unis</v>
      </c>
      <c r="C1078">
        <v>272420330.70300001</v>
      </c>
      <c r="D1078">
        <v>709700</v>
      </c>
    </row>
    <row r="1079" spans="1:4" x14ac:dyDescent="0.25">
      <c r="A1079" t="str">
        <f>T("   CH")</f>
        <v xml:space="preserve">   CH</v>
      </c>
      <c r="B1079" t="str">
        <f>T("   Suisse")</f>
        <v xml:space="preserve">   Suisse</v>
      </c>
      <c r="C1079">
        <v>179728579.74599999</v>
      </c>
      <c r="D1079">
        <v>474412</v>
      </c>
    </row>
    <row r="1080" spans="1:4" x14ac:dyDescent="0.25">
      <c r="A1080" t="str">
        <f>T("   CI")</f>
        <v xml:space="preserve">   CI</v>
      </c>
      <c r="B1080" t="str">
        <f>T("   Côte d'Ivoire")</f>
        <v xml:space="preserve">   Côte d'Ivoire</v>
      </c>
      <c r="C1080">
        <v>10065422.816</v>
      </c>
      <c r="D1080">
        <v>22000</v>
      </c>
    </row>
    <row r="1081" spans="1:4" x14ac:dyDescent="0.25">
      <c r="A1081" t="str">
        <f>T("   CN")</f>
        <v xml:space="preserve">   CN</v>
      </c>
      <c r="B1081" t="str">
        <f>T("   Chine")</f>
        <v xml:space="preserve">   Chine</v>
      </c>
      <c r="C1081">
        <v>424614832.5</v>
      </c>
      <c r="D1081">
        <v>1120669</v>
      </c>
    </row>
    <row r="1082" spans="1:4" x14ac:dyDescent="0.25">
      <c r="A1082" t="str">
        <f>T("   DE")</f>
        <v xml:space="preserve">   DE</v>
      </c>
      <c r="B1082" t="str">
        <f>T("   Allemagne")</f>
        <v xml:space="preserve">   Allemagne</v>
      </c>
      <c r="C1082">
        <v>118097363.77599999</v>
      </c>
      <c r="D1082">
        <v>311761.40000000002</v>
      </c>
    </row>
    <row r="1083" spans="1:4" x14ac:dyDescent="0.25">
      <c r="A1083" t="str">
        <f>T("   EG")</f>
        <v xml:space="preserve">   EG</v>
      </c>
      <c r="B1083" t="str">
        <f>T("   Egypte")</f>
        <v xml:space="preserve">   Egypte</v>
      </c>
      <c r="C1083">
        <v>42549025.166000001</v>
      </c>
      <c r="D1083">
        <v>110219</v>
      </c>
    </row>
    <row r="1084" spans="1:4" x14ac:dyDescent="0.25">
      <c r="A1084" t="str">
        <f>T("   ES")</f>
        <v xml:space="preserve">   ES</v>
      </c>
      <c r="B1084" t="str">
        <f>T("   Espagne")</f>
        <v xml:space="preserve">   Espagne</v>
      </c>
      <c r="C1084">
        <v>304604.85800000001</v>
      </c>
      <c r="D1084">
        <v>807</v>
      </c>
    </row>
    <row r="1085" spans="1:4" x14ac:dyDescent="0.25">
      <c r="A1085" t="str">
        <f>T("   FR")</f>
        <v xml:space="preserve">   FR</v>
      </c>
      <c r="B1085" t="str">
        <f>T("   France")</f>
        <v xml:space="preserve">   France</v>
      </c>
      <c r="C1085">
        <v>705757180.99000001</v>
      </c>
      <c r="D1085">
        <v>1866553.41</v>
      </c>
    </row>
    <row r="1086" spans="1:4" x14ac:dyDescent="0.25">
      <c r="A1086" t="str">
        <f>T("   HK")</f>
        <v xml:space="preserve">   HK</v>
      </c>
      <c r="B1086" t="str">
        <f>T("   Hong-Kong")</f>
        <v xml:space="preserve">   Hong-Kong</v>
      </c>
      <c r="C1086">
        <v>1219561245.585</v>
      </c>
      <c r="D1086">
        <v>3207990.5</v>
      </c>
    </row>
    <row r="1087" spans="1:4" x14ac:dyDescent="0.25">
      <c r="A1087" t="str">
        <f>T("   ID")</f>
        <v xml:space="preserve">   ID</v>
      </c>
      <c r="B1087" t="str">
        <f>T("   Indonésie")</f>
        <v xml:space="preserve">   Indonésie</v>
      </c>
      <c r="C1087">
        <v>627220664.65499997</v>
      </c>
      <c r="D1087">
        <v>1630903</v>
      </c>
    </row>
    <row r="1088" spans="1:4" x14ac:dyDescent="0.25">
      <c r="A1088" t="str">
        <f>T("   IT")</f>
        <v xml:space="preserve">   IT</v>
      </c>
      <c r="B1088" t="str">
        <f>T("   Italie")</f>
        <v xml:space="preserve">   Italie</v>
      </c>
      <c r="C1088">
        <v>160793.08600000001</v>
      </c>
      <c r="D1088">
        <v>426</v>
      </c>
    </row>
    <row r="1089" spans="1:4" x14ac:dyDescent="0.25">
      <c r="A1089" t="str">
        <f>T("   MY")</f>
        <v xml:space="preserve">   MY</v>
      </c>
      <c r="B1089" t="str">
        <f>T("   Malaisie")</f>
        <v xml:space="preserve">   Malaisie</v>
      </c>
      <c r="C1089">
        <v>18679641035.490002</v>
      </c>
      <c r="D1089">
        <v>50011536</v>
      </c>
    </row>
    <row r="1090" spans="1:4" x14ac:dyDescent="0.25">
      <c r="A1090" t="str">
        <f>T("   NG")</f>
        <v xml:space="preserve">   NG</v>
      </c>
      <c r="B1090" t="str">
        <f>T("   Nigéria")</f>
        <v xml:space="preserve">   Nigéria</v>
      </c>
      <c r="C1090">
        <v>7500</v>
      </c>
      <c r="D1090">
        <v>25</v>
      </c>
    </row>
    <row r="1091" spans="1:4" x14ac:dyDescent="0.25">
      <c r="A1091" t="str">
        <f>T("   NL")</f>
        <v xml:space="preserve">   NL</v>
      </c>
      <c r="B1091" t="str">
        <f>T("   Pays-bas")</f>
        <v xml:space="preserve">   Pays-bas</v>
      </c>
      <c r="C1091">
        <v>45734218.961000003</v>
      </c>
      <c r="D1091">
        <v>120150</v>
      </c>
    </row>
    <row r="1092" spans="1:4" x14ac:dyDescent="0.25">
      <c r="A1092" t="str">
        <f>T("   SG")</f>
        <v xml:space="preserve">   SG</v>
      </c>
      <c r="B1092" t="str">
        <f>T("   Singapour")</f>
        <v xml:space="preserve">   Singapour</v>
      </c>
      <c r="C1092">
        <v>5472754463.375</v>
      </c>
      <c r="D1092">
        <v>14485448</v>
      </c>
    </row>
    <row r="1093" spans="1:4" x14ac:dyDescent="0.25">
      <c r="A1093" t="str">
        <f>T("   TG")</f>
        <v xml:space="preserve">   TG</v>
      </c>
      <c r="B1093" t="str">
        <f>T("   Togo")</f>
        <v xml:space="preserve">   Togo</v>
      </c>
      <c r="C1093">
        <v>914624742.44799995</v>
      </c>
      <c r="D1093">
        <v>2039419.04</v>
      </c>
    </row>
    <row r="1094" spans="1:4" x14ac:dyDescent="0.25">
      <c r="A1094" t="str">
        <f>T("151211")</f>
        <v>151211</v>
      </c>
      <c r="B1094" t="str">
        <f>T("Huiles de tournesol ou de carthame, brutes")</f>
        <v>Huiles de tournesol ou de carthame, brutes</v>
      </c>
    </row>
    <row r="1095" spans="1:4" x14ac:dyDescent="0.25">
      <c r="A1095" t="str">
        <f>T("   ZZZ_Monde")</f>
        <v xml:space="preserve">   ZZZ_Monde</v>
      </c>
      <c r="B1095" t="str">
        <f>T("   ZZZ_Monde")</f>
        <v xml:space="preserve">   ZZZ_Monde</v>
      </c>
      <c r="C1095">
        <v>819000</v>
      </c>
      <c r="D1095">
        <v>3276</v>
      </c>
    </row>
    <row r="1096" spans="1:4" x14ac:dyDescent="0.25">
      <c r="A1096" t="str">
        <f>T("   BE")</f>
        <v xml:space="preserve">   BE</v>
      </c>
      <c r="B1096" t="str">
        <f>T("   Belgique")</f>
        <v xml:space="preserve">   Belgique</v>
      </c>
      <c r="C1096">
        <v>738000</v>
      </c>
      <c r="D1096">
        <v>2952</v>
      </c>
    </row>
    <row r="1097" spans="1:4" x14ac:dyDescent="0.25">
      <c r="A1097" t="str">
        <f>T("   CA")</f>
        <v xml:space="preserve">   CA</v>
      </c>
      <c r="B1097" t="str">
        <f>T("   Canada")</f>
        <v xml:space="preserve">   Canada</v>
      </c>
      <c r="C1097">
        <v>81000</v>
      </c>
      <c r="D1097">
        <v>324</v>
      </c>
    </row>
    <row r="1098" spans="1:4" x14ac:dyDescent="0.25">
      <c r="A1098" t="str">
        <f>T("151219")</f>
        <v>151219</v>
      </c>
      <c r="B1098" t="str">
        <f>T("Huiles de tournesol ou de carthame et leurs fractions, même raffinées, mais non chimiquement modifiées (à l'excl, des huiles brutes)")</f>
        <v>Huiles de tournesol ou de carthame et leurs fractions, même raffinées, mais non chimiquement modifiées (à l'excl, des huiles brutes)</v>
      </c>
    </row>
    <row r="1099" spans="1:4" x14ac:dyDescent="0.25">
      <c r="A1099" t="str">
        <f>T("   ZZZ_Monde")</f>
        <v xml:space="preserve">   ZZZ_Monde</v>
      </c>
      <c r="B1099" t="str">
        <f>T("   ZZZ_Monde")</f>
        <v xml:space="preserve">   ZZZ_Monde</v>
      </c>
      <c r="C1099">
        <v>46084500</v>
      </c>
      <c r="D1099">
        <v>184338</v>
      </c>
    </row>
    <row r="1100" spans="1:4" x14ac:dyDescent="0.25">
      <c r="A1100" t="str">
        <f>T("   CH")</f>
        <v xml:space="preserve">   CH</v>
      </c>
      <c r="B1100" t="str">
        <f>T("   Suisse")</f>
        <v xml:space="preserve">   Suisse</v>
      </c>
      <c r="C1100">
        <v>28027000</v>
      </c>
      <c r="D1100">
        <v>112108</v>
      </c>
    </row>
    <row r="1101" spans="1:4" x14ac:dyDescent="0.25">
      <c r="A1101" t="str">
        <f>T("   EG")</f>
        <v xml:space="preserve">   EG</v>
      </c>
      <c r="B1101" t="str">
        <f>T("   Egypte")</f>
        <v xml:space="preserve">   Egypte</v>
      </c>
      <c r="C1101">
        <v>7227500</v>
      </c>
      <c r="D1101">
        <v>28910</v>
      </c>
    </row>
    <row r="1102" spans="1:4" x14ac:dyDescent="0.25">
      <c r="A1102" t="str">
        <f>T("   FR")</f>
        <v xml:space="preserve">   FR</v>
      </c>
      <c r="B1102" t="str">
        <f>T("   France")</f>
        <v xml:space="preserve">   France</v>
      </c>
      <c r="C1102">
        <v>1833500</v>
      </c>
      <c r="D1102">
        <v>7334</v>
      </c>
    </row>
    <row r="1103" spans="1:4" x14ac:dyDescent="0.25">
      <c r="A1103" t="str">
        <f>T("   TR")</f>
        <v xml:space="preserve">   TR</v>
      </c>
      <c r="B1103" t="str">
        <f>T("   Turquie")</f>
        <v xml:space="preserve">   Turquie</v>
      </c>
      <c r="C1103">
        <v>8996500</v>
      </c>
      <c r="D1103">
        <v>35986</v>
      </c>
    </row>
    <row r="1104" spans="1:4" x14ac:dyDescent="0.25">
      <c r="A1104" t="str">
        <f>T("151229")</f>
        <v>151229</v>
      </c>
      <c r="B1104" t="str">
        <f>T("Huile de coton et ses fractions, même dépourvues de gossipol ou raffinées, mais non chimiquement modifiées (à l'excl, de l'huile de coton brute)")</f>
        <v>Huile de coton et ses fractions, même dépourvues de gossipol ou raffinées, mais non chimiquement modifiées (à l'excl, de l'huile de coton brute)</v>
      </c>
    </row>
    <row r="1105" spans="1:4" x14ac:dyDescent="0.25">
      <c r="A1105" t="str">
        <f>T("   ZZZ_Monde")</f>
        <v xml:space="preserve">   ZZZ_Monde</v>
      </c>
      <c r="B1105" t="str">
        <f>T("   ZZZ_Monde")</f>
        <v xml:space="preserve">   ZZZ_Monde</v>
      </c>
      <c r="C1105">
        <v>454989350</v>
      </c>
      <c r="D1105">
        <v>1819957.4</v>
      </c>
    </row>
    <row r="1106" spans="1:4" x14ac:dyDescent="0.25">
      <c r="A1106" t="str">
        <f>T("   TG")</f>
        <v xml:space="preserve">   TG</v>
      </c>
      <c r="B1106" t="str">
        <f>T("   Togo")</f>
        <v xml:space="preserve">   Togo</v>
      </c>
      <c r="C1106">
        <v>454989350</v>
      </c>
      <c r="D1106">
        <v>1819957.4</v>
      </c>
    </row>
    <row r="1107" spans="1:4" x14ac:dyDescent="0.25">
      <c r="A1107" t="str">
        <f>T("151311")</f>
        <v>151311</v>
      </c>
      <c r="B1107" t="str">
        <f>T("Huile de coco [coprah], brute")</f>
        <v>Huile de coco [coprah], brute</v>
      </c>
    </row>
    <row r="1108" spans="1:4" x14ac:dyDescent="0.25">
      <c r="A1108" t="str">
        <f>T("   ZZZ_Monde")</f>
        <v xml:space="preserve">   ZZZ_Monde</v>
      </c>
      <c r="B1108" t="str">
        <f>T("   ZZZ_Monde")</f>
        <v xml:space="preserve">   ZZZ_Monde</v>
      </c>
      <c r="C1108">
        <v>476000</v>
      </c>
      <c r="D1108">
        <v>1904</v>
      </c>
    </row>
    <row r="1109" spans="1:4" x14ac:dyDescent="0.25">
      <c r="A1109" t="str">
        <f>T("   TG")</f>
        <v xml:space="preserve">   TG</v>
      </c>
      <c r="B1109" t="str">
        <f>T("   Togo")</f>
        <v xml:space="preserve">   Togo</v>
      </c>
      <c r="C1109">
        <v>476000</v>
      </c>
      <c r="D1109">
        <v>1904</v>
      </c>
    </row>
    <row r="1110" spans="1:4" x14ac:dyDescent="0.25">
      <c r="A1110" t="str">
        <f>T("151321")</f>
        <v>151321</v>
      </c>
      <c r="B1110" t="str">
        <f>T("Huiles de palmiste ou de babassu, brutes")</f>
        <v>Huiles de palmiste ou de babassu, brutes</v>
      </c>
    </row>
    <row r="1111" spans="1:4" x14ac:dyDescent="0.25">
      <c r="A1111" t="str">
        <f>T("   ZZZ_Monde")</f>
        <v xml:space="preserve">   ZZZ_Monde</v>
      </c>
      <c r="B1111" t="str">
        <f>T("   ZZZ_Monde")</f>
        <v xml:space="preserve">   ZZZ_Monde</v>
      </c>
      <c r="C1111">
        <v>21447750</v>
      </c>
      <c r="D1111">
        <v>85791</v>
      </c>
    </row>
    <row r="1112" spans="1:4" x14ac:dyDescent="0.25">
      <c r="A1112" t="str">
        <f>T("   TG")</f>
        <v xml:space="preserve">   TG</v>
      </c>
      <c r="B1112" t="str">
        <f>T("   Togo")</f>
        <v xml:space="preserve">   Togo</v>
      </c>
      <c r="C1112">
        <v>21447750</v>
      </c>
      <c r="D1112">
        <v>85791</v>
      </c>
    </row>
    <row r="1113" spans="1:4" x14ac:dyDescent="0.25">
      <c r="A1113" t="str">
        <f>T("151329")</f>
        <v>151329</v>
      </c>
      <c r="B1113" t="str">
        <f>T("Huiles de palmiste ou de babassu et leurs fractions, même raffinées, mais non chimiquement modifiées (à l'excl, des huiles brutes)")</f>
        <v>Huiles de palmiste ou de babassu et leurs fractions, même raffinées, mais non chimiquement modifiées (à l'excl, des huiles brutes)</v>
      </c>
    </row>
    <row r="1114" spans="1:4" x14ac:dyDescent="0.25">
      <c r="A1114" t="str">
        <f>T("   ZZZ_Monde")</f>
        <v xml:space="preserve">   ZZZ_Monde</v>
      </c>
      <c r="B1114" t="str">
        <f>T("   ZZZ_Monde")</f>
        <v xml:space="preserve">   ZZZ_Monde</v>
      </c>
      <c r="C1114">
        <v>787500</v>
      </c>
      <c r="D1114">
        <v>3150</v>
      </c>
    </row>
    <row r="1115" spans="1:4" x14ac:dyDescent="0.25">
      <c r="A1115" t="str">
        <f>T("   GH")</f>
        <v xml:space="preserve">   GH</v>
      </c>
      <c r="B1115" t="str">
        <f>T("   Ghana")</f>
        <v xml:space="preserve">   Ghana</v>
      </c>
      <c r="C1115">
        <v>262500</v>
      </c>
      <c r="D1115">
        <v>1050</v>
      </c>
    </row>
    <row r="1116" spans="1:4" x14ac:dyDescent="0.25">
      <c r="A1116" t="str">
        <f>T("   TG")</f>
        <v xml:space="preserve">   TG</v>
      </c>
      <c r="B1116" t="str">
        <f>T("   Togo")</f>
        <v xml:space="preserve">   Togo</v>
      </c>
      <c r="C1116">
        <v>525000</v>
      </c>
      <c r="D1116">
        <v>2100</v>
      </c>
    </row>
    <row r="1117" spans="1:4" x14ac:dyDescent="0.25">
      <c r="A1117" t="str">
        <f>T("151419")</f>
        <v>151419</v>
      </c>
      <c r="B1117" t="s">
        <v>14</v>
      </c>
    </row>
    <row r="1118" spans="1:4" x14ac:dyDescent="0.25">
      <c r="A1118" t="str">
        <f>T("   ZZZ_Monde")</f>
        <v xml:space="preserve">   ZZZ_Monde</v>
      </c>
      <c r="B1118" t="str">
        <f>T("   ZZZ_Monde")</f>
        <v xml:space="preserve">   ZZZ_Monde</v>
      </c>
      <c r="C1118">
        <v>266000</v>
      </c>
      <c r="D1118">
        <v>1064</v>
      </c>
    </row>
    <row r="1119" spans="1:4" x14ac:dyDescent="0.25">
      <c r="A1119" t="str">
        <f>T("   FR")</f>
        <v xml:space="preserve">   FR</v>
      </c>
      <c r="B1119" t="str">
        <f>T("   France")</f>
        <v xml:space="preserve">   France</v>
      </c>
      <c r="C1119">
        <v>266000</v>
      </c>
      <c r="D1119">
        <v>1064</v>
      </c>
    </row>
    <row r="1120" spans="1:4" x14ac:dyDescent="0.25">
      <c r="A1120" t="str">
        <f>T("151490")</f>
        <v>151490</v>
      </c>
      <c r="B1120" t="str">
        <f>T("HUILES DE NAVETTE, DE COLZA OU DE MOUTARDE ET LEURS FRACTIONS, MÊME RAFFINÉES, MAIS NON CHIMIQUEMENT MODIFIEES (À L'EXCL. DES HUILES BRUTES)")</f>
        <v>HUILES DE NAVETTE, DE COLZA OU DE MOUTARDE ET LEURS FRACTIONS, MÊME RAFFINÉES, MAIS NON CHIMIQUEMENT MODIFIEES (À L'EXCL. DES HUILES BRUTES)</v>
      </c>
    </row>
    <row r="1121" spans="1:4" x14ac:dyDescent="0.25">
      <c r="A1121" t="str">
        <f>T("   ZZZ_Monde")</f>
        <v xml:space="preserve">   ZZZ_Monde</v>
      </c>
      <c r="B1121" t="str">
        <f>T("   ZZZ_Monde")</f>
        <v xml:space="preserve">   ZZZ_Monde</v>
      </c>
      <c r="C1121">
        <v>166740</v>
      </c>
      <c r="D1121">
        <v>317</v>
      </c>
    </row>
    <row r="1122" spans="1:4" x14ac:dyDescent="0.25">
      <c r="A1122" t="str">
        <f>T("   NG")</f>
        <v xml:space="preserve">   NG</v>
      </c>
      <c r="B1122" t="str">
        <f>T("   Nigéria")</f>
        <v xml:space="preserve">   Nigéria</v>
      </c>
      <c r="C1122">
        <v>166740</v>
      </c>
      <c r="D1122">
        <v>317</v>
      </c>
    </row>
    <row r="1123" spans="1:4" x14ac:dyDescent="0.25">
      <c r="A1123" t="str">
        <f>T("151511")</f>
        <v>151511</v>
      </c>
      <c r="B1123" t="str">
        <f>T("Huile de lin, brute")</f>
        <v>Huile de lin, brute</v>
      </c>
    </row>
    <row r="1124" spans="1:4" x14ac:dyDescent="0.25">
      <c r="A1124" t="str">
        <f>T("   ZZZ_Monde")</f>
        <v xml:space="preserve">   ZZZ_Monde</v>
      </c>
      <c r="B1124" t="str">
        <f>T("   ZZZ_Monde")</f>
        <v xml:space="preserve">   ZZZ_Monde</v>
      </c>
      <c r="C1124">
        <v>492500</v>
      </c>
      <c r="D1124">
        <v>1970</v>
      </c>
    </row>
    <row r="1125" spans="1:4" x14ac:dyDescent="0.25">
      <c r="A1125" t="str">
        <f>T("   BE")</f>
        <v xml:space="preserve">   BE</v>
      </c>
      <c r="B1125" t="str">
        <f>T("   Belgique")</f>
        <v xml:space="preserve">   Belgique</v>
      </c>
      <c r="C1125">
        <v>492500</v>
      </c>
      <c r="D1125">
        <v>1970</v>
      </c>
    </row>
    <row r="1126" spans="1:4" x14ac:dyDescent="0.25">
      <c r="A1126" t="str">
        <f>T("151519")</f>
        <v>151519</v>
      </c>
      <c r="B1126" t="str">
        <f>T("Huile de lin et ses fractions, même raffinées, mais non chimiquement modifiées (à l'excl. de l'huile brute)")</f>
        <v>Huile de lin et ses fractions, même raffinées, mais non chimiquement modifiées (à l'excl. de l'huile brute)</v>
      </c>
    </row>
    <row r="1127" spans="1:4" x14ac:dyDescent="0.25">
      <c r="A1127" t="str">
        <f>T("   ZZZ_Monde")</f>
        <v xml:space="preserve">   ZZZ_Monde</v>
      </c>
      <c r="B1127" t="str">
        <f>T("   ZZZ_Monde")</f>
        <v xml:space="preserve">   ZZZ_Monde</v>
      </c>
      <c r="C1127">
        <v>187000</v>
      </c>
      <c r="D1127">
        <v>748</v>
      </c>
    </row>
    <row r="1128" spans="1:4" x14ac:dyDescent="0.25">
      <c r="A1128" t="str">
        <f>T("   BE")</f>
        <v xml:space="preserve">   BE</v>
      </c>
      <c r="B1128" t="str">
        <f>T("   Belgique")</f>
        <v xml:space="preserve">   Belgique</v>
      </c>
      <c r="C1128">
        <v>48500</v>
      </c>
      <c r="D1128">
        <v>194</v>
      </c>
    </row>
    <row r="1129" spans="1:4" x14ac:dyDescent="0.25">
      <c r="A1129" t="str">
        <f>T("   FR")</f>
        <v xml:space="preserve">   FR</v>
      </c>
      <c r="B1129" t="str">
        <f>T("   France")</f>
        <v xml:space="preserve">   France</v>
      </c>
      <c r="C1129">
        <v>88000</v>
      </c>
      <c r="D1129">
        <v>352</v>
      </c>
    </row>
    <row r="1130" spans="1:4" x14ac:dyDescent="0.25">
      <c r="A1130" t="str">
        <f>T("   GB")</f>
        <v xml:space="preserve">   GB</v>
      </c>
      <c r="B1130" t="str">
        <f>T("   Royaume-Uni")</f>
        <v xml:space="preserve">   Royaume-Uni</v>
      </c>
      <c r="C1130">
        <v>50500</v>
      </c>
      <c r="D1130">
        <v>202</v>
      </c>
    </row>
    <row r="1131" spans="1:4" x14ac:dyDescent="0.25">
      <c r="A1131" t="str">
        <f>T("151529")</f>
        <v>151529</v>
      </c>
      <c r="B1131" t="str">
        <f>T("Huile de maïs et ses fractions, même raffinées, mais non chimiquement modifiées (à l'excl. de l'huile brute)")</f>
        <v>Huile de maïs et ses fractions, même raffinées, mais non chimiquement modifiées (à l'excl. de l'huile brute)</v>
      </c>
    </row>
    <row r="1132" spans="1:4" x14ac:dyDescent="0.25">
      <c r="A1132" t="str">
        <f>T("   ZZZ_Monde")</f>
        <v xml:space="preserve">   ZZZ_Monde</v>
      </c>
      <c r="B1132" t="str">
        <f>T("   ZZZ_Monde")</f>
        <v xml:space="preserve">   ZZZ_Monde</v>
      </c>
      <c r="C1132">
        <v>75250</v>
      </c>
      <c r="D1132">
        <v>301</v>
      </c>
    </row>
    <row r="1133" spans="1:4" x14ac:dyDescent="0.25">
      <c r="A1133" t="str">
        <f>T("   AE")</f>
        <v xml:space="preserve">   AE</v>
      </c>
      <c r="B1133" t="str">
        <f>T("   Emirats Arabes Unis")</f>
        <v xml:space="preserve">   Emirats Arabes Unis</v>
      </c>
      <c r="C1133">
        <v>20000</v>
      </c>
      <c r="D1133">
        <v>80</v>
      </c>
    </row>
    <row r="1134" spans="1:4" x14ac:dyDescent="0.25">
      <c r="A1134" t="str">
        <f>T("   FR")</f>
        <v xml:space="preserve">   FR</v>
      </c>
      <c r="B1134" t="str">
        <f>T("   France")</f>
        <v xml:space="preserve">   France</v>
      </c>
      <c r="C1134">
        <v>55250</v>
      </c>
      <c r="D1134">
        <v>221</v>
      </c>
    </row>
    <row r="1135" spans="1:4" x14ac:dyDescent="0.25">
      <c r="A1135" t="str">
        <f>T("151530")</f>
        <v>151530</v>
      </c>
      <c r="B1135" t="str">
        <f>T("Huile de ricin et ses fractions, même raffinées, mais non chimiquement modifiées")</f>
        <v>Huile de ricin et ses fractions, même raffinées, mais non chimiquement modifiées</v>
      </c>
    </row>
    <row r="1136" spans="1:4" x14ac:dyDescent="0.25">
      <c r="A1136" t="str">
        <f>T("   ZZZ_Monde")</f>
        <v xml:space="preserve">   ZZZ_Monde</v>
      </c>
      <c r="B1136" t="str">
        <f>T("   ZZZ_Monde")</f>
        <v xml:space="preserve">   ZZZ_Monde</v>
      </c>
      <c r="C1136">
        <v>33250</v>
      </c>
      <c r="D1136">
        <v>133</v>
      </c>
    </row>
    <row r="1137" spans="1:4" x14ac:dyDescent="0.25">
      <c r="A1137" t="str">
        <f>T("   FR")</f>
        <v xml:space="preserve">   FR</v>
      </c>
      <c r="B1137" t="str">
        <f>T("   France")</f>
        <v xml:space="preserve">   France</v>
      </c>
      <c r="C1137">
        <v>33250</v>
      </c>
      <c r="D1137">
        <v>133</v>
      </c>
    </row>
    <row r="1138" spans="1:4" x14ac:dyDescent="0.25">
      <c r="A1138" t="str">
        <f>T("151550")</f>
        <v>151550</v>
      </c>
      <c r="B1138" t="str">
        <f>T("Huile de sésame et ses fractions, même raffinées, mais non chimiquement modifiées")</f>
        <v>Huile de sésame et ses fractions, même raffinées, mais non chimiquement modifiées</v>
      </c>
    </row>
    <row r="1139" spans="1:4" x14ac:dyDescent="0.25">
      <c r="A1139" t="str">
        <f>T("   ZZZ_Monde")</f>
        <v xml:space="preserve">   ZZZ_Monde</v>
      </c>
      <c r="B1139" t="str">
        <f>T("   ZZZ_Monde")</f>
        <v xml:space="preserve">   ZZZ_Monde</v>
      </c>
      <c r="C1139">
        <v>299500</v>
      </c>
      <c r="D1139">
        <v>1198</v>
      </c>
    </row>
    <row r="1140" spans="1:4" x14ac:dyDescent="0.25">
      <c r="A1140" t="str">
        <f>T("   TH")</f>
        <v xml:space="preserve">   TH</v>
      </c>
      <c r="B1140" t="str">
        <f>T("   Thaïlande")</f>
        <v xml:space="preserve">   Thaïlande</v>
      </c>
      <c r="C1140">
        <v>299500</v>
      </c>
      <c r="D1140">
        <v>1198</v>
      </c>
    </row>
    <row r="1141" spans="1:4" x14ac:dyDescent="0.25">
      <c r="A1141" t="str">
        <f>T("151590")</f>
        <v>151590</v>
      </c>
      <c r="B1141" t="str">
        <f>T("Graisses et huiles végétales et leurs fractions, fixes, même raffinées, mais non chimiquement modifiées (à l'excl. des huiles de soja, d'arachide, d'olive, de palme, de tournesol, de carthame, de coton, de coco [coprah], de palmiste, de babassu, de navett")</f>
        <v>Graisses et huiles végétales et leurs fractions, fixes, même raffinées, mais non chimiquement modifiées (à l'excl. des huiles de soja, d'arachide, d'olive, de palme, de tournesol, de carthame, de coton, de coco [coprah], de palmiste, de babassu, de navett</v>
      </c>
    </row>
    <row r="1142" spans="1:4" x14ac:dyDescent="0.25">
      <c r="A1142" t="str">
        <f>T("   ZZZ_Monde")</f>
        <v xml:space="preserve">   ZZZ_Monde</v>
      </c>
      <c r="B1142" t="str">
        <f>T("   ZZZ_Monde")</f>
        <v xml:space="preserve">   ZZZ_Monde</v>
      </c>
      <c r="C1142">
        <v>12024750</v>
      </c>
      <c r="D1142">
        <v>48099</v>
      </c>
    </row>
    <row r="1143" spans="1:4" x14ac:dyDescent="0.25">
      <c r="A1143" t="str">
        <f>T("   FR")</f>
        <v xml:space="preserve">   FR</v>
      </c>
      <c r="B1143" t="str">
        <f>T("   France")</f>
        <v xml:space="preserve">   France</v>
      </c>
      <c r="C1143">
        <v>783250</v>
      </c>
      <c r="D1143">
        <v>3133</v>
      </c>
    </row>
    <row r="1144" spans="1:4" x14ac:dyDescent="0.25">
      <c r="A1144" t="str">
        <f>T("   SG")</f>
        <v xml:space="preserve">   SG</v>
      </c>
      <c r="B1144" t="str">
        <f>T("   Singapour")</f>
        <v xml:space="preserve">   Singapour</v>
      </c>
      <c r="C1144">
        <v>11101500</v>
      </c>
      <c r="D1144">
        <v>44406</v>
      </c>
    </row>
    <row r="1145" spans="1:4" x14ac:dyDescent="0.25">
      <c r="A1145" t="str">
        <f>T("   TG")</f>
        <v xml:space="preserve">   TG</v>
      </c>
      <c r="B1145" t="str">
        <f>T("   Togo")</f>
        <v xml:space="preserve">   Togo</v>
      </c>
      <c r="C1145">
        <v>140000</v>
      </c>
      <c r="D1145">
        <v>560</v>
      </c>
    </row>
    <row r="1146" spans="1:4" x14ac:dyDescent="0.25">
      <c r="A1146" t="str">
        <f>T("151610")</f>
        <v>151610</v>
      </c>
      <c r="B1146" t="str">
        <f>T("Graisses et huiles animales et leurs fractions, partiellement ou totalement hydrogénées, interestérifiées, réestérifiées ou élaïdinisées, même raffinées, mais non autrement préparées")</f>
        <v>Graisses et huiles animales et leurs fractions, partiellement ou totalement hydrogénées, interestérifiées, réestérifiées ou élaïdinisées, même raffinées, mais non autrement préparées</v>
      </c>
    </row>
    <row r="1147" spans="1:4" x14ac:dyDescent="0.25">
      <c r="A1147" t="str">
        <f>T("   ZZZ_Monde")</f>
        <v xml:space="preserve">   ZZZ_Monde</v>
      </c>
      <c r="B1147" t="str">
        <f>T("   ZZZ_Monde")</f>
        <v xml:space="preserve">   ZZZ_Monde</v>
      </c>
      <c r="C1147">
        <v>314039</v>
      </c>
      <c r="D1147">
        <v>2108</v>
      </c>
    </row>
    <row r="1148" spans="1:4" x14ac:dyDescent="0.25">
      <c r="A1148" t="str">
        <f>T("   LB")</f>
        <v xml:space="preserve">   LB</v>
      </c>
      <c r="B1148" t="str">
        <f>T("   Liban")</f>
        <v xml:space="preserve">   Liban</v>
      </c>
      <c r="C1148">
        <v>314039</v>
      </c>
      <c r="D1148">
        <v>2108</v>
      </c>
    </row>
    <row r="1149" spans="1:4" x14ac:dyDescent="0.25">
      <c r="A1149" t="str">
        <f>T("151620")</f>
        <v>151620</v>
      </c>
      <c r="B1149" t="str">
        <f>T("Graisses et huiles végétales et leurs fractions, partiellement ou totalement hydrogénées, interestérifiées, réestérifiées ou élaïdinisées, même raffinées, mais non autrement préparées")</f>
        <v>Graisses et huiles végétales et leurs fractions, partiellement ou totalement hydrogénées, interestérifiées, réestérifiées ou élaïdinisées, même raffinées, mais non autrement préparées</v>
      </c>
    </row>
    <row r="1150" spans="1:4" x14ac:dyDescent="0.25">
      <c r="A1150" t="str">
        <f>T("   ZZZ_Monde")</f>
        <v xml:space="preserve">   ZZZ_Monde</v>
      </c>
      <c r="B1150" t="str">
        <f>T("   ZZZ_Monde")</f>
        <v xml:space="preserve">   ZZZ_Monde</v>
      </c>
      <c r="C1150">
        <v>6817082484</v>
      </c>
      <c r="D1150">
        <v>27091868</v>
      </c>
    </row>
    <row r="1151" spans="1:4" x14ac:dyDescent="0.25">
      <c r="A1151" t="str">
        <f>T("   BE")</f>
        <v xml:space="preserve">   BE</v>
      </c>
      <c r="B1151" t="str">
        <f>T("   Belgique")</f>
        <v xml:space="preserve">   Belgique</v>
      </c>
      <c r="C1151">
        <v>44000000</v>
      </c>
      <c r="D1151">
        <v>163160</v>
      </c>
    </row>
    <row r="1152" spans="1:4" x14ac:dyDescent="0.25">
      <c r="A1152" t="str">
        <f>T("   BG")</f>
        <v xml:space="preserve">   BG</v>
      </c>
      <c r="B1152" t="str">
        <f>T("   Bulgarie")</f>
        <v xml:space="preserve">   Bulgarie</v>
      </c>
      <c r="C1152">
        <v>12883490</v>
      </c>
      <c r="D1152">
        <v>51534</v>
      </c>
    </row>
    <row r="1153" spans="1:4" x14ac:dyDescent="0.25">
      <c r="A1153" t="str">
        <f>T("   CN")</f>
        <v xml:space="preserve">   CN</v>
      </c>
      <c r="B1153" t="str">
        <f>T("   Chine")</f>
        <v xml:space="preserve">   Chine</v>
      </c>
      <c r="C1153">
        <v>22000280</v>
      </c>
      <c r="D1153">
        <v>88000</v>
      </c>
    </row>
    <row r="1154" spans="1:4" x14ac:dyDescent="0.25">
      <c r="A1154" t="str">
        <f>T("   EG")</f>
        <v xml:space="preserve">   EG</v>
      </c>
      <c r="B1154" t="str">
        <f>T("   Egypte")</f>
        <v xml:space="preserve">   Egypte</v>
      </c>
      <c r="C1154">
        <v>25581506</v>
      </c>
      <c r="D1154">
        <v>71573</v>
      </c>
    </row>
    <row r="1155" spans="1:4" x14ac:dyDescent="0.25">
      <c r="A1155" t="str">
        <f>T("   FR")</f>
        <v xml:space="preserve">   FR</v>
      </c>
      <c r="B1155" t="str">
        <f>T("   France")</f>
        <v xml:space="preserve">   France</v>
      </c>
      <c r="C1155">
        <v>88003107</v>
      </c>
      <c r="D1155">
        <v>306594</v>
      </c>
    </row>
    <row r="1156" spans="1:4" x14ac:dyDescent="0.25">
      <c r="A1156" t="str">
        <f>T("   HK")</f>
        <v xml:space="preserve">   HK</v>
      </c>
      <c r="B1156" t="str">
        <f>T("   Hong-Kong")</f>
        <v xml:space="preserve">   Hong-Kong</v>
      </c>
      <c r="C1156">
        <v>44655000</v>
      </c>
      <c r="D1156">
        <v>159532</v>
      </c>
    </row>
    <row r="1157" spans="1:4" x14ac:dyDescent="0.25">
      <c r="A1157" t="str">
        <f>T("   ID")</f>
        <v xml:space="preserve">   ID</v>
      </c>
      <c r="B1157" t="str">
        <f>T("   Indonésie")</f>
        <v xml:space="preserve">   Indonésie</v>
      </c>
      <c r="C1157">
        <v>60501603</v>
      </c>
      <c r="D1157">
        <v>254456</v>
      </c>
    </row>
    <row r="1158" spans="1:4" x14ac:dyDescent="0.25">
      <c r="A1158" t="str">
        <f>T("   LB")</f>
        <v xml:space="preserve">   LB</v>
      </c>
      <c r="B1158" t="str">
        <f>T("   Liban")</f>
        <v xml:space="preserve">   Liban</v>
      </c>
      <c r="C1158">
        <v>263643</v>
      </c>
      <c r="D1158">
        <v>975</v>
      </c>
    </row>
    <row r="1159" spans="1:4" x14ac:dyDescent="0.25">
      <c r="A1159" t="str">
        <f>T("   MY")</f>
        <v xml:space="preserve">   MY</v>
      </c>
      <c r="B1159" t="str">
        <f>T("   Malaisie")</f>
        <v xml:space="preserve">   Malaisie</v>
      </c>
      <c r="C1159">
        <v>5500692431</v>
      </c>
      <c r="D1159">
        <v>21920466</v>
      </c>
    </row>
    <row r="1160" spans="1:4" x14ac:dyDescent="0.25">
      <c r="A1160" t="str">
        <f>T("   SG")</f>
        <v xml:space="preserve">   SG</v>
      </c>
      <c r="B1160" t="str">
        <f>T("   Singapour")</f>
        <v xml:space="preserve">   Singapour</v>
      </c>
      <c r="C1160">
        <v>999058576</v>
      </c>
      <c r="D1160">
        <v>3978332</v>
      </c>
    </row>
    <row r="1161" spans="1:4" x14ac:dyDescent="0.25">
      <c r="A1161" t="str">
        <f>T("   TG")</f>
        <v xml:space="preserve">   TG</v>
      </c>
      <c r="B1161" t="str">
        <f>T("   Togo")</f>
        <v xml:space="preserve">   Togo</v>
      </c>
      <c r="C1161">
        <v>13862848</v>
      </c>
      <c r="D1161">
        <v>78493</v>
      </c>
    </row>
    <row r="1162" spans="1:4" x14ac:dyDescent="0.25">
      <c r="A1162" t="str">
        <f>T("   TH")</f>
        <v xml:space="preserve">   TH</v>
      </c>
      <c r="B1162" t="str">
        <f>T("   Thaïlande")</f>
        <v xml:space="preserve">   Thaïlande</v>
      </c>
      <c r="C1162">
        <v>80000</v>
      </c>
      <c r="D1162">
        <v>1000</v>
      </c>
    </row>
    <row r="1163" spans="1:4" x14ac:dyDescent="0.25">
      <c r="A1163" t="str">
        <f>T("   TR")</f>
        <v xml:space="preserve">   TR</v>
      </c>
      <c r="B1163" t="str">
        <f>T("   Turquie")</f>
        <v xml:space="preserve">   Turquie</v>
      </c>
      <c r="C1163">
        <v>5500000</v>
      </c>
      <c r="D1163">
        <v>17753</v>
      </c>
    </row>
    <row r="1164" spans="1:4" x14ac:dyDescent="0.25">
      <c r="A1164" t="str">
        <f>T("151710")</f>
        <v>151710</v>
      </c>
      <c r="B1164" t="str">
        <f>T("Margarine (à l'excl. de la margarine liquide)")</f>
        <v>Margarine (à l'excl. de la margarine liquide)</v>
      </c>
    </row>
    <row r="1165" spans="1:4" x14ac:dyDescent="0.25">
      <c r="A1165" t="str">
        <f>T("   ZZZ_Monde")</f>
        <v xml:space="preserve">   ZZZ_Monde</v>
      </c>
      <c r="B1165" t="str">
        <f>T("   ZZZ_Monde")</f>
        <v xml:space="preserve">   ZZZ_Monde</v>
      </c>
      <c r="C1165">
        <v>536059027</v>
      </c>
      <c r="D1165">
        <v>1327718</v>
      </c>
    </row>
    <row r="1166" spans="1:4" x14ac:dyDescent="0.25">
      <c r="A1166" t="str">
        <f>T("   BR")</f>
        <v xml:space="preserve">   BR</v>
      </c>
      <c r="B1166" t="str">
        <f>T("   Brésil")</f>
        <v xml:space="preserve">   Brésil</v>
      </c>
      <c r="C1166">
        <v>5807214</v>
      </c>
      <c r="D1166">
        <v>8904</v>
      </c>
    </row>
    <row r="1167" spans="1:4" x14ac:dyDescent="0.25">
      <c r="A1167" t="str">
        <f>T("   CI")</f>
        <v xml:space="preserve">   CI</v>
      </c>
      <c r="B1167" t="str">
        <f>T("   Côte d'Ivoire")</f>
        <v xml:space="preserve">   Côte d'Ivoire</v>
      </c>
      <c r="C1167">
        <v>59921062</v>
      </c>
      <c r="D1167">
        <v>47711</v>
      </c>
    </row>
    <row r="1168" spans="1:4" x14ac:dyDescent="0.25">
      <c r="A1168" t="str">
        <f>T("   CN")</f>
        <v xml:space="preserve">   CN</v>
      </c>
      <c r="B1168" t="str">
        <f>T("   Chine")</f>
        <v xml:space="preserve">   Chine</v>
      </c>
      <c r="C1168">
        <v>71645217</v>
      </c>
      <c r="D1168">
        <v>238010</v>
      </c>
    </row>
    <row r="1169" spans="1:4" x14ac:dyDescent="0.25">
      <c r="A1169" t="str">
        <f>T("   FR")</f>
        <v xml:space="preserve">   FR</v>
      </c>
      <c r="B1169" t="str">
        <f>T("   France")</f>
        <v xml:space="preserve">   France</v>
      </c>
      <c r="C1169">
        <v>129064105</v>
      </c>
      <c r="D1169">
        <v>256459</v>
      </c>
    </row>
    <row r="1170" spans="1:4" x14ac:dyDescent="0.25">
      <c r="A1170" t="str">
        <f>T("   GH")</f>
        <v xml:space="preserve">   GH</v>
      </c>
      <c r="B1170" t="str">
        <f>T("   Ghana")</f>
        <v xml:space="preserve">   Ghana</v>
      </c>
      <c r="C1170">
        <v>22418679</v>
      </c>
      <c r="D1170">
        <v>29060</v>
      </c>
    </row>
    <row r="1171" spans="1:4" x14ac:dyDescent="0.25">
      <c r="A1171" t="str">
        <f>T("   HK")</f>
        <v xml:space="preserve">   HK</v>
      </c>
      <c r="B1171" t="str">
        <f>T("   Hong-Kong")</f>
        <v xml:space="preserve">   Hong-Kong</v>
      </c>
      <c r="C1171">
        <v>29136683</v>
      </c>
      <c r="D1171">
        <v>100854</v>
      </c>
    </row>
    <row r="1172" spans="1:4" x14ac:dyDescent="0.25">
      <c r="A1172" t="str">
        <f>T("   ID")</f>
        <v xml:space="preserve">   ID</v>
      </c>
      <c r="B1172" t="str">
        <f>T("   Indonésie")</f>
        <v xml:space="preserve">   Indonésie</v>
      </c>
      <c r="C1172">
        <v>58806353</v>
      </c>
      <c r="D1172">
        <v>198680</v>
      </c>
    </row>
    <row r="1173" spans="1:4" x14ac:dyDescent="0.25">
      <c r="A1173" t="str">
        <f>T("   IN")</f>
        <v xml:space="preserve">   IN</v>
      </c>
      <c r="B1173" t="str">
        <f>T("   Inde")</f>
        <v xml:space="preserve">   Inde</v>
      </c>
      <c r="C1173">
        <v>9400000</v>
      </c>
      <c r="D1173">
        <v>42820</v>
      </c>
    </row>
    <row r="1174" spans="1:4" x14ac:dyDescent="0.25">
      <c r="A1174" t="str">
        <f>T("   SG")</f>
        <v xml:space="preserve">   SG</v>
      </c>
      <c r="B1174" t="str">
        <f>T("   Singapour")</f>
        <v xml:space="preserve">   Singapour</v>
      </c>
      <c r="C1174">
        <v>27682453</v>
      </c>
      <c r="D1174">
        <v>78621</v>
      </c>
    </row>
    <row r="1175" spans="1:4" x14ac:dyDescent="0.25">
      <c r="A1175" t="str">
        <f>T("   TG")</f>
        <v xml:space="preserve">   TG</v>
      </c>
      <c r="B1175" t="str">
        <f>T("   Togo")</f>
        <v xml:space="preserve">   Togo</v>
      </c>
      <c r="C1175">
        <v>41759923</v>
      </c>
      <c r="D1175">
        <v>126994</v>
      </c>
    </row>
    <row r="1176" spans="1:4" x14ac:dyDescent="0.25">
      <c r="A1176" t="str">
        <f>T("   TN")</f>
        <v xml:space="preserve">   TN</v>
      </c>
      <c r="B1176" t="str">
        <f>T("   Tunisie")</f>
        <v xml:space="preserve">   Tunisie</v>
      </c>
      <c r="C1176">
        <v>80417338</v>
      </c>
      <c r="D1176">
        <v>199605</v>
      </c>
    </row>
    <row r="1177" spans="1:4" x14ac:dyDescent="0.25">
      <c r="A1177" t="str">
        <f>T("151790")</f>
        <v>151790</v>
      </c>
      <c r="B1177" t="str">
        <f>T("Mélanges ou préparations alimentaires de graisses ou huiles animales ou végétales ou de fractions comestibles de différentes graisses ou huiles (sauf graisses et huiles et leurs fractions, partiellement ou totalement hydrogénées, interestérifiées, réestér")</f>
        <v>Mélanges ou préparations alimentaires de graisses ou huiles animales ou végétales ou de fractions comestibles de différentes graisses ou huiles (sauf graisses et huiles et leurs fractions, partiellement ou totalement hydrogénées, interestérifiées, réestér</v>
      </c>
    </row>
    <row r="1178" spans="1:4" x14ac:dyDescent="0.25">
      <c r="A1178" t="str">
        <f>T("   ZZZ_Monde")</f>
        <v xml:space="preserve">   ZZZ_Monde</v>
      </c>
      <c r="B1178" t="str">
        <f>T("   ZZZ_Monde")</f>
        <v xml:space="preserve">   ZZZ_Monde</v>
      </c>
      <c r="C1178">
        <v>35795737</v>
      </c>
      <c r="D1178">
        <v>103414</v>
      </c>
    </row>
    <row r="1179" spans="1:4" x14ac:dyDescent="0.25">
      <c r="A1179" t="str">
        <f>T("   FR")</f>
        <v xml:space="preserve">   FR</v>
      </c>
      <c r="B1179" t="str">
        <f>T("   France")</f>
        <v xml:space="preserve">   France</v>
      </c>
      <c r="C1179">
        <v>10250737</v>
      </c>
      <c r="D1179">
        <v>16044</v>
      </c>
    </row>
    <row r="1180" spans="1:4" x14ac:dyDescent="0.25">
      <c r="A1180" t="str">
        <f>T("   ID")</f>
        <v xml:space="preserve">   ID</v>
      </c>
      <c r="B1180" t="str">
        <f>T("   Indonésie")</f>
        <v xml:space="preserve">   Indonésie</v>
      </c>
      <c r="C1180">
        <v>9740000</v>
      </c>
      <c r="D1180">
        <v>41236</v>
      </c>
    </row>
    <row r="1181" spans="1:4" x14ac:dyDescent="0.25">
      <c r="A1181" t="str">
        <f>T("   MY")</f>
        <v xml:space="preserve">   MY</v>
      </c>
      <c r="B1181" t="str">
        <f>T("   Malaisie")</f>
        <v xml:space="preserve">   Malaisie</v>
      </c>
      <c r="C1181">
        <v>6377000</v>
      </c>
      <c r="D1181">
        <v>25508</v>
      </c>
    </row>
    <row r="1182" spans="1:4" x14ac:dyDescent="0.25">
      <c r="A1182" t="str">
        <f>T("   NL")</f>
        <v xml:space="preserve">   NL</v>
      </c>
      <c r="B1182" t="str">
        <f>T("   Pays-bas")</f>
        <v xml:space="preserve">   Pays-bas</v>
      </c>
      <c r="C1182">
        <v>9428000</v>
      </c>
      <c r="D1182">
        <v>20626</v>
      </c>
    </row>
    <row r="1183" spans="1:4" x14ac:dyDescent="0.25">
      <c r="A1183" t="str">
        <f>T("152000")</f>
        <v>152000</v>
      </c>
      <c r="B1183" t="str">
        <f>T("Glycérol brut; eaux et lessives glycérineuses")</f>
        <v>Glycérol brut; eaux et lessives glycérineuses</v>
      </c>
    </row>
    <row r="1184" spans="1:4" x14ac:dyDescent="0.25">
      <c r="A1184" t="str">
        <f>T("   ZZZ_Monde")</f>
        <v xml:space="preserve">   ZZZ_Monde</v>
      </c>
      <c r="B1184" t="str">
        <f>T("   ZZZ_Monde")</f>
        <v xml:space="preserve">   ZZZ_Monde</v>
      </c>
      <c r="C1184">
        <v>335196</v>
      </c>
      <c r="D1184">
        <v>436</v>
      </c>
    </row>
    <row r="1185" spans="1:4" x14ac:dyDescent="0.25">
      <c r="A1185" t="str">
        <f>T("   ZA")</f>
        <v xml:space="preserve">   ZA</v>
      </c>
      <c r="B1185" t="str">
        <f>T("   Afrique du Sud")</f>
        <v xml:space="preserve">   Afrique du Sud</v>
      </c>
      <c r="C1185">
        <v>335196</v>
      </c>
      <c r="D1185">
        <v>436</v>
      </c>
    </row>
    <row r="1186" spans="1:4" x14ac:dyDescent="0.25">
      <c r="A1186" t="str">
        <f>T("160100")</f>
        <v>160100</v>
      </c>
      <c r="B1186" t="str">
        <f>T("Saucisses, saucissons et produits simil., de viande, d'abats ou de sang; préparations alimentaires à base de ces produits")</f>
        <v>Saucisses, saucissons et produits simil., de viande, d'abats ou de sang; préparations alimentaires à base de ces produits</v>
      </c>
    </row>
    <row r="1187" spans="1:4" x14ac:dyDescent="0.25">
      <c r="A1187" t="str">
        <f>T("   ZZZ_Monde")</f>
        <v xml:space="preserve">   ZZZ_Monde</v>
      </c>
      <c r="B1187" t="str">
        <f>T("   ZZZ_Monde")</f>
        <v xml:space="preserve">   ZZZ_Monde</v>
      </c>
      <c r="C1187">
        <v>2181033061</v>
      </c>
      <c r="D1187">
        <v>3017426.4</v>
      </c>
    </row>
    <row r="1188" spans="1:4" x14ac:dyDescent="0.25">
      <c r="A1188" t="str">
        <f>T("   BE")</f>
        <v xml:space="preserve">   BE</v>
      </c>
      <c r="B1188" t="str">
        <f>T("   Belgique")</f>
        <v xml:space="preserve">   Belgique</v>
      </c>
      <c r="C1188">
        <v>9490428</v>
      </c>
      <c r="D1188">
        <v>12760</v>
      </c>
    </row>
    <row r="1189" spans="1:4" x14ac:dyDescent="0.25">
      <c r="A1189" t="str">
        <f>T("   BR")</f>
        <v xml:space="preserve">   BR</v>
      </c>
      <c r="B1189" t="str">
        <f>T("   Brésil")</f>
        <v xml:space="preserve">   Brésil</v>
      </c>
      <c r="C1189">
        <v>889030490</v>
      </c>
      <c r="D1189">
        <v>1272968.8</v>
      </c>
    </row>
    <row r="1190" spans="1:4" x14ac:dyDescent="0.25">
      <c r="A1190" t="str">
        <f>T("   DE")</f>
        <v xml:space="preserve">   DE</v>
      </c>
      <c r="B1190" t="str">
        <f>T("   Allemagne")</f>
        <v xml:space="preserve">   Allemagne</v>
      </c>
      <c r="C1190">
        <v>19498500</v>
      </c>
      <c r="D1190">
        <v>25998</v>
      </c>
    </row>
    <row r="1191" spans="1:4" x14ac:dyDescent="0.25">
      <c r="A1191" t="str">
        <f>T("   DK")</f>
        <v xml:space="preserve">   DK</v>
      </c>
      <c r="B1191" t="str">
        <f>T("   Danemark")</f>
        <v xml:space="preserve">   Danemark</v>
      </c>
      <c r="C1191">
        <v>111841564</v>
      </c>
      <c r="D1191">
        <v>165010</v>
      </c>
    </row>
    <row r="1192" spans="1:4" x14ac:dyDescent="0.25">
      <c r="A1192" t="str">
        <f>T("   ES")</f>
        <v xml:space="preserve">   ES</v>
      </c>
      <c r="B1192" t="str">
        <f>T("   Espagne")</f>
        <v xml:space="preserve">   Espagne</v>
      </c>
      <c r="C1192">
        <v>952455</v>
      </c>
      <c r="D1192">
        <v>1138</v>
      </c>
    </row>
    <row r="1193" spans="1:4" x14ac:dyDescent="0.25">
      <c r="A1193" t="str">
        <f>T("   FR")</f>
        <v xml:space="preserve">   FR</v>
      </c>
      <c r="B1193" t="str">
        <f>T("   France")</f>
        <v xml:space="preserve">   France</v>
      </c>
      <c r="C1193">
        <v>909371400</v>
      </c>
      <c r="D1193">
        <v>1221617.6000000001</v>
      </c>
    </row>
    <row r="1194" spans="1:4" x14ac:dyDescent="0.25">
      <c r="A1194" t="str">
        <f>T("   GB")</f>
        <v xml:space="preserve">   GB</v>
      </c>
      <c r="B1194" t="str">
        <f>T("   Royaume-Uni")</f>
        <v xml:space="preserve">   Royaume-Uni</v>
      </c>
      <c r="C1194">
        <v>80101151</v>
      </c>
      <c r="D1194">
        <v>103992</v>
      </c>
    </row>
    <row r="1195" spans="1:4" x14ac:dyDescent="0.25">
      <c r="A1195" t="str">
        <f>T("   IT")</f>
        <v xml:space="preserve">   IT</v>
      </c>
      <c r="B1195" t="str">
        <f>T("   Italie")</f>
        <v xml:space="preserve">   Italie</v>
      </c>
      <c r="C1195">
        <v>3750123</v>
      </c>
      <c r="D1195">
        <v>5000</v>
      </c>
    </row>
    <row r="1196" spans="1:4" x14ac:dyDescent="0.25">
      <c r="A1196" t="str">
        <f>T("   NL")</f>
        <v xml:space="preserve">   NL</v>
      </c>
      <c r="B1196" t="str">
        <f>T("   Pays-bas")</f>
        <v xml:space="preserve">   Pays-bas</v>
      </c>
      <c r="C1196">
        <v>118452601</v>
      </c>
      <c r="D1196">
        <v>156502</v>
      </c>
    </row>
    <row r="1197" spans="1:4" x14ac:dyDescent="0.25">
      <c r="A1197" t="str">
        <f>T("   PL")</f>
        <v xml:space="preserve">   PL</v>
      </c>
      <c r="B1197" t="str">
        <f>T("   Pologne")</f>
        <v xml:space="preserve">   Pologne</v>
      </c>
      <c r="C1197">
        <v>19499428</v>
      </c>
      <c r="D1197">
        <v>25999</v>
      </c>
    </row>
    <row r="1198" spans="1:4" x14ac:dyDescent="0.25">
      <c r="A1198" t="str">
        <f>T("   TG")</f>
        <v xml:space="preserve">   TG</v>
      </c>
      <c r="B1198" t="str">
        <f>T("   Togo")</f>
        <v xml:space="preserve">   Togo</v>
      </c>
      <c r="C1198">
        <v>294921</v>
      </c>
      <c r="D1198">
        <v>443</v>
      </c>
    </row>
    <row r="1199" spans="1:4" x14ac:dyDescent="0.25">
      <c r="A1199" t="str">
        <f>T("   UY")</f>
        <v xml:space="preserve">   UY</v>
      </c>
      <c r="B1199" t="str">
        <f>T("   Uruguay")</f>
        <v xml:space="preserve">   Uruguay</v>
      </c>
      <c r="C1199">
        <v>18750000</v>
      </c>
      <c r="D1199">
        <v>25998</v>
      </c>
    </row>
    <row r="1200" spans="1:4" x14ac:dyDescent="0.25">
      <c r="A1200" t="str">
        <f>T("160220")</f>
        <v>160220</v>
      </c>
      <c r="B1200" t="str">
        <f>T("Préparations à base de foie de différentes espèces animales (à l'excl. des saucisses, saucissons et produits simil. ainsi que des préparations finement homogénéisées, conditionnées pour la vente au détail comme aliments pour enfants ou pour usages diététi")</f>
        <v>Préparations à base de foie de différentes espèces animales (à l'excl. des saucisses, saucissons et produits simil. ainsi que des préparations finement homogénéisées, conditionnées pour la vente au détail comme aliments pour enfants ou pour usages diététi</v>
      </c>
    </row>
    <row r="1201" spans="1:4" x14ac:dyDescent="0.25">
      <c r="A1201" t="str">
        <f>T("   ZZZ_Monde")</f>
        <v xml:space="preserve">   ZZZ_Monde</v>
      </c>
      <c r="B1201" t="str">
        <f>T("   ZZZ_Monde")</f>
        <v xml:space="preserve">   ZZZ_Monde</v>
      </c>
      <c r="C1201">
        <v>345035</v>
      </c>
      <c r="D1201">
        <v>301</v>
      </c>
    </row>
    <row r="1202" spans="1:4" x14ac:dyDescent="0.25">
      <c r="A1202" t="str">
        <f>T("   FR")</f>
        <v xml:space="preserve">   FR</v>
      </c>
      <c r="B1202" t="str">
        <f>T("   France")</f>
        <v xml:space="preserve">   France</v>
      </c>
      <c r="C1202">
        <v>345035</v>
      </c>
      <c r="D1202">
        <v>301</v>
      </c>
    </row>
    <row r="1203" spans="1:4" x14ac:dyDescent="0.25">
      <c r="A1203" t="str">
        <f>T("160231")</f>
        <v>160231</v>
      </c>
      <c r="B1203" t="str">
        <f>T("Préparations et conserves de viande ou d'abats de dinde des espèces domestiques (à l'excl. des saucisses, saucissons et produits simil., des préparations finement homogénéisées, conditionnées pour la vente au détail comme aliments pour enfants ou pour usa")</f>
        <v>Préparations et conserves de viande ou d'abats de dinde des espèces domestiques (à l'excl. des saucisses, saucissons et produits simil., des préparations finement homogénéisées, conditionnées pour la vente au détail comme aliments pour enfants ou pour usa</v>
      </c>
    </row>
    <row r="1204" spans="1:4" x14ac:dyDescent="0.25">
      <c r="A1204" t="str">
        <f>T("   ZZZ_Monde")</f>
        <v xml:space="preserve">   ZZZ_Monde</v>
      </c>
      <c r="B1204" t="str">
        <f>T("   ZZZ_Monde")</f>
        <v xml:space="preserve">   ZZZ_Monde</v>
      </c>
      <c r="C1204">
        <v>17170410</v>
      </c>
      <c r="D1204">
        <v>19505</v>
      </c>
    </row>
    <row r="1205" spans="1:4" x14ac:dyDescent="0.25">
      <c r="A1205" t="str">
        <f>T("   ES")</f>
        <v xml:space="preserve">   ES</v>
      </c>
      <c r="B1205" t="str">
        <f>T("   Espagne")</f>
        <v xml:space="preserve">   Espagne</v>
      </c>
      <c r="C1205">
        <v>8674415</v>
      </c>
      <c r="D1205">
        <v>7647</v>
      </c>
    </row>
    <row r="1206" spans="1:4" x14ac:dyDescent="0.25">
      <c r="A1206" t="str">
        <f>T("   FR")</f>
        <v xml:space="preserve">   FR</v>
      </c>
      <c r="B1206" t="str">
        <f>T("   France")</f>
        <v xml:space="preserve">   France</v>
      </c>
      <c r="C1206">
        <v>8495995</v>
      </c>
      <c r="D1206">
        <v>11858</v>
      </c>
    </row>
    <row r="1207" spans="1:4" x14ac:dyDescent="0.25">
      <c r="A1207" t="str">
        <f>T("160232")</f>
        <v>160232</v>
      </c>
      <c r="B1207" t="str">
        <f>T("Préparations et conserves de viande ou d'abats de coqs et de poules [des espèces domestiques] (à l'excl. des saucisses, saucissons et produits simil., des préparations finement homogénéisées, conditionnées pour la vente au détail comme aliments pour enfan")</f>
        <v>Préparations et conserves de viande ou d'abats de coqs et de poules [des espèces domestiques] (à l'excl. des saucisses, saucissons et produits simil., des préparations finement homogénéisées, conditionnées pour la vente au détail comme aliments pour enfan</v>
      </c>
    </row>
    <row r="1208" spans="1:4" x14ac:dyDescent="0.25">
      <c r="A1208" t="str">
        <f>T("   ZZZ_Monde")</f>
        <v xml:space="preserve">   ZZZ_Monde</v>
      </c>
      <c r="B1208" t="str">
        <f>T("   ZZZ_Monde")</f>
        <v xml:space="preserve">   ZZZ_Monde</v>
      </c>
      <c r="C1208">
        <v>370026809</v>
      </c>
      <c r="D1208">
        <v>488780</v>
      </c>
    </row>
    <row r="1209" spans="1:4" x14ac:dyDescent="0.25">
      <c r="A1209" t="str">
        <f>T("   BR")</f>
        <v xml:space="preserve">   BR</v>
      </c>
      <c r="B1209" t="str">
        <f>T("   Brésil")</f>
        <v xml:space="preserve">   Brésil</v>
      </c>
      <c r="C1209">
        <v>235363043</v>
      </c>
      <c r="D1209">
        <v>313709</v>
      </c>
    </row>
    <row r="1210" spans="1:4" x14ac:dyDescent="0.25">
      <c r="A1210" t="str">
        <f>T("   FR")</f>
        <v xml:space="preserve">   FR</v>
      </c>
      <c r="B1210" t="str">
        <f>T("   France")</f>
        <v xml:space="preserve">   France</v>
      </c>
      <c r="C1210">
        <v>134663766</v>
      </c>
      <c r="D1210">
        <v>175071</v>
      </c>
    </row>
    <row r="1211" spans="1:4" x14ac:dyDescent="0.25">
      <c r="A1211" t="str">
        <f>T("160239")</f>
        <v>160239</v>
      </c>
      <c r="B1211" t="str">
        <f>T("Préparations et conserves de viande ou d'abats de canard, d'oie et de pintade [des espèces domestiques] (à l'excl. des saucisses, saucissons et produits simil., des préparations finement homogénéisées, conditionnées pour la vente au détail comme aliments")</f>
        <v>Préparations et conserves de viande ou d'abats de canard, d'oie et de pintade [des espèces domestiques] (à l'excl. des saucisses, saucissons et produits simil., des préparations finement homogénéisées, conditionnées pour la vente au détail comme aliments</v>
      </c>
    </row>
    <row r="1212" spans="1:4" x14ac:dyDescent="0.25">
      <c r="A1212" t="str">
        <f>T("   ZZZ_Monde")</f>
        <v xml:space="preserve">   ZZZ_Monde</v>
      </c>
      <c r="B1212" t="str">
        <f>T("   ZZZ_Monde")</f>
        <v xml:space="preserve">   ZZZ_Monde</v>
      </c>
      <c r="C1212">
        <v>87170815</v>
      </c>
      <c r="D1212">
        <v>193778</v>
      </c>
    </row>
    <row r="1213" spans="1:4" x14ac:dyDescent="0.25">
      <c r="A1213" t="str">
        <f>T("   BR")</f>
        <v xml:space="preserve">   BR</v>
      </c>
      <c r="B1213" t="str">
        <f>T("   Brésil")</f>
        <v xml:space="preserve">   Brésil</v>
      </c>
      <c r="C1213">
        <v>19277046</v>
      </c>
      <c r="D1213">
        <v>30992</v>
      </c>
    </row>
    <row r="1214" spans="1:4" x14ac:dyDescent="0.25">
      <c r="A1214" t="str">
        <f>T("   CN")</f>
        <v xml:space="preserve">   CN</v>
      </c>
      <c r="B1214" t="str">
        <f>T("   Chine")</f>
        <v xml:space="preserve">   Chine</v>
      </c>
      <c r="C1214">
        <v>6000000</v>
      </c>
      <c r="D1214">
        <v>21060</v>
      </c>
    </row>
    <row r="1215" spans="1:4" x14ac:dyDescent="0.25">
      <c r="A1215" t="str">
        <f>T("   FR")</f>
        <v xml:space="preserve">   FR</v>
      </c>
      <c r="B1215" t="str">
        <f>T("   France")</f>
        <v xml:space="preserve">   France</v>
      </c>
      <c r="C1215">
        <v>30961791</v>
      </c>
      <c r="D1215">
        <v>22492</v>
      </c>
    </row>
    <row r="1216" spans="1:4" x14ac:dyDescent="0.25">
      <c r="A1216" t="str">
        <f>T("   IT")</f>
        <v xml:space="preserve">   IT</v>
      </c>
      <c r="B1216" t="str">
        <f>T("   Italie")</f>
        <v xml:space="preserve">   Italie</v>
      </c>
      <c r="C1216">
        <v>6475637</v>
      </c>
      <c r="D1216">
        <v>10410</v>
      </c>
    </row>
    <row r="1217" spans="1:4" x14ac:dyDescent="0.25">
      <c r="A1217" t="str">
        <f>T("   LB")</f>
        <v xml:space="preserve">   LB</v>
      </c>
      <c r="B1217" t="str">
        <f>T("   Liban")</f>
        <v xml:space="preserve">   Liban</v>
      </c>
      <c r="C1217">
        <v>456341</v>
      </c>
      <c r="D1217">
        <v>2307</v>
      </c>
    </row>
    <row r="1218" spans="1:4" x14ac:dyDescent="0.25">
      <c r="A1218" t="str">
        <f>T("   TG")</f>
        <v xml:space="preserve">   TG</v>
      </c>
      <c r="B1218" t="str">
        <f>T("   Togo")</f>
        <v xml:space="preserve">   Togo</v>
      </c>
      <c r="C1218">
        <v>24000000</v>
      </c>
      <c r="D1218">
        <v>106517</v>
      </c>
    </row>
    <row r="1219" spans="1:4" x14ac:dyDescent="0.25">
      <c r="A1219" t="str">
        <f>T("160241")</f>
        <v>160241</v>
      </c>
      <c r="B1219" t="str">
        <f>T("Préparations et conserves de jambons et de morceaux de jambons des animaux de l'espèce porcine")</f>
        <v>Préparations et conserves de jambons et de morceaux de jambons des animaux de l'espèce porcine</v>
      </c>
    </row>
    <row r="1220" spans="1:4" x14ac:dyDescent="0.25">
      <c r="A1220" t="str">
        <f>T("   ZZZ_Monde")</f>
        <v xml:space="preserve">   ZZZ_Monde</v>
      </c>
      <c r="B1220" t="str">
        <f>T("   ZZZ_Monde")</f>
        <v xml:space="preserve">   ZZZ_Monde</v>
      </c>
      <c r="C1220">
        <v>88990074</v>
      </c>
      <c r="D1220">
        <v>114884</v>
      </c>
    </row>
    <row r="1221" spans="1:4" x14ac:dyDescent="0.25">
      <c r="A1221" t="str">
        <f>T("   ES")</f>
        <v xml:space="preserve">   ES</v>
      </c>
      <c r="B1221" t="str">
        <f>T("   Espagne")</f>
        <v xml:space="preserve">   Espagne</v>
      </c>
      <c r="C1221">
        <v>8278217</v>
      </c>
      <c r="D1221">
        <v>10454</v>
      </c>
    </row>
    <row r="1222" spans="1:4" x14ac:dyDescent="0.25">
      <c r="A1222" t="str">
        <f>T("   FR")</f>
        <v xml:space="preserve">   FR</v>
      </c>
      <c r="B1222" t="str">
        <f>T("   France")</f>
        <v xml:space="preserve">   France</v>
      </c>
      <c r="C1222">
        <v>80711857</v>
      </c>
      <c r="D1222">
        <v>104430</v>
      </c>
    </row>
    <row r="1223" spans="1:4" x14ac:dyDescent="0.25">
      <c r="A1223" t="str">
        <f>T("160242")</f>
        <v>160242</v>
      </c>
      <c r="B1223" t="str">
        <f>T("Préparations et conserves d'épaules et de morceaux d'épaules des animaux de l'espèce porcine")</f>
        <v>Préparations et conserves d'épaules et de morceaux d'épaules des animaux de l'espèce porcine</v>
      </c>
    </row>
    <row r="1224" spans="1:4" x14ac:dyDescent="0.25">
      <c r="A1224" t="str">
        <f>T("   ZZZ_Monde")</f>
        <v xml:space="preserve">   ZZZ_Monde</v>
      </c>
      <c r="B1224" t="str">
        <f>T("   ZZZ_Monde")</f>
        <v xml:space="preserve">   ZZZ_Monde</v>
      </c>
      <c r="C1224">
        <v>6838383</v>
      </c>
      <c r="D1224">
        <v>6930</v>
      </c>
    </row>
    <row r="1225" spans="1:4" x14ac:dyDescent="0.25">
      <c r="A1225" t="str">
        <f>T("   ES")</f>
        <v xml:space="preserve">   ES</v>
      </c>
      <c r="B1225" t="str">
        <f>T("   Espagne")</f>
        <v xml:space="preserve">   Espagne</v>
      </c>
      <c r="C1225">
        <v>5954805</v>
      </c>
      <c r="D1225">
        <v>5527</v>
      </c>
    </row>
    <row r="1226" spans="1:4" x14ac:dyDescent="0.25">
      <c r="A1226" t="str">
        <f>T("   FR")</f>
        <v xml:space="preserve">   FR</v>
      </c>
      <c r="B1226" t="str">
        <f>T("   France")</f>
        <v xml:space="preserve">   France</v>
      </c>
      <c r="C1226">
        <v>883578</v>
      </c>
      <c r="D1226">
        <v>1403</v>
      </c>
    </row>
    <row r="1227" spans="1:4" x14ac:dyDescent="0.25">
      <c r="A1227" t="str">
        <f>T("160249")</f>
        <v>160249</v>
      </c>
      <c r="B1227" t="str">
        <f>T("Préparations et conserves de viande ou d'abats d'animaux de l'espèce porcine, y.c. les mélanges (à l'excl. des préparations et conserves constituées uniquement de jambons et de morceaux de jambon ou d'épaule et de morceaux d'épaule, des saucisses, sauciss")</f>
        <v>Préparations et conserves de viande ou d'abats d'animaux de l'espèce porcine, y.c. les mélanges (à l'excl. des préparations et conserves constituées uniquement de jambons et de morceaux de jambon ou d'épaule et de morceaux d'épaule, des saucisses, sauciss</v>
      </c>
    </row>
    <row r="1228" spans="1:4" x14ac:dyDescent="0.25">
      <c r="A1228" t="str">
        <f>T("   ZZZ_Monde")</f>
        <v xml:space="preserve">   ZZZ_Monde</v>
      </c>
      <c r="B1228" t="str">
        <f>T("   ZZZ_Monde")</f>
        <v xml:space="preserve">   ZZZ_Monde</v>
      </c>
      <c r="C1228">
        <v>31357315</v>
      </c>
      <c r="D1228">
        <v>31004</v>
      </c>
    </row>
    <row r="1229" spans="1:4" x14ac:dyDescent="0.25">
      <c r="A1229" t="str">
        <f>T("   BE")</f>
        <v xml:space="preserve">   BE</v>
      </c>
      <c r="B1229" t="str">
        <f>T("   Belgique")</f>
        <v xml:space="preserve">   Belgique</v>
      </c>
      <c r="C1229">
        <v>2312915</v>
      </c>
      <c r="D1229">
        <v>3830</v>
      </c>
    </row>
    <row r="1230" spans="1:4" x14ac:dyDescent="0.25">
      <c r="A1230" t="str">
        <f>T("   ES")</f>
        <v xml:space="preserve">   ES</v>
      </c>
      <c r="B1230" t="str">
        <f>T("   Espagne")</f>
        <v xml:space="preserve">   Espagne</v>
      </c>
      <c r="C1230">
        <v>6264162</v>
      </c>
      <c r="D1230">
        <v>10071</v>
      </c>
    </row>
    <row r="1231" spans="1:4" x14ac:dyDescent="0.25">
      <c r="A1231" t="str">
        <f>T("   FR")</f>
        <v xml:space="preserve">   FR</v>
      </c>
      <c r="B1231" t="str">
        <f>T("   France")</f>
        <v xml:space="preserve">   France</v>
      </c>
      <c r="C1231">
        <v>22780238</v>
      </c>
      <c r="D1231">
        <v>17103</v>
      </c>
    </row>
    <row r="1232" spans="1:4" x14ac:dyDescent="0.25">
      <c r="A1232" t="str">
        <f>T("160250")</f>
        <v>160250</v>
      </c>
      <c r="B1232" t="str">
        <f>T("Préparations et conserves de viande ou d'abats d'animaux de l'espèce bovine (à l'excl. des saucisses, saucissons et produits simil., des préparations finement homogénéisées, conditionnées pour la vente au détail comme aliments pour enfants ou pour usages")</f>
        <v>Préparations et conserves de viande ou d'abats d'animaux de l'espèce bovine (à l'excl. des saucisses, saucissons et produits simil., des préparations finement homogénéisées, conditionnées pour la vente au détail comme aliments pour enfants ou pour usages</v>
      </c>
    </row>
    <row r="1233" spans="1:4" x14ac:dyDescent="0.25">
      <c r="A1233" t="str">
        <f>T("   ZZZ_Monde")</f>
        <v xml:space="preserve">   ZZZ_Monde</v>
      </c>
      <c r="B1233" t="str">
        <f>T("   ZZZ_Monde")</f>
        <v xml:space="preserve">   ZZZ_Monde</v>
      </c>
      <c r="C1233">
        <v>136021520</v>
      </c>
      <c r="D1233">
        <v>189813</v>
      </c>
    </row>
    <row r="1234" spans="1:4" x14ac:dyDescent="0.25">
      <c r="A1234" t="str">
        <f>T("   AE")</f>
        <v xml:space="preserve">   AE</v>
      </c>
      <c r="B1234" t="str">
        <f>T("   Emirats Arabes Unis")</f>
        <v xml:space="preserve">   Emirats Arabes Unis</v>
      </c>
      <c r="C1234">
        <v>54293627</v>
      </c>
      <c r="D1234">
        <v>96146</v>
      </c>
    </row>
    <row r="1235" spans="1:4" x14ac:dyDescent="0.25">
      <c r="A1235" t="str">
        <f>T("   ES")</f>
        <v xml:space="preserve">   ES</v>
      </c>
      <c r="B1235" t="str">
        <f>T("   Espagne")</f>
        <v xml:space="preserve">   Espagne</v>
      </c>
      <c r="C1235">
        <v>181045</v>
      </c>
      <c r="D1235">
        <v>207</v>
      </c>
    </row>
    <row r="1236" spans="1:4" x14ac:dyDescent="0.25">
      <c r="A1236" t="str">
        <f>T("   FR")</f>
        <v xml:space="preserve">   FR</v>
      </c>
      <c r="B1236" t="str">
        <f>T("   France")</f>
        <v xml:space="preserve">   France</v>
      </c>
      <c r="C1236">
        <v>55004410</v>
      </c>
      <c r="D1236">
        <v>73507</v>
      </c>
    </row>
    <row r="1237" spans="1:4" x14ac:dyDescent="0.25">
      <c r="A1237" t="str">
        <f>T("   LB")</f>
        <v xml:space="preserve">   LB</v>
      </c>
      <c r="B1237" t="str">
        <f>T("   Liban")</f>
        <v xml:space="preserve">   Liban</v>
      </c>
      <c r="C1237">
        <v>218104</v>
      </c>
      <c r="D1237">
        <v>243</v>
      </c>
    </row>
    <row r="1238" spans="1:4" x14ac:dyDescent="0.25">
      <c r="A1238" t="str">
        <f>T("   TG")</f>
        <v xml:space="preserve">   TG</v>
      </c>
      <c r="B1238" t="str">
        <f>T("   Togo")</f>
        <v xml:space="preserve">   Togo</v>
      </c>
      <c r="C1238">
        <v>26324334</v>
      </c>
      <c r="D1238">
        <v>19710</v>
      </c>
    </row>
    <row r="1239" spans="1:4" x14ac:dyDescent="0.25">
      <c r="A1239" t="str">
        <f>T("160290")</f>
        <v>160290</v>
      </c>
      <c r="B1239" t="str">
        <f>T("Préparations et conserves à base de viande, d'abats ou de sang (à l'excl. des préparations et conserves de viande ou d'abats de volailles, de porcins et de bovins, des saucisses, saucissons et produits simil., des préparations finement homogénéisées, cond")</f>
        <v>Préparations et conserves à base de viande, d'abats ou de sang (à l'excl. des préparations et conserves de viande ou d'abats de volailles, de porcins et de bovins, des saucisses, saucissons et produits simil., des préparations finement homogénéisées, cond</v>
      </c>
    </row>
    <row r="1240" spans="1:4" x14ac:dyDescent="0.25">
      <c r="A1240" t="str">
        <f>T("   ZZZ_Monde")</f>
        <v xml:space="preserve">   ZZZ_Monde</v>
      </c>
      <c r="B1240" t="str">
        <f>T("   ZZZ_Monde")</f>
        <v xml:space="preserve">   ZZZ_Monde</v>
      </c>
      <c r="C1240">
        <v>32205914</v>
      </c>
      <c r="D1240">
        <v>96389</v>
      </c>
    </row>
    <row r="1241" spans="1:4" x14ac:dyDescent="0.25">
      <c r="A1241" t="str">
        <f>T("   CN")</f>
        <v xml:space="preserve">   CN</v>
      </c>
      <c r="B1241" t="str">
        <f>T("   Chine")</f>
        <v xml:space="preserve">   Chine</v>
      </c>
      <c r="C1241">
        <v>31964520</v>
      </c>
      <c r="D1241">
        <v>95861</v>
      </c>
    </row>
    <row r="1242" spans="1:4" x14ac:dyDescent="0.25">
      <c r="A1242" t="str">
        <f>T("   IT")</f>
        <v xml:space="preserve">   IT</v>
      </c>
      <c r="B1242" t="str">
        <f>T("   Italie")</f>
        <v xml:space="preserve">   Italie</v>
      </c>
      <c r="C1242">
        <v>241394</v>
      </c>
      <c r="D1242">
        <v>528</v>
      </c>
    </row>
    <row r="1243" spans="1:4" x14ac:dyDescent="0.25">
      <c r="A1243" t="str">
        <f>T("160411")</f>
        <v>160411</v>
      </c>
      <c r="B1243" t="str">
        <f>T("Préparations et conserves de saumons entiers ou en morceaux (à l'excl. des préparations et conserves de saumons hachés)")</f>
        <v>Préparations et conserves de saumons entiers ou en morceaux (à l'excl. des préparations et conserves de saumons hachés)</v>
      </c>
    </row>
    <row r="1244" spans="1:4" x14ac:dyDescent="0.25">
      <c r="A1244" t="str">
        <f>T("   ZZZ_Monde")</f>
        <v xml:space="preserve">   ZZZ_Monde</v>
      </c>
      <c r="B1244" t="str">
        <f>T("   ZZZ_Monde")</f>
        <v xml:space="preserve">   ZZZ_Monde</v>
      </c>
      <c r="C1244">
        <v>2829155</v>
      </c>
      <c r="D1244">
        <v>2087</v>
      </c>
    </row>
    <row r="1245" spans="1:4" x14ac:dyDescent="0.25">
      <c r="A1245" t="str">
        <f>T("   FR")</f>
        <v xml:space="preserve">   FR</v>
      </c>
      <c r="B1245" t="str">
        <f>T("   France")</f>
        <v xml:space="preserve">   France</v>
      </c>
      <c r="C1245">
        <v>2829155</v>
      </c>
      <c r="D1245">
        <v>2087</v>
      </c>
    </row>
    <row r="1246" spans="1:4" x14ac:dyDescent="0.25">
      <c r="A1246" t="str">
        <f>T("160413")</f>
        <v>160413</v>
      </c>
      <c r="B1246" t="str">
        <f>T("Préparations et conserves de sardines, sardinelles, sprats ou esprots, entiers ou en morceaux (à l'excl. des préparations et conserves de poissons hachés)")</f>
        <v>Préparations et conserves de sardines, sardinelles, sprats ou esprots, entiers ou en morceaux (à l'excl. des préparations et conserves de poissons hachés)</v>
      </c>
    </row>
    <row r="1247" spans="1:4" x14ac:dyDescent="0.25">
      <c r="A1247" t="str">
        <f>T("   ZZZ_Monde")</f>
        <v xml:space="preserve">   ZZZ_Monde</v>
      </c>
      <c r="B1247" t="str">
        <f>T("   ZZZ_Monde")</f>
        <v xml:space="preserve">   ZZZ_Monde</v>
      </c>
      <c r="C1247">
        <v>428583987</v>
      </c>
      <c r="D1247">
        <v>925862.5</v>
      </c>
    </row>
    <row r="1248" spans="1:4" x14ac:dyDescent="0.25">
      <c r="A1248" t="str">
        <f>T("   AE")</f>
        <v xml:space="preserve">   AE</v>
      </c>
      <c r="B1248" t="str">
        <f>T("   Emirats Arabes Unis")</f>
        <v xml:space="preserve">   Emirats Arabes Unis</v>
      </c>
      <c r="C1248">
        <v>10511786</v>
      </c>
      <c r="D1248">
        <v>21000</v>
      </c>
    </row>
    <row r="1249" spans="1:4" x14ac:dyDescent="0.25">
      <c r="A1249" t="str">
        <f>T("   BE")</f>
        <v xml:space="preserve">   BE</v>
      </c>
      <c r="B1249" t="str">
        <f>T("   Belgique")</f>
        <v xml:space="preserve">   Belgique</v>
      </c>
      <c r="C1249">
        <v>33306369</v>
      </c>
      <c r="D1249">
        <v>27625</v>
      </c>
    </row>
    <row r="1250" spans="1:4" x14ac:dyDescent="0.25">
      <c r="A1250" t="str">
        <f>T("   CN")</f>
        <v xml:space="preserve">   CN</v>
      </c>
      <c r="B1250" t="str">
        <f>T("   Chine")</f>
        <v xml:space="preserve">   Chine</v>
      </c>
      <c r="C1250">
        <v>157147660</v>
      </c>
      <c r="D1250">
        <v>272486.5</v>
      </c>
    </row>
    <row r="1251" spans="1:4" x14ac:dyDescent="0.25">
      <c r="A1251" t="str">
        <f>T("   FR")</f>
        <v xml:space="preserve">   FR</v>
      </c>
      <c r="B1251" t="str">
        <f>T("   France")</f>
        <v xml:space="preserve">   France</v>
      </c>
      <c r="C1251">
        <v>29483729</v>
      </c>
      <c r="D1251">
        <v>31799</v>
      </c>
    </row>
    <row r="1252" spans="1:4" x14ac:dyDescent="0.25">
      <c r="A1252" t="str">
        <f>T("   GB")</f>
        <v xml:space="preserve">   GB</v>
      </c>
      <c r="B1252" t="str">
        <f>T("   Royaume-Uni")</f>
        <v xml:space="preserve">   Royaume-Uni</v>
      </c>
      <c r="C1252">
        <v>441617</v>
      </c>
      <c r="D1252">
        <v>162</v>
      </c>
    </row>
    <row r="1253" spans="1:4" x14ac:dyDescent="0.25">
      <c r="A1253" t="str">
        <f>T("   ID")</f>
        <v xml:space="preserve">   ID</v>
      </c>
      <c r="B1253" t="str">
        <f>T("   Indonésie")</f>
        <v xml:space="preserve">   Indonésie</v>
      </c>
      <c r="C1253">
        <v>15292188</v>
      </c>
      <c r="D1253">
        <v>40000</v>
      </c>
    </row>
    <row r="1254" spans="1:4" x14ac:dyDescent="0.25">
      <c r="A1254" t="str">
        <f>T("   IN")</f>
        <v xml:space="preserve">   IN</v>
      </c>
      <c r="B1254" t="str">
        <f>T("   Inde")</f>
        <v xml:space="preserve">   Inde</v>
      </c>
      <c r="C1254">
        <v>9051625</v>
      </c>
      <c r="D1254">
        <v>26400</v>
      </c>
    </row>
    <row r="1255" spans="1:4" x14ac:dyDescent="0.25">
      <c r="A1255" t="str">
        <f>T("   LB")</f>
        <v xml:space="preserve">   LB</v>
      </c>
      <c r="B1255" t="str">
        <f>T("   Liban")</f>
        <v xml:space="preserve">   Liban</v>
      </c>
      <c r="C1255">
        <v>796336</v>
      </c>
      <c r="D1255">
        <v>500</v>
      </c>
    </row>
    <row r="1256" spans="1:4" x14ac:dyDescent="0.25">
      <c r="A1256" t="str">
        <f>T("   MA")</f>
        <v xml:space="preserve">   MA</v>
      </c>
      <c r="B1256" t="str">
        <f>T("   Maroc")</f>
        <v xml:space="preserve">   Maroc</v>
      </c>
      <c r="C1256">
        <v>109217266</v>
      </c>
      <c r="D1256">
        <v>346938</v>
      </c>
    </row>
    <row r="1257" spans="1:4" x14ac:dyDescent="0.25">
      <c r="A1257" t="str">
        <f>T("   NG")</f>
        <v xml:space="preserve">   NG</v>
      </c>
      <c r="B1257" t="str">
        <f>T("   Nigéria")</f>
        <v xml:space="preserve">   Nigéria</v>
      </c>
      <c r="C1257">
        <v>16939200</v>
      </c>
      <c r="D1257">
        <v>11540</v>
      </c>
    </row>
    <row r="1258" spans="1:4" x14ac:dyDescent="0.25">
      <c r="A1258" t="str">
        <f>T("   PK")</f>
        <v xml:space="preserve">   PK</v>
      </c>
      <c r="B1258" t="str">
        <f>T("   Pakistan")</f>
        <v xml:space="preserve">   Pakistan</v>
      </c>
      <c r="C1258">
        <v>15292188</v>
      </c>
      <c r="D1258">
        <v>40000</v>
      </c>
    </row>
    <row r="1259" spans="1:4" x14ac:dyDescent="0.25">
      <c r="A1259" t="str">
        <f>T("   SG")</f>
        <v xml:space="preserve">   SG</v>
      </c>
      <c r="B1259" t="str">
        <f>T("   Singapour")</f>
        <v xml:space="preserve">   Singapour</v>
      </c>
      <c r="C1259">
        <v>13100000</v>
      </c>
      <c r="D1259">
        <v>48800</v>
      </c>
    </row>
    <row r="1260" spans="1:4" x14ac:dyDescent="0.25">
      <c r="A1260" t="str">
        <f>T("   TG")</f>
        <v xml:space="preserve">   TG</v>
      </c>
      <c r="B1260" t="str">
        <f>T("   Togo")</f>
        <v xml:space="preserve">   Togo</v>
      </c>
      <c r="C1260">
        <v>18004023</v>
      </c>
      <c r="D1260">
        <v>58612</v>
      </c>
    </row>
    <row r="1261" spans="1:4" x14ac:dyDescent="0.25">
      <c r="A1261" t="str">
        <f>T("160414")</f>
        <v>160414</v>
      </c>
      <c r="B1261" t="str">
        <f>T("Préparations et conserves de thons, de listaos et de bonites 'Sarda spp.', entiers ou en morceaux (à l'excl. des préparations et conserves de thons, de listaos et de bonites hachés)")</f>
        <v>Préparations et conserves de thons, de listaos et de bonites 'Sarda spp.', entiers ou en morceaux (à l'excl. des préparations et conserves de thons, de listaos et de bonites hachés)</v>
      </c>
    </row>
    <row r="1262" spans="1:4" x14ac:dyDescent="0.25">
      <c r="A1262" t="str">
        <f>T("   ZZZ_Monde")</f>
        <v xml:space="preserve">   ZZZ_Monde</v>
      </c>
      <c r="B1262" t="str">
        <f>T("   ZZZ_Monde")</f>
        <v xml:space="preserve">   ZZZ_Monde</v>
      </c>
      <c r="C1262">
        <v>2881783</v>
      </c>
      <c r="D1262">
        <v>7445</v>
      </c>
    </row>
    <row r="1263" spans="1:4" x14ac:dyDescent="0.25">
      <c r="A1263" t="str">
        <f>T("   CN")</f>
        <v xml:space="preserve">   CN</v>
      </c>
      <c r="B1263" t="str">
        <f>T("   Chine")</f>
        <v xml:space="preserve">   Chine</v>
      </c>
      <c r="C1263">
        <v>75000</v>
      </c>
      <c r="D1263">
        <v>341</v>
      </c>
    </row>
    <row r="1264" spans="1:4" x14ac:dyDescent="0.25">
      <c r="A1264" t="str">
        <f>T("   FR")</f>
        <v xml:space="preserve">   FR</v>
      </c>
      <c r="B1264" t="str">
        <f>T("   France")</f>
        <v xml:space="preserve">   France</v>
      </c>
      <c r="C1264">
        <v>1047568</v>
      </c>
      <c r="D1264">
        <v>1825</v>
      </c>
    </row>
    <row r="1265" spans="1:4" x14ac:dyDescent="0.25">
      <c r="A1265" t="str">
        <f>T("   LB")</f>
        <v xml:space="preserve">   LB</v>
      </c>
      <c r="B1265" t="str">
        <f>T("   Liban")</f>
        <v xml:space="preserve">   Liban</v>
      </c>
      <c r="C1265">
        <v>1759215</v>
      </c>
      <c r="D1265">
        <v>5279</v>
      </c>
    </row>
    <row r="1266" spans="1:4" x14ac:dyDescent="0.25">
      <c r="A1266" t="str">
        <f>T("160419")</f>
        <v>160419</v>
      </c>
      <c r="B1266" t="str">
        <f>T("Préparations et conserves de poissons entiers ou en morceaux (à l'excl. des préparations et conserves de poissons hachés, de saumons, de harengs, de sardines, de sardinelles, de sprats ou esprots, de thons, de listaos, de bonites 'Sarda spp.', de maquerea")</f>
        <v>Préparations et conserves de poissons entiers ou en morceaux (à l'excl. des préparations et conserves de poissons hachés, de saumons, de harengs, de sardines, de sardinelles, de sprats ou esprots, de thons, de listaos, de bonites 'Sarda spp.', de maquerea</v>
      </c>
    </row>
    <row r="1267" spans="1:4" x14ac:dyDescent="0.25">
      <c r="A1267" t="str">
        <f>T("   ZZZ_Monde")</f>
        <v xml:space="preserve">   ZZZ_Monde</v>
      </c>
      <c r="B1267" t="str">
        <f>T("   ZZZ_Monde")</f>
        <v xml:space="preserve">   ZZZ_Monde</v>
      </c>
      <c r="C1267">
        <v>5064135</v>
      </c>
      <c r="D1267">
        <v>5586</v>
      </c>
    </row>
    <row r="1268" spans="1:4" x14ac:dyDescent="0.25">
      <c r="A1268" t="str">
        <f>T("   FR")</f>
        <v xml:space="preserve">   FR</v>
      </c>
      <c r="B1268" t="str">
        <f>T("   France")</f>
        <v xml:space="preserve">   France</v>
      </c>
      <c r="C1268">
        <v>4767374</v>
      </c>
      <c r="D1268">
        <v>4809</v>
      </c>
    </row>
    <row r="1269" spans="1:4" x14ac:dyDescent="0.25">
      <c r="A1269" t="str">
        <f>T("   LB")</f>
        <v xml:space="preserve">   LB</v>
      </c>
      <c r="B1269" t="str">
        <f>T("   Liban")</f>
        <v xml:space="preserve">   Liban</v>
      </c>
      <c r="C1269">
        <v>296761</v>
      </c>
      <c r="D1269">
        <v>777</v>
      </c>
    </row>
    <row r="1270" spans="1:4" x14ac:dyDescent="0.25">
      <c r="A1270" t="str">
        <f>T("160420")</f>
        <v>160420</v>
      </c>
      <c r="B1270" t="str">
        <f>T("Préparations et conserves de poissons (à l'excl. des préparations et conserves de poissons entiers ou en morceaux)")</f>
        <v>Préparations et conserves de poissons (à l'excl. des préparations et conserves de poissons entiers ou en morceaux)</v>
      </c>
    </row>
    <row r="1271" spans="1:4" x14ac:dyDescent="0.25">
      <c r="A1271" t="str">
        <f>T("   ZZZ_Monde")</f>
        <v xml:space="preserve">   ZZZ_Monde</v>
      </c>
      <c r="B1271" t="str">
        <f>T("   ZZZ_Monde")</f>
        <v xml:space="preserve">   ZZZ_Monde</v>
      </c>
      <c r="C1271">
        <v>40226136</v>
      </c>
      <c r="D1271">
        <v>57530</v>
      </c>
    </row>
    <row r="1272" spans="1:4" x14ac:dyDescent="0.25">
      <c r="A1272" t="str">
        <f>T("   BE")</f>
        <v xml:space="preserve">   BE</v>
      </c>
      <c r="B1272" t="str">
        <f>T("   Belgique")</f>
        <v xml:space="preserve">   Belgique</v>
      </c>
      <c r="C1272">
        <v>1339471</v>
      </c>
      <c r="D1272">
        <v>2151</v>
      </c>
    </row>
    <row r="1273" spans="1:4" x14ac:dyDescent="0.25">
      <c r="A1273" t="str">
        <f>T("   FR")</f>
        <v xml:space="preserve">   FR</v>
      </c>
      <c r="B1273" t="str">
        <f>T("   France")</f>
        <v xml:space="preserve">   France</v>
      </c>
      <c r="C1273">
        <v>23850051</v>
      </c>
      <c r="D1273">
        <v>16257</v>
      </c>
    </row>
    <row r="1274" spans="1:4" x14ac:dyDescent="0.25">
      <c r="A1274" t="str">
        <f>T("   TG")</f>
        <v xml:space="preserve">   TG</v>
      </c>
      <c r="B1274" t="str">
        <f>T("   Togo")</f>
        <v xml:space="preserve">   Togo</v>
      </c>
      <c r="C1274">
        <v>196614</v>
      </c>
      <c r="D1274">
        <v>850</v>
      </c>
    </row>
    <row r="1275" spans="1:4" x14ac:dyDescent="0.25">
      <c r="A1275" t="str">
        <f>T("   TH")</f>
        <v xml:space="preserve">   TH</v>
      </c>
      <c r="B1275" t="str">
        <f>T("   Thaïlande")</f>
        <v xml:space="preserve">   Thaïlande</v>
      </c>
      <c r="C1275">
        <v>14840000</v>
      </c>
      <c r="D1275">
        <v>38272</v>
      </c>
    </row>
    <row r="1276" spans="1:4" x14ac:dyDescent="0.25">
      <c r="A1276" t="str">
        <f>T("160520")</f>
        <v>160520</v>
      </c>
      <c r="B1276" t="str">
        <f>T("Crevettes, préparées ou conservées")</f>
        <v>Crevettes, préparées ou conservées</v>
      </c>
    </row>
    <row r="1277" spans="1:4" x14ac:dyDescent="0.25">
      <c r="A1277" t="str">
        <f>T("   ZZZ_Monde")</f>
        <v xml:space="preserve">   ZZZ_Monde</v>
      </c>
      <c r="B1277" t="str">
        <f>T("   ZZZ_Monde")</f>
        <v xml:space="preserve">   ZZZ_Monde</v>
      </c>
      <c r="C1277">
        <v>546150</v>
      </c>
      <c r="D1277">
        <v>3675</v>
      </c>
    </row>
    <row r="1278" spans="1:4" x14ac:dyDescent="0.25">
      <c r="A1278" t="str">
        <f>T("   TG")</f>
        <v xml:space="preserve">   TG</v>
      </c>
      <c r="B1278" t="str">
        <f>T("   Togo")</f>
        <v xml:space="preserve">   Togo</v>
      </c>
      <c r="C1278">
        <v>546150</v>
      </c>
      <c r="D1278">
        <v>3675</v>
      </c>
    </row>
    <row r="1279" spans="1:4" x14ac:dyDescent="0.25">
      <c r="A1279" t="str">
        <f>T("160590")</f>
        <v>160590</v>
      </c>
      <c r="B1279" t="str">
        <f>T("Mollusques et autres invertébrés aquatiques, préparés ou conservés")</f>
        <v>Mollusques et autres invertébrés aquatiques, préparés ou conservés</v>
      </c>
    </row>
    <row r="1280" spans="1:4" x14ac:dyDescent="0.25">
      <c r="A1280" t="str">
        <f>T("   ZZZ_Monde")</f>
        <v xml:space="preserve">   ZZZ_Monde</v>
      </c>
      <c r="B1280" t="str">
        <f>T("   ZZZ_Monde")</f>
        <v xml:space="preserve">   ZZZ_Monde</v>
      </c>
      <c r="C1280">
        <v>43949</v>
      </c>
      <c r="D1280">
        <v>65</v>
      </c>
    </row>
    <row r="1281" spans="1:4" x14ac:dyDescent="0.25">
      <c r="A1281" t="str">
        <f>T("   FR")</f>
        <v xml:space="preserve">   FR</v>
      </c>
      <c r="B1281" t="str">
        <f>T("   France")</f>
        <v xml:space="preserve">   France</v>
      </c>
      <c r="C1281">
        <v>43949</v>
      </c>
      <c r="D1281">
        <v>65</v>
      </c>
    </row>
    <row r="1282" spans="1:4" x14ac:dyDescent="0.25">
      <c r="A1282" t="str">
        <f>T("170111")</f>
        <v>170111</v>
      </c>
      <c r="B1282" t="str">
        <f>T("Sucres de canne, bruts, sans addition d'aromatisants ou de colorants")</f>
        <v>Sucres de canne, bruts, sans addition d'aromatisants ou de colorants</v>
      </c>
    </row>
    <row r="1283" spans="1:4" x14ac:dyDescent="0.25">
      <c r="A1283" t="str">
        <f>T("   ZZZ_Monde")</f>
        <v xml:space="preserve">   ZZZ_Monde</v>
      </c>
      <c r="B1283" t="str">
        <f>T("   ZZZ_Monde")</f>
        <v xml:space="preserve">   ZZZ_Monde</v>
      </c>
      <c r="C1283">
        <v>279350725</v>
      </c>
      <c r="D1283">
        <v>1131853</v>
      </c>
    </row>
    <row r="1284" spans="1:4" x14ac:dyDescent="0.25">
      <c r="A1284" t="str">
        <f>T("   BE")</f>
        <v xml:space="preserve">   BE</v>
      </c>
      <c r="B1284" t="str">
        <f>T("   Belgique")</f>
        <v xml:space="preserve">   Belgique</v>
      </c>
      <c r="C1284">
        <v>132165000</v>
      </c>
      <c r="D1284">
        <v>258071</v>
      </c>
    </row>
    <row r="1285" spans="1:4" x14ac:dyDescent="0.25">
      <c r="A1285" t="str">
        <f>T("   BR")</f>
        <v xml:space="preserve">   BR</v>
      </c>
      <c r="B1285" t="str">
        <f>T("   Brésil")</f>
        <v xml:space="preserve">   Brésil</v>
      </c>
      <c r="C1285">
        <v>77761116</v>
      </c>
      <c r="D1285">
        <v>648000</v>
      </c>
    </row>
    <row r="1286" spans="1:4" x14ac:dyDescent="0.25">
      <c r="A1286" t="str">
        <f>T("   CN")</f>
        <v xml:space="preserve">   CN</v>
      </c>
      <c r="B1286" t="str">
        <f>T("   Chine")</f>
        <v xml:space="preserve">   Chine</v>
      </c>
      <c r="C1286">
        <v>2400000</v>
      </c>
      <c r="D1286">
        <v>13400</v>
      </c>
    </row>
    <row r="1287" spans="1:4" x14ac:dyDescent="0.25">
      <c r="A1287" t="str">
        <f>T("   FR")</f>
        <v xml:space="preserve">   FR</v>
      </c>
      <c r="B1287" t="str">
        <f>T("   France")</f>
        <v xml:space="preserve">   France</v>
      </c>
      <c r="C1287">
        <v>3401809</v>
      </c>
      <c r="D1287">
        <v>3782</v>
      </c>
    </row>
    <row r="1288" spans="1:4" x14ac:dyDescent="0.25">
      <c r="A1288" t="str">
        <f>T("   TG")</f>
        <v xml:space="preserve">   TG</v>
      </c>
      <c r="B1288" t="str">
        <f>T("   Togo")</f>
        <v xml:space="preserve">   Togo</v>
      </c>
      <c r="C1288">
        <v>63622800</v>
      </c>
      <c r="D1288">
        <v>208600</v>
      </c>
    </row>
    <row r="1289" spans="1:4" x14ac:dyDescent="0.25">
      <c r="A1289" t="str">
        <f>T("170191")</f>
        <v>170191</v>
      </c>
      <c r="B1289" t="str">
        <f>T("Sucres de canne ou de betterave, à l'état solide, additionnés d'aromatisants ou de colorants")</f>
        <v>Sucres de canne ou de betterave, à l'état solide, additionnés d'aromatisants ou de colorants</v>
      </c>
    </row>
    <row r="1290" spans="1:4" x14ac:dyDescent="0.25">
      <c r="A1290" t="str">
        <f>T("   ZZZ_Monde")</f>
        <v xml:space="preserve">   ZZZ_Monde</v>
      </c>
      <c r="B1290" t="str">
        <f>T("   ZZZ_Monde")</f>
        <v xml:space="preserve">   ZZZ_Monde</v>
      </c>
      <c r="C1290">
        <v>2604825576.1849999</v>
      </c>
      <c r="D1290">
        <v>15518980</v>
      </c>
    </row>
    <row r="1291" spans="1:4" x14ac:dyDescent="0.25">
      <c r="A1291" t="str">
        <f>T("   BE")</f>
        <v xml:space="preserve">   BE</v>
      </c>
      <c r="B1291" t="str">
        <f>T("   Belgique")</f>
        <v xml:space="preserve">   Belgique</v>
      </c>
      <c r="C1291">
        <v>425229190</v>
      </c>
      <c r="D1291">
        <v>1046787</v>
      </c>
    </row>
    <row r="1292" spans="1:4" x14ac:dyDescent="0.25">
      <c r="A1292" t="str">
        <f>T("   BR")</f>
        <v xml:space="preserve">   BR</v>
      </c>
      <c r="B1292" t="str">
        <f>T("   Brésil")</f>
        <v xml:space="preserve">   Brésil</v>
      </c>
      <c r="C1292">
        <v>995735295.61899996</v>
      </c>
      <c r="D1292">
        <v>6844065</v>
      </c>
    </row>
    <row r="1293" spans="1:4" x14ac:dyDescent="0.25">
      <c r="A1293" t="str">
        <f>T("   CH")</f>
        <v xml:space="preserve">   CH</v>
      </c>
      <c r="B1293" t="str">
        <f>T("   Suisse")</f>
        <v xml:space="preserve">   Suisse</v>
      </c>
      <c r="C1293">
        <v>25200000</v>
      </c>
      <c r="D1293">
        <v>210000</v>
      </c>
    </row>
    <row r="1294" spans="1:4" x14ac:dyDescent="0.25">
      <c r="A1294" t="str">
        <f>T("   FR")</f>
        <v xml:space="preserve">   FR</v>
      </c>
      <c r="B1294" t="str">
        <f>T("   France")</f>
        <v xml:space="preserve">   France</v>
      </c>
      <c r="C1294">
        <v>497390651.00099999</v>
      </c>
      <c r="D1294">
        <v>2547238</v>
      </c>
    </row>
    <row r="1295" spans="1:4" x14ac:dyDescent="0.25">
      <c r="A1295" t="str">
        <f>T("   SG")</f>
        <v xml:space="preserve">   SG</v>
      </c>
      <c r="B1295" t="str">
        <f>T("   Singapour")</f>
        <v xml:space="preserve">   Singapour</v>
      </c>
      <c r="C1295">
        <v>123279941.71600001</v>
      </c>
      <c r="D1295">
        <v>751600</v>
      </c>
    </row>
    <row r="1296" spans="1:4" x14ac:dyDescent="0.25">
      <c r="A1296" t="str">
        <f>T("   TG")</f>
        <v xml:space="preserve">   TG</v>
      </c>
      <c r="B1296" t="str">
        <f>T("   Togo")</f>
        <v xml:space="preserve">   Togo</v>
      </c>
      <c r="C1296">
        <v>312935608.44099998</v>
      </c>
      <c r="D1296">
        <v>2295540</v>
      </c>
    </row>
    <row r="1297" spans="1:4" x14ac:dyDescent="0.25">
      <c r="A1297" t="str">
        <f>T("   TH")</f>
        <v xml:space="preserve">   TH</v>
      </c>
      <c r="B1297" t="str">
        <f>T("   Thaïlande")</f>
        <v xml:space="preserve">   Thaïlande</v>
      </c>
      <c r="C1297">
        <v>213681600</v>
      </c>
      <c r="D1297">
        <v>1775000</v>
      </c>
    </row>
    <row r="1298" spans="1:4" x14ac:dyDescent="0.25">
      <c r="A1298" t="str">
        <f>T("   TR")</f>
        <v xml:space="preserve">   TR</v>
      </c>
      <c r="B1298" t="str">
        <f>T("   Turquie")</f>
        <v xml:space="preserve">   Turquie</v>
      </c>
      <c r="C1298">
        <v>11373289.407</v>
      </c>
      <c r="D1298">
        <v>48750</v>
      </c>
    </row>
    <row r="1299" spans="1:4" x14ac:dyDescent="0.25">
      <c r="A1299" t="str">
        <f>T("170199")</f>
        <v>170199</v>
      </c>
      <c r="B1299" t="str">
        <f>T("Sucres de canne ou de betterave et saccharose chimiquement pur, à l'état solide (à l'excl. des sucres bruts et des sucres de canne ou de betterave additionnés d'aromatisants ou de colorants)")</f>
        <v>Sucres de canne ou de betterave et saccharose chimiquement pur, à l'état solide (à l'excl. des sucres bruts et des sucres de canne ou de betterave additionnés d'aromatisants ou de colorants)</v>
      </c>
    </row>
    <row r="1300" spans="1:4" x14ac:dyDescent="0.25">
      <c r="A1300" t="str">
        <f>T("   ZZZ_Monde")</f>
        <v xml:space="preserve">   ZZZ_Monde</v>
      </c>
      <c r="B1300" t="str">
        <f>T("   ZZZ_Monde")</f>
        <v xml:space="preserve">   ZZZ_Monde</v>
      </c>
      <c r="C1300">
        <v>8214765076.0530005</v>
      </c>
      <c r="D1300">
        <v>39589708</v>
      </c>
    </row>
    <row r="1301" spans="1:4" x14ac:dyDescent="0.25">
      <c r="A1301" t="str">
        <f>T("   AE")</f>
        <v xml:space="preserve">   AE</v>
      </c>
      <c r="B1301" t="str">
        <f>T("   Emirats Arabes Unis")</f>
        <v xml:space="preserve">   Emirats Arabes Unis</v>
      </c>
      <c r="C1301">
        <v>60000000</v>
      </c>
      <c r="D1301">
        <v>500000</v>
      </c>
    </row>
    <row r="1302" spans="1:4" x14ac:dyDescent="0.25">
      <c r="A1302" t="str">
        <f>T("   BE")</f>
        <v xml:space="preserve">   BE</v>
      </c>
      <c r="B1302" t="str">
        <f>T("   Belgique")</f>
        <v xml:space="preserve">   Belgique</v>
      </c>
      <c r="C1302">
        <v>183502896.91800001</v>
      </c>
      <c r="D1302">
        <v>912584</v>
      </c>
    </row>
    <row r="1303" spans="1:4" x14ac:dyDescent="0.25">
      <c r="A1303" t="str">
        <f>T("   BR")</f>
        <v xml:space="preserve">   BR</v>
      </c>
      <c r="B1303" t="str">
        <f>T("   Brésil")</f>
        <v xml:space="preserve">   Brésil</v>
      </c>
      <c r="C1303">
        <v>5184303629.2320004</v>
      </c>
      <c r="D1303">
        <v>25228776</v>
      </c>
    </row>
    <row r="1304" spans="1:4" x14ac:dyDescent="0.25">
      <c r="A1304" t="str">
        <f>T("   CN")</f>
        <v xml:space="preserve">   CN</v>
      </c>
      <c r="B1304" t="str">
        <f>T("   Chine")</f>
        <v xml:space="preserve">   Chine</v>
      </c>
      <c r="C1304">
        <v>50916600</v>
      </c>
      <c r="D1304">
        <v>424305</v>
      </c>
    </row>
    <row r="1305" spans="1:4" x14ac:dyDescent="0.25">
      <c r="A1305" t="str">
        <f>T("   ES")</f>
        <v xml:space="preserve">   ES</v>
      </c>
      <c r="B1305" t="str">
        <f>T("   Espagne")</f>
        <v xml:space="preserve">   Espagne</v>
      </c>
      <c r="C1305">
        <v>66554</v>
      </c>
      <c r="D1305">
        <v>560</v>
      </c>
    </row>
    <row r="1306" spans="1:4" x14ac:dyDescent="0.25">
      <c r="A1306" t="str">
        <f>T("   FR")</f>
        <v xml:space="preserve">   FR</v>
      </c>
      <c r="B1306" t="str">
        <f>T("   France")</f>
        <v xml:space="preserve">   France</v>
      </c>
      <c r="C1306">
        <v>1525197507.1530001</v>
      </c>
      <c r="D1306">
        <v>4971703</v>
      </c>
    </row>
    <row r="1307" spans="1:4" x14ac:dyDescent="0.25">
      <c r="A1307" t="str">
        <f>T("   GB")</f>
        <v xml:space="preserve">   GB</v>
      </c>
      <c r="B1307" t="str">
        <f>T("   Royaume-Uni")</f>
        <v xml:space="preserve">   Royaume-Uni</v>
      </c>
      <c r="C1307">
        <v>16734820</v>
      </c>
      <c r="D1307">
        <v>115700</v>
      </c>
    </row>
    <row r="1308" spans="1:4" x14ac:dyDescent="0.25">
      <c r="A1308" t="str">
        <f>T("   GH")</f>
        <v xml:space="preserve">   GH</v>
      </c>
      <c r="B1308" t="str">
        <f>T("   Ghana")</f>
        <v xml:space="preserve">   Ghana</v>
      </c>
      <c r="C1308">
        <v>13104000</v>
      </c>
      <c r="D1308">
        <v>105050</v>
      </c>
    </row>
    <row r="1309" spans="1:4" x14ac:dyDescent="0.25">
      <c r="A1309" t="str">
        <f>T("   HK")</f>
        <v xml:space="preserve">   HK</v>
      </c>
      <c r="B1309" t="str">
        <f>T("   Hong-Kong")</f>
        <v xml:space="preserve">   Hong-Kong</v>
      </c>
      <c r="C1309">
        <v>22522680</v>
      </c>
      <c r="D1309">
        <v>187689</v>
      </c>
    </row>
    <row r="1310" spans="1:4" x14ac:dyDescent="0.25">
      <c r="A1310" t="str">
        <f>T("   LB")</f>
        <v xml:space="preserve">   LB</v>
      </c>
      <c r="B1310" t="str">
        <f>T("   Liban")</f>
        <v xml:space="preserve">   Liban</v>
      </c>
      <c r="C1310">
        <v>63360</v>
      </c>
      <c r="D1310">
        <v>528</v>
      </c>
    </row>
    <row r="1311" spans="1:4" x14ac:dyDescent="0.25">
      <c r="A1311" t="str">
        <f>T("   SG")</f>
        <v xml:space="preserve">   SG</v>
      </c>
      <c r="B1311" t="str">
        <f>T("   Singapour")</f>
        <v xml:space="preserve">   Singapour</v>
      </c>
      <c r="C1311">
        <v>173147198.96900001</v>
      </c>
      <c r="D1311">
        <v>886600</v>
      </c>
    </row>
    <row r="1312" spans="1:4" x14ac:dyDescent="0.25">
      <c r="A1312" t="str">
        <f>T("   SN")</f>
        <v xml:space="preserve">   SN</v>
      </c>
      <c r="B1312" t="str">
        <f>T("   Sénégal")</f>
        <v xml:space="preserve">   Sénégal</v>
      </c>
      <c r="C1312">
        <v>281520</v>
      </c>
      <c r="D1312">
        <v>2346</v>
      </c>
    </row>
    <row r="1313" spans="1:4" x14ac:dyDescent="0.25">
      <c r="A1313" t="str">
        <f>T("   TG")</f>
        <v xml:space="preserve">   TG</v>
      </c>
      <c r="B1313" t="str">
        <f>T("   Togo")</f>
        <v xml:space="preserve">   Togo</v>
      </c>
      <c r="C1313">
        <v>188052920</v>
      </c>
      <c r="D1313">
        <v>1329645</v>
      </c>
    </row>
    <row r="1314" spans="1:4" x14ac:dyDescent="0.25">
      <c r="A1314" t="str">
        <f>T("   TH")</f>
        <v xml:space="preserve">   TH</v>
      </c>
      <c r="B1314" t="str">
        <f>T("   Thaïlande")</f>
        <v xml:space="preserve">   Thaïlande</v>
      </c>
      <c r="C1314">
        <v>544403234.78100002</v>
      </c>
      <c r="D1314">
        <v>4282160</v>
      </c>
    </row>
    <row r="1315" spans="1:4" x14ac:dyDescent="0.25">
      <c r="A1315" t="str">
        <f>T("   TR")</f>
        <v xml:space="preserve">   TR</v>
      </c>
      <c r="B1315" t="str">
        <f>T("   Turquie")</f>
        <v xml:space="preserve">   Turquie</v>
      </c>
      <c r="C1315">
        <v>42182961</v>
      </c>
      <c r="D1315">
        <v>115782</v>
      </c>
    </row>
    <row r="1316" spans="1:4" x14ac:dyDescent="0.25">
      <c r="A1316" t="str">
        <f>T("   UY")</f>
        <v xml:space="preserve">   UY</v>
      </c>
      <c r="B1316" t="str">
        <f>T("   Uruguay")</f>
        <v xml:space="preserve">   Uruguay</v>
      </c>
      <c r="C1316">
        <v>15000000</v>
      </c>
      <c r="D1316">
        <v>125000</v>
      </c>
    </row>
    <row r="1317" spans="1:4" x14ac:dyDescent="0.25">
      <c r="A1317" t="str">
        <f>T("   ZA")</f>
        <v xml:space="preserve">   ZA</v>
      </c>
      <c r="B1317" t="str">
        <f>T("   Afrique du Sud")</f>
        <v xml:space="preserve">   Afrique du Sud</v>
      </c>
      <c r="C1317">
        <v>195285194</v>
      </c>
      <c r="D1317">
        <v>401280</v>
      </c>
    </row>
    <row r="1318" spans="1:4" x14ac:dyDescent="0.25">
      <c r="A1318" t="str">
        <f>T("170219")</f>
        <v>170219</v>
      </c>
      <c r="B1318" t="str">
        <f>T("Lactose, à l'état solide, et sirop de lactose, sans addition d'aromatisants ou de colorants, contenant en poids &lt; 99% de lactose, exprimé en lactose anhydre calculé sur matière sèche")</f>
        <v>Lactose, à l'état solide, et sirop de lactose, sans addition d'aromatisants ou de colorants, contenant en poids &lt; 99% de lactose, exprimé en lactose anhydre calculé sur matière sèche</v>
      </c>
    </row>
    <row r="1319" spans="1:4" x14ac:dyDescent="0.25">
      <c r="A1319" t="str">
        <f>T("   ZZZ_Monde")</f>
        <v xml:space="preserve">   ZZZ_Monde</v>
      </c>
      <c r="B1319" t="str">
        <f>T("   ZZZ_Monde")</f>
        <v xml:space="preserve">   ZZZ_Monde</v>
      </c>
      <c r="C1319">
        <v>640067</v>
      </c>
      <c r="D1319">
        <v>1587</v>
      </c>
    </row>
    <row r="1320" spans="1:4" x14ac:dyDescent="0.25">
      <c r="A1320" t="str">
        <f>T("   FR")</f>
        <v xml:space="preserve">   FR</v>
      </c>
      <c r="B1320" t="str">
        <f>T("   France")</f>
        <v xml:space="preserve">   France</v>
      </c>
      <c r="C1320">
        <v>589707</v>
      </c>
      <c r="D1320">
        <v>1151</v>
      </c>
    </row>
    <row r="1321" spans="1:4" x14ac:dyDescent="0.25">
      <c r="A1321" t="str">
        <f>T("   LB")</f>
        <v xml:space="preserve">   LB</v>
      </c>
      <c r="B1321" t="str">
        <f>T("   Liban")</f>
        <v xml:space="preserve">   Liban</v>
      </c>
      <c r="C1321">
        <v>50360</v>
      </c>
      <c r="D1321">
        <v>436</v>
      </c>
    </row>
    <row r="1322" spans="1:4" x14ac:dyDescent="0.25">
      <c r="A1322" t="str">
        <f>T("170230")</f>
        <v>170230</v>
      </c>
      <c r="B1322" t="str">
        <f>T("Glucose, à l'état solide, et sirop de glucose, sans addition d'aromatisants ou de colorants, ne contenant pas de fructose ou contenant en poids à l'état sec &lt; 20% de fructose")</f>
        <v>Glucose, à l'état solide, et sirop de glucose, sans addition d'aromatisants ou de colorants, ne contenant pas de fructose ou contenant en poids à l'état sec &lt; 20% de fructose</v>
      </c>
    </row>
    <row r="1323" spans="1:4" x14ac:dyDescent="0.25">
      <c r="A1323" t="str">
        <f>T("   ZZZ_Monde")</f>
        <v xml:space="preserve">   ZZZ_Monde</v>
      </c>
      <c r="B1323" t="str">
        <f>T("   ZZZ_Monde")</f>
        <v xml:space="preserve">   ZZZ_Monde</v>
      </c>
      <c r="C1323">
        <v>850820</v>
      </c>
      <c r="D1323">
        <v>958</v>
      </c>
    </row>
    <row r="1324" spans="1:4" x14ac:dyDescent="0.25">
      <c r="A1324" t="str">
        <f>T("   BE")</f>
        <v xml:space="preserve">   BE</v>
      </c>
      <c r="B1324" t="str">
        <f>T("   Belgique")</f>
        <v xml:space="preserve">   Belgique</v>
      </c>
      <c r="C1324">
        <v>833109</v>
      </c>
      <c r="D1324">
        <v>584</v>
      </c>
    </row>
    <row r="1325" spans="1:4" x14ac:dyDescent="0.25">
      <c r="A1325" t="str">
        <f>T("   FR")</f>
        <v xml:space="preserve">   FR</v>
      </c>
      <c r="B1325" t="str">
        <f>T("   France")</f>
        <v xml:space="preserve">   France</v>
      </c>
      <c r="C1325">
        <v>17711</v>
      </c>
      <c r="D1325">
        <v>374</v>
      </c>
    </row>
    <row r="1326" spans="1:4" x14ac:dyDescent="0.25">
      <c r="A1326" t="str">
        <f>T("170240")</f>
        <v>170240</v>
      </c>
      <c r="B1326" t="str">
        <f>T("Glucose, à l'état solide, et sirop de glucose, sans addition d'aromatisants ou de colorants, contenant en poids à l'état sec &gt;= 20% mais &lt; 50% de fructose (à l'excl. du sucre inverti [ou interverti])")</f>
        <v>Glucose, à l'état solide, et sirop de glucose, sans addition d'aromatisants ou de colorants, contenant en poids à l'état sec &gt;= 20% mais &lt; 50% de fructose (à l'excl. du sucre inverti [ou interverti])</v>
      </c>
    </row>
    <row r="1327" spans="1:4" x14ac:dyDescent="0.25">
      <c r="A1327" t="str">
        <f>T("   ZZZ_Monde")</f>
        <v xml:space="preserve">   ZZZ_Monde</v>
      </c>
      <c r="B1327" t="str">
        <f>T("   ZZZ_Monde")</f>
        <v xml:space="preserve">   ZZZ_Monde</v>
      </c>
      <c r="C1327">
        <v>40670</v>
      </c>
      <c r="D1327">
        <v>347</v>
      </c>
    </row>
    <row r="1328" spans="1:4" x14ac:dyDescent="0.25">
      <c r="A1328" t="str">
        <f>T("   FR")</f>
        <v xml:space="preserve">   FR</v>
      </c>
      <c r="B1328" t="str">
        <f>T("   France")</f>
        <v xml:space="preserve">   France</v>
      </c>
      <c r="C1328">
        <v>40670</v>
      </c>
      <c r="D1328">
        <v>347</v>
      </c>
    </row>
    <row r="1329" spans="1:4" x14ac:dyDescent="0.25">
      <c r="A1329" t="str">
        <f>T("170260")</f>
        <v>170260</v>
      </c>
      <c r="B1329" t="str">
        <f>T("Fructose, à l'état solide, et sirop de fructose, sans addition d'aromatisants ou de colorants, contenant en poids à l'état sec &gt; 50% de fructose (à l'excl. du fructose chimiquement pur et du sucre inverti [ou interverti])")</f>
        <v>Fructose, à l'état solide, et sirop de fructose, sans addition d'aromatisants ou de colorants, contenant en poids à l'état sec &gt; 50% de fructose (à l'excl. du fructose chimiquement pur et du sucre inverti [ou interverti])</v>
      </c>
    </row>
    <row r="1330" spans="1:4" x14ac:dyDescent="0.25">
      <c r="A1330" t="str">
        <f>T("   ZZZ_Monde")</f>
        <v xml:space="preserve">   ZZZ_Monde</v>
      </c>
      <c r="B1330" t="str">
        <f>T("   ZZZ_Monde")</f>
        <v xml:space="preserve">   ZZZ_Monde</v>
      </c>
      <c r="C1330">
        <v>243361</v>
      </c>
      <c r="D1330">
        <v>64</v>
      </c>
    </row>
    <row r="1331" spans="1:4" x14ac:dyDescent="0.25">
      <c r="A1331" t="str">
        <f>T("   FR")</f>
        <v xml:space="preserve">   FR</v>
      </c>
      <c r="B1331" t="str">
        <f>T("   France")</f>
        <v xml:space="preserve">   France</v>
      </c>
      <c r="C1331">
        <v>243361</v>
      </c>
      <c r="D1331">
        <v>64</v>
      </c>
    </row>
    <row r="1332" spans="1:4" x14ac:dyDescent="0.25">
      <c r="A1332" t="str">
        <f>T("170290")</f>
        <v>170290</v>
      </c>
      <c r="B1332" t="str">
        <f>T("Sucres, y.c. le sucre inverti [ou interverti] et le maltose chimiquement pur, à l'état solide, sucres et sirops de sucres contenant en poids à l'état sec 50% de fructose, sans addition d'aromatisants ou de colorants, succédanés du miel, même mélangés de m")</f>
        <v>Sucres, y.c. le sucre inverti [ou interverti] et le maltose chimiquement pur, à l'état solide, sucres et sirops de sucres contenant en poids à l'état sec 50% de fructose, sans addition d'aromatisants ou de colorants, succédanés du miel, même mélangés de m</v>
      </c>
    </row>
    <row r="1333" spans="1:4" x14ac:dyDescent="0.25">
      <c r="A1333" t="str">
        <f>T("   ZZZ_Monde")</f>
        <v xml:space="preserve">   ZZZ_Monde</v>
      </c>
      <c r="B1333" t="str">
        <f>T("   ZZZ_Monde")</f>
        <v xml:space="preserve">   ZZZ_Monde</v>
      </c>
      <c r="C1333">
        <v>9460085</v>
      </c>
      <c r="D1333">
        <v>6911</v>
      </c>
    </row>
    <row r="1334" spans="1:4" x14ac:dyDescent="0.25">
      <c r="A1334" t="str">
        <f>T("   DE")</f>
        <v xml:space="preserve">   DE</v>
      </c>
      <c r="B1334" t="str">
        <f>T("   Allemagne")</f>
        <v xml:space="preserve">   Allemagne</v>
      </c>
      <c r="C1334">
        <v>1470006</v>
      </c>
      <c r="D1334">
        <v>989</v>
      </c>
    </row>
    <row r="1335" spans="1:4" x14ac:dyDescent="0.25">
      <c r="A1335" t="str">
        <f>T("   FR")</f>
        <v xml:space="preserve">   FR</v>
      </c>
      <c r="B1335" t="str">
        <f>T("   France")</f>
        <v xml:space="preserve">   France</v>
      </c>
      <c r="C1335">
        <v>4747890</v>
      </c>
      <c r="D1335">
        <v>3462</v>
      </c>
    </row>
    <row r="1336" spans="1:4" x14ac:dyDescent="0.25">
      <c r="A1336" t="str">
        <f>T("   IE")</f>
        <v xml:space="preserve">   IE</v>
      </c>
      <c r="B1336" t="str">
        <f>T("   Irlande")</f>
        <v xml:space="preserve">   Irlande</v>
      </c>
      <c r="C1336">
        <v>3099916</v>
      </c>
      <c r="D1336">
        <v>2335</v>
      </c>
    </row>
    <row r="1337" spans="1:4" x14ac:dyDescent="0.25">
      <c r="A1337" t="str">
        <f>T("   IN")</f>
        <v xml:space="preserve">   IN</v>
      </c>
      <c r="B1337" t="str">
        <f>T("   Inde")</f>
        <v xml:space="preserve">   Inde</v>
      </c>
      <c r="C1337">
        <v>142273</v>
      </c>
      <c r="D1337">
        <v>125</v>
      </c>
    </row>
    <row r="1338" spans="1:4" x14ac:dyDescent="0.25">
      <c r="A1338" t="str">
        <f>T("170410")</f>
        <v>170410</v>
      </c>
      <c r="B1338" t="str">
        <f>T("Gommes à mâcher [chewing-gum], même enrobées de sucre")</f>
        <v>Gommes à mâcher [chewing-gum], même enrobées de sucre</v>
      </c>
    </row>
    <row r="1339" spans="1:4" x14ac:dyDescent="0.25">
      <c r="A1339" t="str">
        <f>T("   ZZZ_Monde")</f>
        <v xml:space="preserve">   ZZZ_Monde</v>
      </c>
      <c r="B1339" t="str">
        <f>T("   ZZZ_Monde")</f>
        <v xml:space="preserve">   ZZZ_Monde</v>
      </c>
      <c r="C1339">
        <v>302128913</v>
      </c>
      <c r="D1339">
        <v>912058</v>
      </c>
    </row>
    <row r="1340" spans="1:4" x14ac:dyDescent="0.25">
      <c r="A1340" t="str">
        <f>T("   AE")</f>
        <v xml:space="preserve">   AE</v>
      </c>
      <c r="B1340" t="str">
        <f>T("   Emirats Arabes Unis")</f>
        <v xml:space="preserve">   Emirats Arabes Unis</v>
      </c>
      <c r="C1340">
        <v>3483148</v>
      </c>
      <c r="D1340">
        <v>22560</v>
      </c>
    </row>
    <row r="1341" spans="1:4" x14ac:dyDescent="0.25">
      <c r="A1341" t="str">
        <f>T("   CI")</f>
        <v xml:space="preserve">   CI</v>
      </c>
      <c r="B1341" t="str">
        <f>T("   Côte d'Ivoire")</f>
        <v xml:space="preserve">   Côte d'Ivoire</v>
      </c>
      <c r="C1341">
        <v>6990716</v>
      </c>
      <c r="D1341">
        <v>13320</v>
      </c>
    </row>
    <row r="1342" spans="1:4" x14ac:dyDescent="0.25">
      <c r="A1342" t="str">
        <f>T("   CN")</f>
        <v xml:space="preserve">   CN</v>
      </c>
      <c r="B1342" t="str">
        <f>T("   Chine")</f>
        <v xml:space="preserve">   Chine</v>
      </c>
      <c r="C1342">
        <v>216998785</v>
      </c>
      <c r="D1342">
        <v>563976</v>
      </c>
    </row>
    <row r="1343" spans="1:4" x14ac:dyDescent="0.25">
      <c r="A1343" t="str">
        <f>T("   FR")</f>
        <v xml:space="preserve">   FR</v>
      </c>
      <c r="B1343" t="str">
        <f>T("   France")</f>
        <v xml:space="preserve">   France</v>
      </c>
      <c r="C1343">
        <v>446053</v>
      </c>
      <c r="D1343">
        <v>718</v>
      </c>
    </row>
    <row r="1344" spans="1:4" x14ac:dyDescent="0.25">
      <c r="A1344" t="str">
        <f>T("   ID")</f>
        <v xml:space="preserve">   ID</v>
      </c>
      <c r="B1344" t="str">
        <f>T("   Indonésie")</f>
        <v xml:space="preserve">   Indonésie</v>
      </c>
      <c r="C1344">
        <v>5462840</v>
      </c>
      <c r="D1344">
        <v>29344</v>
      </c>
    </row>
    <row r="1345" spans="1:4" x14ac:dyDescent="0.25">
      <c r="A1345" t="str">
        <f>T("   LB")</f>
        <v xml:space="preserve">   LB</v>
      </c>
      <c r="B1345" t="str">
        <f>T("   Liban")</f>
        <v xml:space="preserve">   Liban</v>
      </c>
      <c r="C1345">
        <v>7815272</v>
      </c>
      <c r="D1345">
        <v>10804</v>
      </c>
    </row>
    <row r="1346" spans="1:4" x14ac:dyDescent="0.25">
      <c r="A1346" t="str">
        <f>T("   NG")</f>
        <v xml:space="preserve">   NG</v>
      </c>
      <c r="B1346" t="str">
        <f>T("   Nigéria")</f>
        <v xml:space="preserve">   Nigéria</v>
      </c>
      <c r="C1346">
        <v>1077750</v>
      </c>
      <c r="D1346">
        <v>2395</v>
      </c>
    </row>
    <row r="1347" spans="1:4" x14ac:dyDescent="0.25">
      <c r="A1347" t="str">
        <f>T("   SG")</f>
        <v xml:space="preserve">   SG</v>
      </c>
      <c r="B1347" t="str">
        <f>T("   Singapour")</f>
        <v xml:space="preserve">   Singapour</v>
      </c>
      <c r="C1347">
        <v>3360190</v>
      </c>
      <c r="D1347">
        <v>31500</v>
      </c>
    </row>
    <row r="1348" spans="1:4" x14ac:dyDescent="0.25">
      <c r="A1348" t="str">
        <f>T("   TG")</f>
        <v xml:space="preserve">   TG</v>
      </c>
      <c r="B1348" t="str">
        <f>T("   Togo")</f>
        <v xml:space="preserve">   Togo</v>
      </c>
      <c r="C1348">
        <v>56494159</v>
      </c>
      <c r="D1348">
        <v>237441</v>
      </c>
    </row>
    <row r="1349" spans="1:4" x14ac:dyDescent="0.25">
      <c r="A1349" t="str">
        <f>T("170490")</f>
        <v>170490</v>
      </c>
      <c r="B1349" t="str">
        <f>T("Sucreries sans cacao, y.c. le chocolat blanc (à l'excl. des gommes à mâcher)")</f>
        <v>Sucreries sans cacao, y.c. le chocolat blanc (à l'excl. des gommes à mâcher)</v>
      </c>
    </row>
    <row r="1350" spans="1:4" x14ac:dyDescent="0.25">
      <c r="A1350" t="str">
        <f>T("   ZZZ_Monde")</f>
        <v xml:space="preserve">   ZZZ_Monde</v>
      </c>
      <c r="B1350" t="str">
        <f>T("   ZZZ_Monde")</f>
        <v xml:space="preserve">   ZZZ_Monde</v>
      </c>
      <c r="C1350">
        <v>2039158537</v>
      </c>
      <c r="D1350">
        <v>7886432.2400000002</v>
      </c>
    </row>
    <row r="1351" spans="1:4" x14ac:dyDescent="0.25">
      <c r="A1351" t="str">
        <f>T("   AE")</f>
        <v xml:space="preserve">   AE</v>
      </c>
      <c r="B1351" t="str">
        <f>T("   Emirats Arabes Unis")</f>
        <v xml:space="preserve">   Emirats Arabes Unis</v>
      </c>
      <c r="C1351">
        <v>23049505</v>
      </c>
      <c r="D1351">
        <v>44049</v>
      </c>
    </row>
    <row r="1352" spans="1:4" x14ac:dyDescent="0.25">
      <c r="A1352" t="str">
        <f>T("   BE")</f>
        <v xml:space="preserve">   BE</v>
      </c>
      <c r="B1352" t="str">
        <f>T("   Belgique")</f>
        <v xml:space="preserve">   Belgique</v>
      </c>
      <c r="C1352">
        <v>4584793</v>
      </c>
      <c r="D1352">
        <v>2061</v>
      </c>
    </row>
    <row r="1353" spans="1:4" x14ac:dyDescent="0.25">
      <c r="A1353" t="str">
        <f>T("   CI")</f>
        <v xml:space="preserve">   CI</v>
      </c>
      <c r="B1353" t="str">
        <f>T("   Côte d'Ivoire")</f>
        <v xml:space="preserve">   Côte d'Ivoire</v>
      </c>
      <c r="C1353">
        <v>12012145</v>
      </c>
      <c r="D1353">
        <v>33615</v>
      </c>
    </row>
    <row r="1354" spans="1:4" x14ac:dyDescent="0.25">
      <c r="A1354" t="str">
        <f>T("   CN")</f>
        <v xml:space="preserve">   CN</v>
      </c>
      <c r="B1354" t="str">
        <f>T("   Chine")</f>
        <v xml:space="preserve">   Chine</v>
      </c>
      <c r="C1354">
        <v>937881693</v>
      </c>
      <c r="D1354">
        <v>2959010.24</v>
      </c>
    </row>
    <row r="1355" spans="1:4" x14ac:dyDescent="0.25">
      <c r="A1355" t="str">
        <f>T("   CO")</f>
        <v xml:space="preserve">   CO</v>
      </c>
      <c r="B1355" t="str">
        <f>T("   Colombie")</f>
        <v xml:space="preserve">   Colombie</v>
      </c>
      <c r="C1355">
        <v>10932230</v>
      </c>
      <c r="D1355">
        <v>40356</v>
      </c>
    </row>
    <row r="1356" spans="1:4" x14ac:dyDescent="0.25">
      <c r="A1356" t="str">
        <f>T("   DE")</f>
        <v xml:space="preserve">   DE</v>
      </c>
      <c r="B1356" t="str">
        <f>T("   Allemagne")</f>
        <v xml:space="preserve">   Allemagne</v>
      </c>
      <c r="C1356">
        <v>65596</v>
      </c>
      <c r="D1356">
        <v>30</v>
      </c>
    </row>
    <row r="1357" spans="1:4" x14ac:dyDescent="0.25">
      <c r="A1357" t="str">
        <f>T("   ES")</f>
        <v xml:space="preserve">   ES</v>
      </c>
      <c r="B1357" t="str">
        <f>T("   Espagne")</f>
        <v xml:space="preserve">   Espagne</v>
      </c>
      <c r="C1357">
        <v>17217638</v>
      </c>
      <c r="D1357">
        <v>33167</v>
      </c>
    </row>
    <row r="1358" spans="1:4" x14ac:dyDescent="0.25">
      <c r="A1358" t="str">
        <f>T("   FR")</f>
        <v xml:space="preserve">   FR</v>
      </c>
      <c r="B1358" t="str">
        <f>T("   France")</f>
        <v xml:space="preserve">   France</v>
      </c>
      <c r="C1358">
        <v>76494947</v>
      </c>
      <c r="D1358">
        <v>74390</v>
      </c>
    </row>
    <row r="1359" spans="1:4" x14ac:dyDescent="0.25">
      <c r="A1359" t="str">
        <f>T("   GH")</f>
        <v xml:space="preserve">   GH</v>
      </c>
      <c r="B1359" t="str">
        <f>T("   Ghana")</f>
        <v xml:space="preserve">   Ghana</v>
      </c>
      <c r="C1359">
        <v>84816800</v>
      </c>
      <c r="D1359">
        <v>454760</v>
      </c>
    </row>
    <row r="1360" spans="1:4" x14ac:dyDescent="0.25">
      <c r="A1360" t="str">
        <f>T("   HK")</f>
        <v xml:space="preserve">   HK</v>
      </c>
      <c r="B1360" t="str">
        <f>T("   Hong-Kong")</f>
        <v xml:space="preserve">   Hong-Kong</v>
      </c>
      <c r="C1360">
        <v>12419302</v>
      </c>
      <c r="D1360">
        <v>47443</v>
      </c>
    </row>
    <row r="1361" spans="1:4" x14ac:dyDescent="0.25">
      <c r="A1361" t="str">
        <f>T("   ID")</f>
        <v xml:space="preserve">   ID</v>
      </c>
      <c r="B1361" t="str">
        <f>T("   Indonésie")</f>
        <v xml:space="preserve">   Indonésie</v>
      </c>
      <c r="C1361">
        <v>20334820</v>
      </c>
      <c r="D1361">
        <v>115200</v>
      </c>
    </row>
    <row r="1362" spans="1:4" x14ac:dyDescent="0.25">
      <c r="A1362" t="str">
        <f>T("   IN")</f>
        <v xml:space="preserve">   IN</v>
      </c>
      <c r="B1362" t="str">
        <f>T("   Inde")</f>
        <v xml:space="preserve">   Inde</v>
      </c>
      <c r="C1362">
        <v>164136383</v>
      </c>
      <c r="D1362">
        <v>832011</v>
      </c>
    </row>
    <row r="1363" spans="1:4" x14ac:dyDescent="0.25">
      <c r="A1363" t="str">
        <f>T("   LB")</f>
        <v xml:space="preserve">   LB</v>
      </c>
      <c r="B1363" t="str">
        <f>T("   Liban")</f>
        <v xml:space="preserve">   Liban</v>
      </c>
      <c r="C1363">
        <v>38041164</v>
      </c>
      <c r="D1363">
        <v>125542</v>
      </c>
    </row>
    <row r="1364" spans="1:4" x14ac:dyDescent="0.25">
      <c r="A1364" t="str">
        <f>T("   MA")</f>
        <v xml:space="preserve">   MA</v>
      </c>
      <c r="B1364" t="str">
        <f>T("   Maroc")</f>
        <v xml:space="preserve">   Maroc</v>
      </c>
      <c r="C1364">
        <v>5469394</v>
      </c>
      <c r="D1364">
        <v>25133</v>
      </c>
    </row>
    <row r="1365" spans="1:4" x14ac:dyDescent="0.25">
      <c r="A1365" t="str">
        <f>T("   MH")</f>
        <v xml:space="preserve">   MH</v>
      </c>
      <c r="B1365" t="str">
        <f>T("   Marshall, îles")</f>
        <v xml:space="preserve">   Marshall, îles</v>
      </c>
      <c r="C1365">
        <v>3950000</v>
      </c>
      <c r="D1365">
        <v>12789</v>
      </c>
    </row>
    <row r="1366" spans="1:4" x14ac:dyDescent="0.25">
      <c r="A1366" t="str">
        <f>T("   NG")</f>
        <v xml:space="preserve">   NG</v>
      </c>
      <c r="B1366" t="str">
        <f>T("   Nigéria")</f>
        <v xml:space="preserve">   Nigéria</v>
      </c>
      <c r="C1366">
        <v>8948400</v>
      </c>
      <c r="D1366">
        <v>25943</v>
      </c>
    </row>
    <row r="1367" spans="1:4" x14ac:dyDescent="0.25">
      <c r="A1367" t="str">
        <f>T("   SG")</f>
        <v xml:space="preserve">   SG</v>
      </c>
      <c r="B1367" t="str">
        <f>T("   Singapour")</f>
        <v xml:space="preserve">   Singapour</v>
      </c>
      <c r="C1367">
        <v>17923026</v>
      </c>
      <c r="D1367">
        <v>93359</v>
      </c>
    </row>
    <row r="1368" spans="1:4" x14ac:dyDescent="0.25">
      <c r="A1368" t="str">
        <f>T("   TG")</f>
        <v xml:space="preserve">   TG</v>
      </c>
      <c r="B1368" t="str">
        <f>T("   Togo")</f>
        <v xml:space="preserve">   Togo</v>
      </c>
      <c r="C1368">
        <v>446193630</v>
      </c>
      <c r="D1368">
        <v>2411780</v>
      </c>
    </row>
    <row r="1369" spans="1:4" x14ac:dyDescent="0.25">
      <c r="A1369" t="str">
        <f>T("   TH")</f>
        <v xml:space="preserve">   TH</v>
      </c>
      <c r="B1369" t="str">
        <f>T("   Thaïlande")</f>
        <v xml:space="preserve">   Thaïlande</v>
      </c>
      <c r="C1369">
        <v>10920000</v>
      </c>
      <c r="D1369">
        <v>21197</v>
      </c>
    </row>
    <row r="1370" spans="1:4" x14ac:dyDescent="0.25">
      <c r="A1370" t="str">
        <f>T("   TR")</f>
        <v xml:space="preserve">   TR</v>
      </c>
      <c r="B1370" t="str">
        <f>T("   Turquie")</f>
        <v xml:space="preserve">   Turquie</v>
      </c>
      <c r="C1370">
        <v>89915744</v>
      </c>
      <c r="D1370">
        <v>301361</v>
      </c>
    </row>
    <row r="1371" spans="1:4" x14ac:dyDescent="0.25">
      <c r="A1371" t="str">
        <f>T("   US")</f>
        <v xml:space="preserve">   US</v>
      </c>
      <c r="B1371" t="str">
        <f>T("   Etats-Unis")</f>
        <v xml:space="preserve">   Etats-Unis</v>
      </c>
      <c r="C1371">
        <v>53851327</v>
      </c>
      <c r="D1371">
        <v>233236</v>
      </c>
    </row>
    <row r="1372" spans="1:4" x14ac:dyDescent="0.25">
      <c r="A1372" t="str">
        <f>T("180100")</f>
        <v>180100</v>
      </c>
      <c r="B1372" t="str">
        <f>T("Cacao en fèves et brisures de fèves, bruts ou torréfiés")</f>
        <v>Cacao en fèves et brisures de fèves, bruts ou torréfiés</v>
      </c>
    </row>
    <row r="1373" spans="1:4" x14ac:dyDescent="0.25">
      <c r="A1373" t="str">
        <f>T("   ZZZ_Monde")</f>
        <v xml:space="preserve">   ZZZ_Monde</v>
      </c>
      <c r="B1373" t="str">
        <f>T("   ZZZ_Monde")</f>
        <v xml:space="preserve">   ZZZ_Monde</v>
      </c>
      <c r="C1373">
        <v>529000</v>
      </c>
      <c r="D1373">
        <v>23304</v>
      </c>
    </row>
    <row r="1374" spans="1:4" x14ac:dyDescent="0.25">
      <c r="A1374" t="str">
        <f>T("   Z2")</f>
        <v xml:space="preserve">   Z2</v>
      </c>
      <c r="B1374" t="str">
        <f>T("   Pays non défini")</f>
        <v xml:space="preserve">   Pays non défini</v>
      </c>
      <c r="C1374">
        <v>529000</v>
      </c>
      <c r="D1374">
        <v>23304</v>
      </c>
    </row>
    <row r="1375" spans="1:4" x14ac:dyDescent="0.25">
      <c r="A1375" t="str">
        <f>T("180200")</f>
        <v>180200</v>
      </c>
      <c r="B1375" t="str">
        <f>T("Coques, pellicules [pelures] et autres déchets de cacao")</f>
        <v>Coques, pellicules [pelures] et autres déchets de cacao</v>
      </c>
    </row>
    <row r="1376" spans="1:4" x14ac:dyDescent="0.25">
      <c r="A1376" t="str">
        <f>T("   ZZZ_Monde")</f>
        <v xml:space="preserve">   ZZZ_Monde</v>
      </c>
      <c r="B1376" t="str">
        <f>T("   ZZZ_Monde")</f>
        <v xml:space="preserve">   ZZZ_Monde</v>
      </c>
      <c r="C1376">
        <v>13171329</v>
      </c>
      <c r="D1376">
        <v>624758</v>
      </c>
    </row>
    <row r="1377" spans="1:4" x14ac:dyDescent="0.25">
      <c r="A1377" t="str">
        <f>T("   FR")</f>
        <v xml:space="preserve">   FR</v>
      </c>
      <c r="B1377" t="str">
        <f>T("   France")</f>
        <v xml:space="preserve">   France</v>
      </c>
      <c r="C1377">
        <v>1630717</v>
      </c>
      <c r="D1377">
        <v>182</v>
      </c>
    </row>
    <row r="1378" spans="1:4" x14ac:dyDescent="0.25">
      <c r="A1378" t="str">
        <f>T("   GH")</f>
        <v xml:space="preserve">   GH</v>
      </c>
      <c r="B1378" t="str">
        <f>T("   Ghana")</f>
        <v xml:space="preserve">   Ghana</v>
      </c>
      <c r="C1378">
        <v>516605</v>
      </c>
      <c r="D1378">
        <v>1750</v>
      </c>
    </row>
    <row r="1379" spans="1:4" x14ac:dyDescent="0.25">
      <c r="A1379" t="str">
        <f>T("   TG")</f>
        <v xml:space="preserve">   TG</v>
      </c>
      <c r="B1379" t="str">
        <f>T("   Togo")</f>
        <v xml:space="preserve">   Togo</v>
      </c>
      <c r="C1379">
        <v>11024007</v>
      </c>
      <c r="D1379">
        <v>622826</v>
      </c>
    </row>
    <row r="1380" spans="1:4" x14ac:dyDescent="0.25">
      <c r="A1380" t="str">
        <f>T("180320")</f>
        <v>180320</v>
      </c>
      <c r="B1380" t="str">
        <f>T("Pâte de cacao, complètement ou partiellement dégraissée")</f>
        <v>Pâte de cacao, complètement ou partiellement dégraissée</v>
      </c>
    </row>
    <row r="1381" spans="1:4" x14ac:dyDescent="0.25">
      <c r="A1381" t="str">
        <f>T("   ZZZ_Monde")</f>
        <v xml:space="preserve">   ZZZ_Monde</v>
      </c>
      <c r="B1381" t="str">
        <f>T("   ZZZ_Monde")</f>
        <v xml:space="preserve">   ZZZ_Monde</v>
      </c>
      <c r="C1381">
        <v>885000</v>
      </c>
      <c r="D1381">
        <v>24540</v>
      </c>
    </row>
    <row r="1382" spans="1:4" x14ac:dyDescent="0.25">
      <c r="A1382" t="str">
        <f>T("   Z2")</f>
        <v xml:space="preserve">   Z2</v>
      </c>
      <c r="B1382" t="str">
        <f>T("   Pays non défini")</f>
        <v xml:space="preserve">   Pays non défini</v>
      </c>
      <c r="C1382">
        <v>885000</v>
      </c>
      <c r="D1382">
        <v>24540</v>
      </c>
    </row>
    <row r="1383" spans="1:4" x14ac:dyDescent="0.25">
      <c r="A1383" t="str">
        <f>T("180500")</f>
        <v>180500</v>
      </c>
      <c r="B1383" t="str">
        <f>T("Poudre de cacao, sans addition de sucre ou d'autres édulcorants")</f>
        <v>Poudre de cacao, sans addition de sucre ou d'autres édulcorants</v>
      </c>
    </row>
    <row r="1384" spans="1:4" x14ac:dyDescent="0.25">
      <c r="A1384" t="str">
        <f>T("   ZZZ_Monde")</f>
        <v xml:space="preserve">   ZZZ_Monde</v>
      </c>
      <c r="B1384" t="str">
        <f>T("   ZZZ_Monde")</f>
        <v xml:space="preserve">   ZZZ_Monde</v>
      </c>
      <c r="C1384">
        <v>16179393</v>
      </c>
      <c r="D1384">
        <v>36851</v>
      </c>
    </row>
    <row r="1385" spans="1:4" x14ac:dyDescent="0.25">
      <c r="A1385" t="str">
        <f>T("   FR")</f>
        <v xml:space="preserve">   FR</v>
      </c>
      <c r="B1385" t="str">
        <f>T("   France")</f>
        <v xml:space="preserve">   France</v>
      </c>
      <c r="C1385">
        <v>10776766</v>
      </c>
      <c r="D1385">
        <v>17342</v>
      </c>
    </row>
    <row r="1386" spans="1:4" x14ac:dyDescent="0.25">
      <c r="A1386" t="str">
        <f>T("   IN")</f>
        <v xml:space="preserve">   IN</v>
      </c>
      <c r="B1386" t="str">
        <f>T("   Inde")</f>
        <v xml:space="preserve">   Inde</v>
      </c>
      <c r="C1386">
        <v>5402627</v>
      </c>
      <c r="D1386">
        <v>19509</v>
      </c>
    </row>
    <row r="1387" spans="1:4" x14ac:dyDescent="0.25">
      <c r="A1387" t="str">
        <f>T("180610")</f>
        <v>180610</v>
      </c>
      <c r="B1387" t="str">
        <f>T("Poudre de cacao, additionnée de sucre ou d'autres édulcorants")</f>
        <v>Poudre de cacao, additionnée de sucre ou d'autres édulcorants</v>
      </c>
    </row>
    <row r="1388" spans="1:4" x14ac:dyDescent="0.25">
      <c r="A1388" t="str">
        <f>T("   ZZZ_Monde")</f>
        <v xml:space="preserve">   ZZZ_Monde</v>
      </c>
      <c r="B1388" t="str">
        <f>T("   ZZZ_Monde")</f>
        <v xml:space="preserve">   ZZZ_Monde</v>
      </c>
      <c r="C1388">
        <v>129647876</v>
      </c>
      <c r="D1388">
        <v>306168</v>
      </c>
    </row>
    <row r="1389" spans="1:4" x14ac:dyDescent="0.25">
      <c r="A1389" t="str">
        <f>T("   CN")</f>
        <v xml:space="preserve">   CN</v>
      </c>
      <c r="B1389" t="str">
        <f>T("   Chine")</f>
        <v xml:space="preserve">   Chine</v>
      </c>
      <c r="C1389">
        <v>39117372</v>
      </c>
      <c r="D1389">
        <v>82790</v>
      </c>
    </row>
    <row r="1390" spans="1:4" x14ac:dyDescent="0.25">
      <c r="A1390" t="str">
        <f>T("   FR")</f>
        <v xml:space="preserve">   FR</v>
      </c>
      <c r="B1390" t="str">
        <f>T("   France")</f>
        <v xml:space="preserve">   France</v>
      </c>
      <c r="C1390">
        <v>20674635</v>
      </c>
      <c r="D1390">
        <v>29796</v>
      </c>
    </row>
    <row r="1391" spans="1:4" x14ac:dyDescent="0.25">
      <c r="A1391" t="str">
        <f>T("   GH")</f>
        <v xml:space="preserve">   GH</v>
      </c>
      <c r="B1391" t="str">
        <f>T("   Ghana")</f>
        <v xml:space="preserve">   Ghana</v>
      </c>
      <c r="C1391">
        <v>3340000</v>
      </c>
      <c r="D1391">
        <v>18634</v>
      </c>
    </row>
    <row r="1392" spans="1:4" x14ac:dyDescent="0.25">
      <c r="A1392" t="str">
        <f>T("   HK")</f>
        <v xml:space="preserve">   HK</v>
      </c>
      <c r="B1392" t="str">
        <f>T("   Hong-Kong")</f>
        <v xml:space="preserve">   Hong-Kong</v>
      </c>
      <c r="C1392">
        <v>27320522</v>
      </c>
      <c r="D1392">
        <v>72449</v>
      </c>
    </row>
    <row r="1393" spans="1:4" x14ac:dyDescent="0.25">
      <c r="A1393" t="str">
        <f>T("   IN")</f>
        <v xml:space="preserve">   IN</v>
      </c>
      <c r="B1393" t="str">
        <f>T("   Inde")</f>
        <v xml:space="preserve">   Inde</v>
      </c>
      <c r="C1393">
        <v>27488520</v>
      </c>
      <c r="D1393">
        <v>47300</v>
      </c>
    </row>
    <row r="1394" spans="1:4" x14ac:dyDescent="0.25">
      <c r="A1394" t="str">
        <f>T("   LB")</f>
        <v xml:space="preserve">   LB</v>
      </c>
      <c r="B1394" t="str">
        <f>T("   Liban")</f>
        <v xml:space="preserve">   Liban</v>
      </c>
      <c r="C1394">
        <v>260287</v>
      </c>
      <c r="D1394">
        <v>686</v>
      </c>
    </row>
    <row r="1395" spans="1:4" x14ac:dyDescent="0.25">
      <c r="A1395" t="str">
        <f>T("   TG")</f>
        <v xml:space="preserve">   TG</v>
      </c>
      <c r="B1395" t="str">
        <f>T("   Togo")</f>
        <v xml:space="preserve">   Togo</v>
      </c>
      <c r="C1395">
        <v>11446540</v>
      </c>
      <c r="D1395">
        <v>54513</v>
      </c>
    </row>
    <row r="1396" spans="1:4" x14ac:dyDescent="0.25">
      <c r="A1396" t="str">
        <f>T("180620")</f>
        <v>180620</v>
      </c>
      <c r="B1396" t="str">
        <f>T("Chocolat et autres préparations alimentaires contenant du cacao, présentés soit en blocs ou en barres d'un poids &gt; 2 kg, soit à l'état liquide ou pâteux ou en poudres, granulés ou formes simil., en récipients ou en emballages immédiats, d'un contenu &gt; 2 k")</f>
        <v>Chocolat et autres préparations alimentaires contenant du cacao, présentés soit en blocs ou en barres d'un poids &gt; 2 kg, soit à l'état liquide ou pâteux ou en poudres, granulés ou formes simil., en récipients ou en emballages immédiats, d'un contenu &gt; 2 k</v>
      </c>
    </row>
    <row r="1397" spans="1:4" x14ac:dyDescent="0.25">
      <c r="A1397" t="str">
        <f>T("   ZZZ_Monde")</f>
        <v xml:space="preserve">   ZZZ_Monde</v>
      </c>
      <c r="B1397" t="str">
        <f>T("   ZZZ_Monde")</f>
        <v xml:space="preserve">   ZZZ_Monde</v>
      </c>
      <c r="C1397">
        <v>100738952</v>
      </c>
      <c r="D1397">
        <v>186426</v>
      </c>
    </row>
    <row r="1398" spans="1:4" x14ac:dyDescent="0.25">
      <c r="A1398" t="str">
        <f>T("   BE")</f>
        <v xml:space="preserve">   BE</v>
      </c>
      <c r="B1398" t="str">
        <f>T("   Belgique")</f>
        <v xml:space="preserve">   Belgique</v>
      </c>
      <c r="C1398">
        <v>289272</v>
      </c>
      <c r="D1398">
        <v>203</v>
      </c>
    </row>
    <row r="1399" spans="1:4" x14ac:dyDescent="0.25">
      <c r="A1399" t="str">
        <f>T("   FR")</f>
        <v xml:space="preserve">   FR</v>
      </c>
      <c r="B1399" t="str">
        <f>T("   France")</f>
        <v xml:space="preserve">   France</v>
      </c>
      <c r="C1399">
        <v>18079046</v>
      </c>
      <c r="D1399">
        <v>8741</v>
      </c>
    </row>
    <row r="1400" spans="1:4" x14ac:dyDescent="0.25">
      <c r="A1400" t="str">
        <f>T("   HK")</f>
        <v xml:space="preserve">   HK</v>
      </c>
      <c r="B1400" t="str">
        <f>T("   Hong-Kong")</f>
        <v xml:space="preserve">   Hong-Kong</v>
      </c>
      <c r="C1400">
        <v>76840344</v>
      </c>
      <c r="D1400">
        <v>146676</v>
      </c>
    </row>
    <row r="1401" spans="1:4" x14ac:dyDescent="0.25">
      <c r="A1401" t="str">
        <f>T("   ID")</f>
        <v xml:space="preserve">   ID</v>
      </c>
      <c r="B1401" t="str">
        <f>T("   Indonésie")</f>
        <v xml:space="preserve">   Indonésie</v>
      </c>
      <c r="C1401">
        <v>394314</v>
      </c>
      <c r="D1401">
        <v>343</v>
      </c>
    </row>
    <row r="1402" spans="1:4" x14ac:dyDescent="0.25">
      <c r="A1402" t="str">
        <f>T("   LB")</f>
        <v xml:space="preserve">   LB</v>
      </c>
      <c r="B1402" t="str">
        <f>T("   Liban")</f>
        <v xml:space="preserve">   Liban</v>
      </c>
      <c r="C1402">
        <v>2415976</v>
      </c>
      <c r="D1402">
        <v>6488</v>
      </c>
    </row>
    <row r="1403" spans="1:4" x14ac:dyDescent="0.25">
      <c r="A1403" t="str">
        <f>T("   Z2")</f>
        <v xml:space="preserve">   Z2</v>
      </c>
      <c r="B1403" t="str">
        <f>T("   Pays non défini")</f>
        <v xml:space="preserve">   Pays non défini</v>
      </c>
      <c r="C1403">
        <v>2720000</v>
      </c>
      <c r="D1403">
        <v>23975</v>
      </c>
    </row>
    <row r="1404" spans="1:4" x14ac:dyDescent="0.25">
      <c r="A1404" t="str">
        <f>T("180631")</f>
        <v>180631</v>
      </c>
      <c r="B1404" t="str">
        <f>T("Chocolat et autres préparations alimentaires contenant du cacao, présentés en tablettes, barres ou bâtons, d'un poids &lt;= 2 kg, fourrés")</f>
        <v>Chocolat et autres préparations alimentaires contenant du cacao, présentés en tablettes, barres ou bâtons, d'un poids &lt;= 2 kg, fourrés</v>
      </c>
    </row>
    <row r="1405" spans="1:4" x14ac:dyDescent="0.25">
      <c r="A1405" t="str">
        <f>T("   ZZZ_Monde")</f>
        <v xml:space="preserve">   ZZZ_Monde</v>
      </c>
      <c r="B1405" t="str">
        <f>T("   ZZZ_Monde")</f>
        <v xml:space="preserve">   ZZZ_Monde</v>
      </c>
      <c r="C1405">
        <v>119372959</v>
      </c>
      <c r="D1405">
        <v>153366</v>
      </c>
    </row>
    <row r="1406" spans="1:4" x14ac:dyDescent="0.25">
      <c r="A1406" t="str">
        <f>T("   BE")</f>
        <v xml:space="preserve">   BE</v>
      </c>
      <c r="B1406" t="str">
        <f>T("   Belgique")</f>
        <v xml:space="preserve">   Belgique</v>
      </c>
      <c r="C1406">
        <v>11054237</v>
      </c>
      <c r="D1406">
        <v>14398</v>
      </c>
    </row>
    <row r="1407" spans="1:4" x14ac:dyDescent="0.25">
      <c r="A1407" t="str">
        <f>T("   FR")</f>
        <v xml:space="preserve">   FR</v>
      </c>
      <c r="B1407" t="str">
        <f>T("   France")</f>
        <v xml:space="preserve">   France</v>
      </c>
      <c r="C1407">
        <v>84220676</v>
      </c>
      <c r="D1407">
        <v>51700</v>
      </c>
    </row>
    <row r="1408" spans="1:4" x14ac:dyDescent="0.25">
      <c r="A1408" t="str">
        <f>T("   TR")</f>
        <v xml:space="preserve">   TR</v>
      </c>
      <c r="B1408" t="str">
        <f>T("   Turquie")</f>
        <v xml:space="preserve">   Turquie</v>
      </c>
      <c r="C1408">
        <v>4387362</v>
      </c>
      <c r="D1408">
        <v>9390</v>
      </c>
    </row>
    <row r="1409" spans="1:4" x14ac:dyDescent="0.25">
      <c r="A1409" t="str">
        <f>T("   US")</f>
        <v xml:space="preserve">   US</v>
      </c>
      <c r="B1409" t="str">
        <f>T("   Etats-Unis")</f>
        <v xml:space="preserve">   Etats-Unis</v>
      </c>
      <c r="C1409">
        <v>19710684</v>
      </c>
      <c r="D1409">
        <v>77878</v>
      </c>
    </row>
    <row r="1410" spans="1:4" x14ac:dyDescent="0.25">
      <c r="A1410" t="str">
        <f>T("180632")</f>
        <v>180632</v>
      </c>
      <c r="B1410" t="str">
        <f>T("CHOCOLAT ET AUTRES PRÉPARATIONS ALIMENTAIRES CONTENANT DU CACAO, PRÉSENTÉS EN TABLETTES, BARRES OU BÂTONS, D'UN POIDS &lt;= 2 KG, NON-FOURRÉS")</f>
        <v>CHOCOLAT ET AUTRES PRÉPARATIONS ALIMENTAIRES CONTENANT DU CACAO, PRÉSENTÉS EN TABLETTES, BARRES OU BÂTONS, D'UN POIDS &lt;= 2 KG, NON-FOURRÉS</v>
      </c>
    </row>
    <row r="1411" spans="1:4" x14ac:dyDescent="0.25">
      <c r="A1411" t="str">
        <f>T("   ZZZ_Monde")</f>
        <v xml:space="preserve">   ZZZ_Monde</v>
      </c>
      <c r="B1411" t="str">
        <f>T("   ZZZ_Monde")</f>
        <v xml:space="preserve">   ZZZ_Monde</v>
      </c>
      <c r="C1411">
        <v>39522856</v>
      </c>
      <c r="D1411">
        <v>56161</v>
      </c>
    </row>
    <row r="1412" spans="1:4" x14ac:dyDescent="0.25">
      <c r="A1412" t="str">
        <f>T("   BE")</f>
        <v xml:space="preserve">   BE</v>
      </c>
      <c r="B1412" t="str">
        <f>T("   Belgique")</f>
        <v xml:space="preserve">   Belgique</v>
      </c>
      <c r="C1412">
        <v>785840</v>
      </c>
      <c r="D1412">
        <v>1287</v>
      </c>
    </row>
    <row r="1413" spans="1:4" x14ac:dyDescent="0.25">
      <c r="A1413" t="str">
        <f>T("   FR")</f>
        <v xml:space="preserve">   FR</v>
      </c>
      <c r="B1413" t="str">
        <f>T("   France")</f>
        <v xml:space="preserve">   France</v>
      </c>
      <c r="C1413">
        <v>22309897</v>
      </c>
      <c r="D1413">
        <v>17880</v>
      </c>
    </row>
    <row r="1414" spans="1:4" x14ac:dyDescent="0.25">
      <c r="A1414" t="str">
        <f>T("   HK")</f>
        <v xml:space="preserve">   HK</v>
      </c>
      <c r="B1414" t="str">
        <f>T("   Hong-Kong")</f>
        <v xml:space="preserve">   Hong-Kong</v>
      </c>
      <c r="C1414">
        <v>16415234</v>
      </c>
      <c r="D1414">
        <v>36984</v>
      </c>
    </row>
    <row r="1415" spans="1:4" x14ac:dyDescent="0.25">
      <c r="A1415" t="str">
        <f>T("   TG")</f>
        <v xml:space="preserve">   TG</v>
      </c>
      <c r="B1415" t="str">
        <f>T("   Togo")</f>
        <v xml:space="preserve">   Togo</v>
      </c>
      <c r="C1415">
        <v>11885</v>
      </c>
      <c r="D1415">
        <v>10</v>
      </c>
    </row>
    <row r="1416" spans="1:4" x14ac:dyDescent="0.25">
      <c r="A1416" t="str">
        <f>T("180690")</f>
        <v>180690</v>
      </c>
      <c r="B1416" t="str">
        <f>T("Chocolat et autres préparations alimentaires contenant du cacao, en récipients ou en emballages immédiats d'un contenu &lt;= 2 kg (à l'excl. de la poudre de cacao et des produits présentés en tablettes, barres ou bâtons)")</f>
        <v>Chocolat et autres préparations alimentaires contenant du cacao, en récipients ou en emballages immédiats d'un contenu &lt;= 2 kg (à l'excl. de la poudre de cacao et des produits présentés en tablettes, barres ou bâtons)</v>
      </c>
    </row>
    <row r="1417" spans="1:4" x14ac:dyDescent="0.25">
      <c r="A1417" t="str">
        <f>T("   ZZZ_Monde")</f>
        <v xml:space="preserve">   ZZZ_Monde</v>
      </c>
      <c r="B1417" t="str">
        <f>T("   ZZZ_Monde")</f>
        <v xml:space="preserve">   ZZZ_Monde</v>
      </c>
      <c r="C1417">
        <v>161427522</v>
      </c>
      <c r="D1417">
        <v>341396</v>
      </c>
    </row>
    <row r="1418" spans="1:4" x14ac:dyDescent="0.25">
      <c r="A1418" t="str">
        <f>T("   CN")</f>
        <v xml:space="preserve">   CN</v>
      </c>
      <c r="B1418" t="str">
        <f>T("   Chine")</f>
        <v xml:space="preserve">   Chine</v>
      </c>
      <c r="C1418">
        <v>16270039</v>
      </c>
      <c r="D1418">
        <v>70094</v>
      </c>
    </row>
    <row r="1419" spans="1:4" x14ac:dyDescent="0.25">
      <c r="A1419" t="str">
        <f>T("   FR")</f>
        <v xml:space="preserve">   FR</v>
      </c>
      <c r="B1419" t="str">
        <f>T("   France")</f>
        <v xml:space="preserve">   France</v>
      </c>
      <c r="C1419">
        <v>16400097</v>
      </c>
      <c r="D1419">
        <v>16910</v>
      </c>
    </row>
    <row r="1420" spans="1:4" x14ac:dyDescent="0.25">
      <c r="A1420" t="str">
        <f>T("   GH")</f>
        <v xml:space="preserve">   GH</v>
      </c>
      <c r="B1420" t="str">
        <f>T("   Ghana")</f>
        <v xml:space="preserve">   Ghana</v>
      </c>
      <c r="C1420">
        <v>17795789</v>
      </c>
      <c r="D1420">
        <v>6000</v>
      </c>
    </row>
    <row r="1421" spans="1:4" x14ac:dyDescent="0.25">
      <c r="A1421" t="str">
        <f>T("   IN")</f>
        <v xml:space="preserve">   IN</v>
      </c>
      <c r="B1421" t="str">
        <f>T("   Inde")</f>
        <v xml:space="preserve">   Inde</v>
      </c>
      <c r="C1421">
        <v>93783</v>
      </c>
      <c r="D1421">
        <v>490</v>
      </c>
    </row>
    <row r="1422" spans="1:4" x14ac:dyDescent="0.25">
      <c r="A1422" t="str">
        <f>T("   LB")</f>
        <v xml:space="preserve">   LB</v>
      </c>
      <c r="B1422" t="str">
        <f>T("   Liban")</f>
        <v xml:space="preserve">   Liban</v>
      </c>
      <c r="C1422">
        <v>738201</v>
      </c>
      <c r="D1422">
        <v>3894</v>
      </c>
    </row>
    <row r="1423" spans="1:4" x14ac:dyDescent="0.25">
      <c r="A1423" t="str">
        <f>T("   SN")</f>
        <v xml:space="preserve">   SN</v>
      </c>
      <c r="B1423" t="str">
        <f>T("   Sénégal")</f>
        <v xml:space="preserve">   Sénégal</v>
      </c>
      <c r="C1423">
        <v>33841104</v>
      </c>
      <c r="D1423">
        <v>91670</v>
      </c>
    </row>
    <row r="1424" spans="1:4" x14ac:dyDescent="0.25">
      <c r="A1424" t="str">
        <f>T("   TG")</f>
        <v xml:space="preserve">   TG</v>
      </c>
      <c r="B1424" t="str">
        <f>T("   Togo")</f>
        <v xml:space="preserve">   Togo</v>
      </c>
      <c r="C1424">
        <v>45113728</v>
      </c>
      <c r="D1424">
        <v>40799</v>
      </c>
    </row>
    <row r="1425" spans="1:4" x14ac:dyDescent="0.25">
      <c r="A1425" t="str">
        <f>T("   TR")</f>
        <v xml:space="preserve">   TR</v>
      </c>
      <c r="B1425" t="str">
        <f>T("   Turquie")</f>
        <v xml:space="preserve">   Turquie</v>
      </c>
      <c r="C1425">
        <v>16274400</v>
      </c>
      <c r="D1425">
        <v>42067</v>
      </c>
    </row>
    <row r="1426" spans="1:4" x14ac:dyDescent="0.25">
      <c r="A1426" t="str">
        <f>T("   US")</f>
        <v xml:space="preserve">   US</v>
      </c>
      <c r="B1426" t="str">
        <f>T("   Etats-Unis")</f>
        <v xml:space="preserve">   Etats-Unis</v>
      </c>
      <c r="C1426">
        <v>14900381</v>
      </c>
      <c r="D1426">
        <v>69472</v>
      </c>
    </row>
    <row r="1427" spans="1:4" x14ac:dyDescent="0.25">
      <c r="A1427" t="str">
        <f>T("190110")</f>
        <v>190110</v>
      </c>
      <c r="B1427" t="str">
        <f>T("Préparations alimentaires de farines, gruaux, semoules, amidons, fécules ou extraits de malt, ne contenant pas de cacao ou contenant &lt; 40% en poids de cacao calculés sur une base entièrement dégraissée, n.d.a.; préparations alimentaires à base de lait, de")</f>
        <v>Préparations alimentaires de farines, gruaux, semoules, amidons, fécules ou extraits de malt, ne contenant pas de cacao ou contenant &lt; 40% en poids de cacao calculés sur une base entièrement dégraissée, n.d.a.; préparations alimentaires à base de lait, de</v>
      </c>
    </row>
    <row r="1428" spans="1:4" x14ac:dyDescent="0.25">
      <c r="A1428" t="str">
        <f>T("   ZZZ_Monde")</f>
        <v xml:space="preserve">   ZZZ_Monde</v>
      </c>
      <c r="B1428" t="str">
        <f>T("   ZZZ_Monde")</f>
        <v xml:space="preserve">   ZZZ_Monde</v>
      </c>
      <c r="C1428">
        <v>1333579034</v>
      </c>
      <c r="D1428">
        <v>584856.31000000006</v>
      </c>
    </row>
    <row r="1429" spans="1:4" x14ac:dyDescent="0.25">
      <c r="A1429" t="str">
        <f>T("   BE")</f>
        <v xml:space="preserve">   BE</v>
      </c>
      <c r="B1429" t="str">
        <f>T("   Belgique")</f>
        <v xml:space="preserve">   Belgique</v>
      </c>
      <c r="C1429">
        <v>10558006</v>
      </c>
      <c r="D1429">
        <v>8935</v>
      </c>
    </row>
    <row r="1430" spans="1:4" x14ac:dyDescent="0.25">
      <c r="A1430" t="str">
        <f>T("   BR")</f>
        <v xml:space="preserve">   BR</v>
      </c>
      <c r="B1430" t="str">
        <f>T("   Brésil")</f>
        <v xml:space="preserve">   Brésil</v>
      </c>
      <c r="C1430">
        <v>52327024</v>
      </c>
      <c r="D1430">
        <v>25560.400000000001</v>
      </c>
    </row>
    <row r="1431" spans="1:4" x14ac:dyDescent="0.25">
      <c r="A1431" t="str">
        <f>T("   CN")</f>
        <v xml:space="preserve">   CN</v>
      </c>
      <c r="B1431" t="str">
        <f>T("   Chine")</f>
        <v xml:space="preserve">   Chine</v>
      </c>
      <c r="C1431">
        <v>2400000</v>
      </c>
      <c r="D1431">
        <v>11000</v>
      </c>
    </row>
    <row r="1432" spans="1:4" x14ac:dyDescent="0.25">
      <c r="A1432" t="str">
        <f>T("   FR")</f>
        <v xml:space="preserve">   FR</v>
      </c>
      <c r="B1432" t="str">
        <f>T("   France")</f>
        <v xml:space="preserve">   France</v>
      </c>
      <c r="C1432">
        <v>1142197116</v>
      </c>
      <c r="D1432">
        <v>367515.91</v>
      </c>
    </row>
    <row r="1433" spans="1:4" x14ac:dyDescent="0.25">
      <c r="A1433" t="str">
        <f>T("   GH")</f>
        <v xml:space="preserve">   GH</v>
      </c>
      <c r="B1433" t="str">
        <f>T("   Ghana")</f>
        <v xml:space="preserve">   Ghana</v>
      </c>
      <c r="C1433">
        <v>57139833</v>
      </c>
      <c r="D1433">
        <v>29576</v>
      </c>
    </row>
    <row r="1434" spans="1:4" x14ac:dyDescent="0.25">
      <c r="A1434" t="str">
        <f>T("   IT")</f>
        <v xml:space="preserve">   IT</v>
      </c>
      <c r="B1434" t="str">
        <f>T("   Italie")</f>
        <v xml:space="preserve">   Italie</v>
      </c>
      <c r="C1434">
        <v>80000</v>
      </c>
      <c r="D1434">
        <v>400</v>
      </c>
    </row>
    <row r="1435" spans="1:4" x14ac:dyDescent="0.25">
      <c r="A1435" t="str">
        <f>T("   NG")</f>
        <v xml:space="preserve">   NG</v>
      </c>
      <c r="B1435" t="str">
        <f>T("   Nigéria")</f>
        <v xml:space="preserve">   Nigéria</v>
      </c>
      <c r="C1435">
        <v>30144800</v>
      </c>
      <c r="D1435">
        <v>74753</v>
      </c>
    </row>
    <row r="1436" spans="1:4" x14ac:dyDescent="0.25">
      <c r="A1436" t="str">
        <f>T("   TG")</f>
        <v xml:space="preserve">   TG</v>
      </c>
      <c r="B1436" t="str">
        <f>T("   Togo")</f>
        <v xml:space="preserve">   Togo</v>
      </c>
      <c r="C1436">
        <v>38732255</v>
      </c>
      <c r="D1436">
        <v>67116</v>
      </c>
    </row>
    <row r="1437" spans="1:4" x14ac:dyDescent="0.25">
      <c r="A1437" t="str">
        <f>T("190120")</f>
        <v>190120</v>
      </c>
      <c r="B1437" t="str">
        <f>T("Mélanges et pâtes à base de farines, gruaux, semoules, amidons, fécules ou extraits de malt, ne contenant pas de cacao ou contenant &lt; 40% en poids de cacao calculés sur une base entièrement dégraissée, n.d.a.; mélanges et pâtes à base de lait, de crème de")</f>
        <v>Mélanges et pâtes à base de farines, gruaux, semoules, amidons, fécules ou extraits de malt, ne contenant pas de cacao ou contenant &lt; 40% en poids de cacao calculés sur une base entièrement dégraissée, n.d.a.; mélanges et pâtes à base de lait, de crème de</v>
      </c>
    </row>
    <row r="1438" spans="1:4" x14ac:dyDescent="0.25">
      <c r="A1438" t="str">
        <f>T("   ZZZ_Monde")</f>
        <v xml:space="preserve">   ZZZ_Monde</v>
      </c>
      <c r="B1438" t="str">
        <f>T("   ZZZ_Monde")</f>
        <v xml:space="preserve">   ZZZ_Monde</v>
      </c>
      <c r="C1438">
        <v>29974331</v>
      </c>
      <c r="D1438">
        <v>25306</v>
      </c>
    </row>
    <row r="1439" spans="1:4" x14ac:dyDescent="0.25">
      <c r="A1439" t="str">
        <f>T("   BE")</f>
        <v xml:space="preserve">   BE</v>
      </c>
      <c r="B1439" t="str">
        <f>T("   Belgique")</f>
        <v xml:space="preserve">   Belgique</v>
      </c>
      <c r="C1439">
        <v>1052185</v>
      </c>
      <c r="D1439">
        <v>738</v>
      </c>
    </row>
    <row r="1440" spans="1:4" x14ac:dyDescent="0.25">
      <c r="A1440" t="str">
        <f>T("   FR")</f>
        <v xml:space="preserve">   FR</v>
      </c>
      <c r="B1440" t="str">
        <f>T("   France")</f>
        <v xml:space="preserve">   France</v>
      </c>
      <c r="C1440">
        <v>7227779</v>
      </c>
      <c r="D1440">
        <v>6686</v>
      </c>
    </row>
    <row r="1441" spans="1:4" x14ac:dyDescent="0.25">
      <c r="A1441" t="str">
        <f>T("   IN")</f>
        <v xml:space="preserve">   IN</v>
      </c>
      <c r="B1441" t="str">
        <f>T("   Inde")</f>
        <v xml:space="preserve">   Inde</v>
      </c>
      <c r="C1441">
        <v>1274654</v>
      </c>
      <c r="D1441">
        <v>1542</v>
      </c>
    </row>
    <row r="1442" spans="1:4" x14ac:dyDescent="0.25">
      <c r="A1442" t="str">
        <f>T("   TR")</f>
        <v xml:space="preserve">   TR</v>
      </c>
      <c r="B1442" t="str">
        <f>T("   Turquie")</f>
        <v xml:space="preserve">   Turquie</v>
      </c>
      <c r="C1442">
        <v>20419713</v>
      </c>
      <c r="D1442">
        <v>16340</v>
      </c>
    </row>
    <row r="1443" spans="1:4" x14ac:dyDescent="0.25">
      <c r="A1443" t="str">
        <f>T("190190")</f>
        <v>190190</v>
      </c>
      <c r="B1443" t="str">
        <f>T("Extraits de malt; préparations alimentaires de farines, gruaux, semoules, amidons, fécules ou extraits de malt, ne contenant pas de cacao ou contenant &lt; 40% en poids de cacao calculés sur une base entièrement dégraissée, n.d.a.; préparations alimentaires")</f>
        <v>Extraits de malt; préparations alimentaires de farines, gruaux, semoules, amidons, fécules ou extraits de malt, ne contenant pas de cacao ou contenant &lt; 40% en poids de cacao calculés sur une base entièrement dégraissée, n.d.a.; préparations alimentaires</v>
      </c>
    </row>
    <row r="1444" spans="1:4" x14ac:dyDescent="0.25">
      <c r="A1444" t="str">
        <f>T("   ZZZ_Monde")</f>
        <v xml:space="preserve">   ZZZ_Monde</v>
      </c>
      <c r="B1444" t="str">
        <f>T("   ZZZ_Monde")</f>
        <v xml:space="preserve">   ZZZ_Monde</v>
      </c>
      <c r="C1444">
        <v>2981760877</v>
      </c>
      <c r="D1444">
        <v>7331504.2599999998</v>
      </c>
    </row>
    <row r="1445" spans="1:4" x14ac:dyDescent="0.25">
      <c r="A1445" t="str">
        <f>T("   AE")</f>
        <v xml:space="preserve">   AE</v>
      </c>
      <c r="B1445" t="str">
        <f>T("   Emirats Arabes Unis")</f>
        <v xml:space="preserve">   Emirats Arabes Unis</v>
      </c>
      <c r="C1445">
        <v>43204138</v>
      </c>
      <c r="D1445">
        <v>130747</v>
      </c>
    </row>
    <row r="1446" spans="1:4" x14ac:dyDescent="0.25">
      <c r="A1446" t="str">
        <f>T("   BE")</f>
        <v xml:space="preserve">   BE</v>
      </c>
      <c r="B1446" t="str">
        <f>T("   Belgique")</f>
        <v xml:space="preserve">   Belgique</v>
      </c>
      <c r="C1446">
        <v>9754237</v>
      </c>
      <c r="D1446">
        <v>2430</v>
      </c>
    </row>
    <row r="1447" spans="1:4" x14ac:dyDescent="0.25">
      <c r="A1447" t="str">
        <f>T("   CH")</f>
        <v xml:space="preserve">   CH</v>
      </c>
      <c r="B1447" t="str">
        <f>T("   Suisse")</f>
        <v xml:space="preserve">   Suisse</v>
      </c>
      <c r="C1447">
        <v>86586720</v>
      </c>
      <c r="D1447">
        <v>152400</v>
      </c>
    </row>
    <row r="1448" spans="1:4" x14ac:dyDescent="0.25">
      <c r="A1448" t="str">
        <f>T("   CN")</f>
        <v xml:space="preserve">   CN</v>
      </c>
      <c r="B1448" t="str">
        <f>T("   Chine")</f>
        <v xml:space="preserve">   Chine</v>
      </c>
      <c r="C1448">
        <v>463473090</v>
      </c>
      <c r="D1448">
        <v>1230191</v>
      </c>
    </row>
    <row r="1449" spans="1:4" x14ac:dyDescent="0.25">
      <c r="A1449" t="str">
        <f>T("   FR")</f>
        <v xml:space="preserve">   FR</v>
      </c>
      <c r="B1449" t="str">
        <f>T("   France")</f>
        <v xml:space="preserve">   France</v>
      </c>
      <c r="C1449">
        <v>105833830</v>
      </c>
      <c r="D1449">
        <v>74623</v>
      </c>
    </row>
    <row r="1450" spans="1:4" x14ac:dyDescent="0.25">
      <c r="A1450" t="str">
        <f>T("   GB")</f>
        <v xml:space="preserve">   GB</v>
      </c>
      <c r="B1450" t="str">
        <f>T("   Royaume-Uni")</f>
        <v xml:space="preserve">   Royaume-Uni</v>
      </c>
      <c r="C1450">
        <v>460000</v>
      </c>
      <c r="D1450">
        <v>810</v>
      </c>
    </row>
    <row r="1451" spans="1:4" x14ac:dyDescent="0.25">
      <c r="A1451" t="str">
        <f>T("   GH")</f>
        <v xml:space="preserve">   GH</v>
      </c>
      <c r="B1451" t="str">
        <f>T("   Ghana")</f>
        <v xml:space="preserve">   Ghana</v>
      </c>
      <c r="C1451">
        <v>2100000</v>
      </c>
      <c r="D1451">
        <v>6000</v>
      </c>
    </row>
    <row r="1452" spans="1:4" x14ac:dyDescent="0.25">
      <c r="A1452" t="str">
        <f>T("   HK")</f>
        <v xml:space="preserve">   HK</v>
      </c>
      <c r="B1452" t="str">
        <f>T("   Hong-Kong")</f>
        <v xml:space="preserve">   Hong-Kong</v>
      </c>
      <c r="C1452">
        <v>636095486</v>
      </c>
      <c r="D1452">
        <v>1632855</v>
      </c>
    </row>
    <row r="1453" spans="1:4" x14ac:dyDescent="0.25">
      <c r="A1453" t="str">
        <f>T("   IN")</f>
        <v xml:space="preserve">   IN</v>
      </c>
      <c r="B1453" t="str">
        <f>T("   Inde")</f>
        <v xml:space="preserve">   Inde</v>
      </c>
      <c r="C1453">
        <v>5410000</v>
      </c>
      <c r="D1453">
        <v>16299</v>
      </c>
    </row>
    <row r="1454" spans="1:4" x14ac:dyDescent="0.25">
      <c r="A1454" t="str">
        <f>T("   MA")</f>
        <v xml:space="preserve">   MA</v>
      </c>
      <c r="B1454" t="str">
        <f>T("   Maroc")</f>
        <v xml:space="preserve">   Maroc</v>
      </c>
      <c r="C1454">
        <v>13769329</v>
      </c>
      <c r="D1454">
        <v>26700</v>
      </c>
    </row>
    <row r="1455" spans="1:4" x14ac:dyDescent="0.25">
      <c r="A1455" t="str">
        <f>T("   MY")</f>
        <v xml:space="preserve">   MY</v>
      </c>
      <c r="B1455" t="str">
        <f>T("   Malaisie")</f>
        <v xml:space="preserve">   Malaisie</v>
      </c>
      <c r="C1455">
        <v>696442324</v>
      </c>
      <c r="D1455">
        <v>1727841</v>
      </c>
    </row>
    <row r="1456" spans="1:4" x14ac:dyDescent="0.25">
      <c r="A1456" t="str">
        <f>T("   NG")</f>
        <v xml:space="preserve">   NG</v>
      </c>
      <c r="B1456" t="str">
        <f>T("   Nigéria")</f>
        <v xml:space="preserve">   Nigéria</v>
      </c>
      <c r="C1456">
        <v>112500</v>
      </c>
      <c r="D1456">
        <v>50</v>
      </c>
    </row>
    <row r="1457" spans="1:4" x14ac:dyDescent="0.25">
      <c r="A1457" t="str">
        <f>T("   NL")</f>
        <v xml:space="preserve">   NL</v>
      </c>
      <c r="B1457" t="str">
        <f>T("   Pays-bas")</f>
        <v xml:space="preserve">   Pays-bas</v>
      </c>
      <c r="C1457">
        <v>392203089</v>
      </c>
      <c r="D1457">
        <v>632349.26</v>
      </c>
    </row>
    <row r="1458" spans="1:4" x14ac:dyDescent="0.25">
      <c r="A1458" t="str">
        <f>T("   SG")</f>
        <v xml:space="preserve">   SG</v>
      </c>
      <c r="B1458" t="str">
        <f>T("   Singapour")</f>
        <v xml:space="preserve">   Singapour</v>
      </c>
      <c r="C1458">
        <v>234860961</v>
      </c>
      <c r="D1458">
        <v>582400</v>
      </c>
    </row>
    <row r="1459" spans="1:4" x14ac:dyDescent="0.25">
      <c r="A1459" t="str">
        <f>T("   SN")</f>
        <v xml:space="preserve">   SN</v>
      </c>
      <c r="B1459" t="str">
        <f>T("   Sénégal")</f>
        <v xml:space="preserve">   Sénégal</v>
      </c>
      <c r="C1459">
        <v>3781740</v>
      </c>
      <c r="D1459">
        <v>12500</v>
      </c>
    </row>
    <row r="1460" spans="1:4" x14ac:dyDescent="0.25">
      <c r="A1460" t="str">
        <f>T("   TG")</f>
        <v xml:space="preserve">   TG</v>
      </c>
      <c r="B1460" t="str">
        <f>T("   Togo")</f>
        <v xml:space="preserve">   Togo</v>
      </c>
      <c r="C1460">
        <v>287214261</v>
      </c>
      <c r="D1460">
        <v>1102195</v>
      </c>
    </row>
    <row r="1461" spans="1:4" x14ac:dyDescent="0.25">
      <c r="A1461" t="str">
        <f>T("   TH")</f>
        <v xml:space="preserve">   TH</v>
      </c>
      <c r="B1461" t="str">
        <f>T("   Thaïlande")</f>
        <v xml:space="preserve">   Thaïlande</v>
      </c>
      <c r="C1461">
        <v>459172</v>
      </c>
      <c r="D1461">
        <v>1114</v>
      </c>
    </row>
    <row r="1462" spans="1:4" x14ac:dyDescent="0.25">
      <c r="A1462" t="str">
        <f>T("190211")</f>
        <v>190211</v>
      </c>
      <c r="B1462" t="str">
        <f>T("Pâtes alimentaires non cuites ni farcies ni autrement préparées, contenant des oeufs")</f>
        <v>Pâtes alimentaires non cuites ni farcies ni autrement préparées, contenant des oeufs</v>
      </c>
    </row>
    <row r="1463" spans="1:4" x14ac:dyDescent="0.25">
      <c r="A1463" t="str">
        <f>T("   ZZZ_Monde")</f>
        <v xml:space="preserve">   ZZZ_Monde</v>
      </c>
      <c r="B1463" t="str">
        <f>T("   ZZZ_Monde")</f>
        <v xml:space="preserve">   ZZZ_Monde</v>
      </c>
      <c r="C1463">
        <v>46497</v>
      </c>
      <c r="D1463">
        <v>500</v>
      </c>
    </row>
    <row r="1464" spans="1:4" x14ac:dyDescent="0.25">
      <c r="A1464" t="str">
        <f>T("   CN")</f>
        <v xml:space="preserve">   CN</v>
      </c>
      <c r="B1464" t="str">
        <f>T("   Chine")</f>
        <v xml:space="preserve">   Chine</v>
      </c>
      <c r="C1464">
        <v>46497</v>
      </c>
      <c r="D1464">
        <v>500</v>
      </c>
    </row>
    <row r="1465" spans="1:4" x14ac:dyDescent="0.25">
      <c r="A1465" t="str">
        <f>T("190219")</f>
        <v>190219</v>
      </c>
      <c r="B1465" t="str">
        <f>T("PÂTES ALIMENTAIRES NON-CUITES NI FARCIES NI AUTREMENT PRÉPARÉES, NE CONTENANT PAS D'OEUFS")</f>
        <v>PÂTES ALIMENTAIRES NON-CUITES NI FARCIES NI AUTREMENT PRÉPARÉES, NE CONTENANT PAS D'OEUFS</v>
      </c>
    </row>
    <row r="1466" spans="1:4" x14ac:dyDescent="0.25">
      <c r="A1466" t="str">
        <f>T("   ZZZ_Monde")</f>
        <v xml:space="preserve">   ZZZ_Monde</v>
      </c>
      <c r="B1466" t="str">
        <f>T("   ZZZ_Monde")</f>
        <v xml:space="preserve">   ZZZ_Monde</v>
      </c>
      <c r="C1466">
        <v>2811882788</v>
      </c>
      <c r="D1466">
        <v>11433388</v>
      </c>
    </row>
    <row r="1467" spans="1:4" x14ac:dyDescent="0.25">
      <c r="A1467" t="str">
        <f>T("   AE")</f>
        <v xml:space="preserve">   AE</v>
      </c>
      <c r="B1467" t="str">
        <f>T("   Emirats Arabes Unis")</f>
        <v xml:space="preserve">   Emirats Arabes Unis</v>
      </c>
      <c r="C1467">
        <v>41415840</v>
      </c>
      <c r="D1467">
        <v>216000</v>
      </c>
    </row>
    <row r="1468" spans="1:4" x14ac:dyDescent="0.25">
      <c r="A1468" t="str">
        <f>T("   CI")</f>
        <v xml:space="preserve">   CI</v>
      </c>
      <c r="B1468" t="str">
        <f>T("   Côte d'Ivoire")</f>
        <v xml:space="preserve">   Côte d'Ivoire</v>
      </c>
      <c r="C1468">
        <v>421928429</v>
      </c>
      <c r="D1468">
        <v>1229938</v>
      </c>
    </row>
    <row r="1469" spans="1:4" x14ac:dyDescent="0.25">
      <c r="A1469" t="str">
        <f>T("   CN")</f>
        <v xml:space="preserve">   CN</v>
      </c>
      <c r="B1469" t="str">
        <f>T("   Chine")</f>
        <v xml:space="preserve">   Chine</v>
      </c>
      <c r="C1469">
        <v>138729046</v>
      </c>
      <c r="D1469">
        <v>614205</v>
      </c>
    </row>
    <row r="1470" spans="1:4" x14ac:dyDescent="0.25">
      <c r="A1470" t="str">
        <f>T("   FR")</f>
        <v xml:space="preserve">   FR</v>
      </c>
      <c r="B1470" t="str">
        <f>T("   France")</f>
        <v xml:space="preserve">   France</v>
      </c>
      <c r="C1470">
        <v>44172891</v>
      </c>
      <c r="D1470">
        <v>374412</v>
      </c>
    </row>
    <row r="1471" spans="1:4" x14ac:dyDescent="0.25">
      <c r="A1471" t="str">
        <f>T("   GH")</f>
        <v xml:space="preserve">   GH</v>
      </c>
      <c r="B1471" t="str">
        <f>T("   Ghana")</f>
        <v xml:space="preserve">   Ghana</v>
      </c>
      <c r="C1471">
        <v>190453120</v>
      </c>
      <c r="D1471">
        <v>974352</v>
      </c>
    </row>
    <row r="1472" spans="1:4" x14ac:dyDescent="0.25">
      <c r="A1472" t="str">
        <f>T("   HK")</f>
        <v xml:space="preserve">   HK</v>
      </c>
      <c r="B1472" t="str">
        <f>T("   Hong-Kong")</f>
        <v xml:space="preserve">   Hong-Kong</v>
      </c>
      <c r="C1472">
        <v>11680000</v>
      </c>
      <c r="D1472">
        <v>50942</v>
      </c>
    </row>
    <row r="1473" spans="1:4" x14ac:dyDescent="0.25">
      <c r="A1473" t="str">
        <f>T("   IN")</f>
        <v xml:space="preserve">   IN</v>
      </c>
      <c r="B1473" t="str">
        <f>T("   Inde")</f>
        <v xml:space="preserve">   Inde</v>
      </c>
      <c r="C1473">
        <v>3567471</v>
      </c>
      <c r="D1473">
        <v>3655</v>
      </c>
    </row>
    <row r="1474" spans="1:4" x14ac:dyDescent="0.25">
      <c r="A1474" t="str">
        <f>T("   NL")</f>
        <v xml:space="preserve">   NL</v>
      </c>
      <c r="B1474" t="str">
        <f>T("   Pays-bas")</f>
        <v xml:space="preserve">   Pays-bas</v>
      </c>
      <c r="C1474">
        <v>43100118</v>
      </c>
      <c r="D1474">
        <v>191435</v>
      </c>
    </row>
    <row r="1475" spans="1:4" x14ac:dyDescent="0.25">
      <c r="A1475" t="str">
        <f>T("   SG")</f>
        <v xml:space="preserve">   SG</v>
      </c>
      <c r="B1475" t="str">
        <f>T("   Singapour")</f>
        <v xml:space="preserve">   Singapour</v>
      </c>
      <c r="C1475">
        <v>50834684</v>
      </c>
      <c r="D1475">
        <v>269010</v>
      </c>
    </row>
    <row r="1476" spans="1:4" x14ac:dyDescent="0.25">
      <c r="A1476" t="str">
        <f>T("   TG")</f>
        <v xml:space="preserve">   TG</v>
      </c>
      <c r="B1476" t="str">
        <f>T("   Togo")</f>
        <v xml:space="preserve">   Togo</v>
      </c>
      <c r="C1476">
        <v>1002531300</v>
      </c>
      <c r="D1476">
        <v>3980354</v>
      </c>
    </row>
    <row r="1477" spans="1:4" x14ac:dyDescent="0.25">
      <c r="A1477" t="str">
        <f>T("   TH")</f>
        <v xml:space="preserve">   TH</v>
      </c>
      <c r="B1477" t="str">
        <f>T("   Thaïlande")</f>
        <v xml:space="preserve">   Thaïlande</v>
      </c>
      <c r="C1477">
        <v>518208</v>
      </c>
      <c r="D1477">
        <v>1003</v>
      </c>
    </row>
    <row r="1478" spans="1:4" x14ac:dyDescent="0.25">
      <c r="A1478" t="str">
        <f>T("   TN")</f>
        <v xml:space="preserve">   TN</v>
      </c>
      <c r="B1478" t="str">
        <f>T("   Tunisie")</f>
        <v xml:space="preserve">   Tunisie</v>
      </c>
      <c r="C1478">
        <v>16350000</v>
      </c>
      <c r="D1478">
        <v>160680</v>
      </c>
    </row>
    <row r="1479" spans="1:4" x14ac:dyDescent="0.25">
      <c r="A1479" t="str">
        <f>T("   TR")</f>
        <v xml:space="preserve">   TR</v>
      </c>
      <c r="B1479" t="str">
        <f>T("   Turquie")</f>
        <v xml:space="preserve">   Turquie</v>
      </c>
      <c r="C1479">
        <v>844637681</v>
      </c>
      <c r="D1479">
        <v>3313412</v>
      </c>
    </row>
    <row r="1480" spans="1:4" x14ac:dyDescent="0.25">
      <c r="A1480" t="str">
        <f>T("   Z2")</f>
        <v xml:space="preserve">   Z2</v>
      </c>
      <c r="B1480" t="str">
        <f>T("   Pays non défini")</f>
        <v xml:space="preserve">   Pays non défini</v>
      </c>
      <c r="C1480">
        <v>1964000</v>
      </c>
      <c r="D1480">
        <v>53990</v>
      </c>
    </row>
    <row r="1481" spans="1:4" x14ac:dyDescent="0.25">
      <c r="A1481" t="str">
        <f>T("190220")</f>
        <v>190220</v>
      </c>
      <c r="B1481" t="str">
        <f>T("Pâtes alimentaires, farcies de viande ou d'autres substances, même cuites ou autrement préparées")</f>
        <v>Pâtes alimentaires, farcies de viande ou d'autres substances, même cuites ou autrement préparées</v>
      </c>
    </row>
    <row r="1482" spans="1:4" x14ac:dyDescent="0.25">
      <c r="A1482" t="str">
        <f>T("   ZZZ_Monde")</f>
        <v xml:space="preserve">   ZZZ_Monde</v>
      </c>
      <c r="B1482" t="str">
        <f>T("   ZZZ_Monde")</f>
        <v xml:space="preserve">   ZZZ_Monde</v>
      </c>
      <c r="C1482">
        <v>117655205</v>
      </c>
      <c r="D1482">
        <v>481012</v>
      </c>
    </row>
    <row r="1483" spans="1:4" x14ac:dyDescent="0.25">
      <c r="A1483" t="str">
        <f>T("   AE")</f>
        <v xml:space="preserve">   AE</v>
      </c>
      <c r="B1483" t="str">
        <f>T("   Emirats Arabes Unis")</f>
        <v xml:space="preserve">   Emirats Arabes Unis</v>
      </c>
      <c r="C1483">
        <v>17501013</v>
      </c>
      <c r="D1483">
        <v>81000</v>
      </c>
    </row>
    <row r="1484" spans="1:4" x14ac:dyDescent="0.25">
      <c r="A1484" t="str">
        <f>T("   FR")</f>
        <v xml:space="preserve">   FR</v>
      </c>
      <c r="B1484" t="str">
        <f>T("   France")</f>
        <v xml:space="preserve">   France</v>
      </c>
      <c r="C1484">
        <v>21647</v>
      </c>
      <c r="D1484">
        <v>144</v>
      </c>
    </row>
    <row r="1485" spans="1:4" x14ac:dyDescent="0.25">
      <c r="A1485" t="str">
        <f>T("   NG")</f>
        <v xml:space="preserve">   NG</v>
      </c>
      <c r="B1485" t="str">
        <f>T("   Nigéria")</f>
        <v xml:space="preserve">   Nigéria</v>
      </c>
      <c r="C1485">
        <v>23061586</v>
      </c>
      <c r="D1485">
        <v>45000</v>
      </c>
    </row>
    <row r="1486" spans="1:4" x14ac:dyDescent="0.25">
      <c r="A1486" t="str">
        <f>T("   TG")</f>
        <v xml:space="preserve">   TG</v>
      </c>
      <c r="B1486" t="str">
        <f>T("   Togo")</f>
        <v xml:space="preserve">   Togo</v>
      </c>
      <c r="C1486">
        <v>237709</v>
      </c>
      <c r="D1486">
        <v>1800</v>
      </c>
    </row>
    <row r="1487" spans="1:4" x14ac:dyDescent="0.25">
      <c r="A1487" t="str">
        <f>T("   TR")</f>
        <v xml:space="preserve">   TR</v>
      </c>
      <c r="B1487" t="str">
        <f>T("   Turquie")</f>
        <v xml:space="preserve">   Turquie</v>
      </c>
      <c r="C1487">
        <v>76833250</v>
      </c>
      <c r="D1487">
        <v>353068</v>
      </c>
    </row>
    <row r="1488" spans="1:4" x14ac:dyDescent="0.25">
      <c r="A1488" t="str">
        <f>T("190230")</f>
        <v>190230</v>
      </c>
      <c r="B1488" t="str">
        <f>T("Pâtes alimentaires, cuites ou autrement préparées (à l'excl. des pâtes alimentaires farcies)")</f>
        <v>Pâtes alimentaires, cuites ou autrement préparées (à l'excl. des pâtes alimentaires farcies)</v>
      </c>
    </row>
    <row r="1489" spans="1:4" x14ac:dyDescent="0.25">
      <c r="A1489" t="str">
        <f>T("   ZZZ_Monde")</f>
        <v xml:space="preserve">   ZZZ_Monde</v>
      </c>
      <c r="B1489" t="str">
        <f>T("   ZZZ_Monde")</f>
        <v xml:space="preserve">   ZZZ_Monde</v>
      </c>
      <c r="C1489">
        <v>2082840603</v>
      </c>
      <c r="D1489">
        <v>8679058</v>
      </c>
    </row>
    <row r="1490" spans="1:4" x14ac:dyDescent="0.25">
      <c r="A1490" t="str">
        <f>T("   AE")</f>
        <v xml:space="preserve">   AE</v>
      </c>
      <c r="B1490" t="str">
        <f>T("   Emirats Arabes Unis")</f>
        <v xml:space="preserve">   Emirats Arabes Unis</v>
      </c>
      <c r="C1490">
        <v>8357888</v>
      </c>
      <c r="D1490">
        <v>31101</v>
      </c>
    </row>
    <row r="1491" spans="1:4" x14ac:dyDescent="0.25">
      <c r="A1491" t="str">
        <f>T("   CI")</f>
        <v xml:space="preserve">   CI</v>
      </c>
      <c r="B1491" t="str">
        <f>T("   Côte d'Ivoire")</f>
        <v xml:space="preserve">   Côte d'Ivoire</v>
      </c>
      <c r="C1491">
        <v>13750000</v>
      </c>
      <c r="D1491">
        <v>50000</v>
      </c>
    </row>
    <row r="1492" spans="1:4" x14ac:dyDescent="0.25">
      <c r="A1492" t="str">
        <f>T("   CN")</f>
        <v xml:space="preserve">   CN</v>
      </c>
      <c r="B1492" t="str">
        <f>T("   Chine")</f>
        <v xml:space="preserve">   Chine</v>
      </c>
      <c r="C1492">
        <v>290863993</v>
      </c>
      <c r="D1492">
        <v>1198404</v>
      </c>
    </row>
    <row r="1493" spans="1:4" x14ac:dyDescent="0.25">
      <c r="A1493" t="str">
        <f>T("   FR")</f>
        <v xml:space="preserve">   FR</v>
      </c>
      <c r="B1493" t="str">
        <f>T("   France")</f>
        <v xml:space="preserve">   France</v>
      </c>
      <c r="C1493">
        <v>185693940</v>
      </c>
      <c r="D1493">
        <v>507557</v>
      </c>
    </row>
    <row r="1494" spans="1:4" x14ac:dyDescent="0.25">
      <c r="A1494" t="str">
        <f>T("   GB")</f>
        <v xml:space="preserve">   GB</v>
      </c>
      <c r="B1494" t="str">
        <f>T("   Royaume-Uni")</f>
        <v xml:space="preserve">   Royaume-Uni</v>
      </c>
      <c r="C1494">
        <v>7074414</v>
      </c>
      <c r="D1494">
        <v>28020</v>
      </c>
    </row>
    <row r="1495" spans="1:4" x14ac:dyDescent="0.25">
      <c r="A1495" t="str">
        <f>T("   HK")</f>
        <v xml:space="preserve">   HK</v>
      </c>
      <c r="B1495" t="str">
        <f>T("   Hong-Kong")</f>
        <v xml:space="preserve">   Hong-Kong</v>
      </c>
      <c r="C1495">
        <v>474769970</v>
      </c>
      <c r="D1495">
        <v>1776365</v>
      </c>
    </row>
    <row r="1496" spans="1:4" x14ac:dyDescent="0.25">
      <c r="A1496" t="str">
        <f>T("   IT")</f>
        <v xml:space="preserve">   IT</v>
      </c>
      <c r="B1496" t="str">
        <f>T("   Italie")</f>
        <v xml:space="preserve">   Italie</v>
      </c>
      <c r="C1496">
        <v>104686689</v>
      </c>
      <c r="D1496">
        <v>404285</v>
      </c>
    </row>
    <row r="1497" spans="1:4" x14ac:dyDescent="0.25">
      <c r="A1497" t="str">
        <f>T("   NG")</f>
        <v xml:space="preserve">   NG</v>
      </c>
      <c r="B1497" t="str">
        <f>T("   Nigéria")</f>
        <v xml:space="preserve">   Nigéria</v>
      </c>
      <c r="C1497">
        <v>10158181</v>
      </c>
      <c r="D1497">
        <v>50615</v>
      </c>
    </row>
    <row r="1498" spans="1:4" x14ac:dyDescent="0.25">
      <c r="A1498" t="str">
        <f>T("   PK")</f>
        <v xml:space="preserve">   PK</v>
      </c>
      <c r="B1498" t="str">
        <f>T("   Pakistan")</f>
        <v xml:space="preserve">   Pakistan</v>
      </c>
      <c r="C1498">
        <v>39307</v>
      </c>
      <c r="D1498">
        <v>154</v>
      </c>
    </row>
    <row r="1499" spans="1:4" x14ac:dyDescent="0.25">
      <c r="A1499" t="str">
        <f>T("   PL")</f>
        <v xml:space="preserve">   PL</v>
      </c>
      <c r="B1499" t="str">
        <f>T("   Pologne")</f>
        <v xml:space="preserve">   Pologne</v>
      </c>
      <c r="C1499">
        <v>5835420</v>
      </c>
      <c r="D1499">
        <v>6440</v>
      </c>
    </row>
    <row r="1500" spans="1:4" x14ac:dyDescent="0.25">
      <c r="A1500" t="str">
        <f>T("   SG")</f>
        <v xml:space="preserve">   SG</v>
      </c>
      <c r="B1500" t="str">
        <f>T("   Singapour")</f>
        <v xml:space="preserve">   Singapour</v>
      </c>
      <c r="C1500">
        <v>20109366</v>
      </c>
      <c r="D1500">
        <v>81106</v>
      </c>
    </row>
    <row r="1501" spans="1:4" x14ac:dyDescent="0.25">
      <c r="A1501" t="str">
        <f>T("   TG")</f>
        <v xml:space="preserve">   TG</v>
      </c>
      <c r="B1501" t="str">
        <f>T("   Togo")</f>
        <v xml:space="preserve">   Togo</v>
      </c>
      <c r="C1501">
        <v>10428865</v>
      </c>
      <c r="D1501">
        <v>46942</v>
      </c>
    </row>
    <row r="1502" spans="1:4" x14ac:dyDescent="0.25">
      <c r="A1502" t="str">
        <f>T("   TN")</f>
        <v xml:space="preserve">   TN</v>
      </c>
      <c r="B1502" t="str">
        <f>T("   Tunisie")</f>
        <v xml:space="preserve">   Tunisie</v>
      </c>
      <c r="C1502">
        <v>56015720</v>
      </c>
      <c r="D1502">
        <v>269716</v>
      </c>
    </row>
    <row r="1503" spans="1:4" x14ac:dyDescent="0.25">
      <c r="A1503" t="str">
        <f>T("   TR")</f>
        <v xml:space="preserve">   TR</v>
      </c>
      <c r="B1503" t="str">
        <f>T("   Turquie")</f>
        <v xml:space="preserve">   Turquie</v>
      </c>
      <c r="C1503">
        <v>895056850</v>
      </c>
      <c r="D1503">
        <v>4228353</v>
      </c>
    </row>
    <row r="1504" spans="1:4" x14ac:dyDescent="0.25">
      <c r="A1504" t="str">
        <f>T("190240")</f>
        <v>190240</v>
      </c>
      <c r="B1504" t="str">
        <f>T("Couscous, même préparé")</f>
        <v>Couscous, même préparé</v>
      </c>
    </row>
    <row r="1505" spans="1:4" x14ac:dyDescent="0.25">
      <c r="A1505" t="str">
        <f>T("   ZZZ_Monde")</f>
        <v xml:space="preserve">   ZZZ_Monde</v>
      </c>
      <c r="B1505" t="str">
        <f>T("   ZZZ_Monde")</f>
        <v xml:space="preserve">   ZZZ_Monde</v>
      </c>
      <c r="C1505">
        <v>407856509</v>
      </c>
      <c r="D1505">
        <v>1414733</v>
      </c>
    </row>
    <row r="1506" spans="1:4" x14ac:dyDescent="0.25">
      <c r="A1506" t="str">
        <f>T("   AE")</f>
        <v xml:space="preserve">   AE</v>
      </c>
      <c r="B1506" t="str">
        <f>T("   Emirats Arabes Unis")</f>
        <v xml:space="preserve">   Emirats Arabes Unis</v>
      </c>
      <c r="C1506">
        <v>5834764</v>
      </c>
      <c r="D1506">
        <v>19600</v>
      </c>
    </row>
    <row r="1507" spans="1:4" x14ac:dyDescent="0.25">
      <c r="A1507" t="str">
        <f>T("   CN")</f>
        <v xml:space="preserve">   CN</v>
      </c>
      <c r="B1507" t="str">
        <f>T("   Chine")</f>
        <v xml:space="preserve">   Chine</v>
      </c>
      <c r="C1507">
        <v>15675000</v>
      </c>
      <c r="D1507">
        <v>108500</v>
      </c>
    </row>
    <row r="1508" spans="1:4" x14ac:dyDescent="0.25">
      <c r="A1508" t="str">
        <f>T("   FR")</f>
        <v xml:space="preserve">   FR</v>
      </c>
      <c r="B1508" t="str">
        <f>T("   France")</f>
        <v xml:space="preserve">   France</v>
      </c>
      <c r="C1508">
        <v>154527427</v>
      </c>
      <c r="D1508">
        <v>432385</v>
      </c>
    </row>
    <row r="1509" spans="1:4" x14ac:dyDescent="0.25">
      <c r="A1509" t="str">
        <f>T("   MA")</f>
        <v xml:space="preserve">   MA</v>
      </c>
      <c r="B1509" t="str">
        <f>T("   Maroc")</f>
        <v xml:space="preserve">   Maroc</v>
      </c>
      <c r="C1509">
        <v>152182137</v>
      </c>
      <c r="D1509">
        <v>524116</v>
      </c>
    </row>
    <row r="1510" spans="1:4" x14ac:dyDescent="0.25">
      <c r="A1510" t="str">
        <f>T("   TG")</f>
        <v xml:space="preserve">   TG</v>
      </c>
      <c r="B1510" t="str">
        <f>T("   Togo")</f>
        <v xml:space="preserve">   Togo</v>
      </c>
      <c r="C1510">
        <v>26775000</v>
      </c>
      <c r="D1510">
        <v>89150</v>
      </c>
    </row>
    <row r="1511" spans="1:4" x14ac:dyDescent="0.25">
      <c r="A1511" t="str">
        <f>T("   TN")</f>
        <v xml:space="preserve">   TN</v>
      </c>
      <c r="B1511" t="str">
        <f>T("   Tunisie")</f>
        <v xml:space="preserve">   Tunisie</v>
      </c>
      <c r="C1511">
        <v>27722181</v>
      </c>
      <c r="D1511">
        <v>111928</v>
      </c>
    </row>
    <row r="1512" spans="1:4" x14ac:dyDescent="0.25">
      <c r="A1512" t="str">
        <f>T("   TR")</f>
        <v xml:space="preserve">   TR</v>
      </c>
      <c r="B1512" t="str">
        <f>T("   Turquie")</f>
        <v xml:space="preserve">   Turquie</v>
      </c>
      <c r="C1512">
        <v>23340000</v>
      </c>
      <c r="D1512">
        <v>75104</v>
      </c>
    </row>
    <row r="1513" spans="1:4" x14ac:dyDescent="0.25">
      <c r="A1513" t="str">
        <f>T("   Z2")</f>
        <v xml:space="preserve">   Z2</v>
      </c>
      <c r="B1513" t="str">
        <f>T("   Pays non défini")</f>
        <v xml:space="preserve">   Pays non défini</v>
      </c>
      <c r="C1513">
        <v>1800000</v>
      </c>
      <c r="D1513">
        <v>53950</v>
      </c>
    </row>
    <row r="1514" spans="1:4" x14ac:dyDescent="0.25">
      <c r="A1514" t="str">
        <f>T("190410")</f>
        <v>190410</v>
      </c>
      <c r="B1514" t="str">
        <f>T("PRODUITS À BASE DE CÉRÉALES OBTENUS PAR SOUFFLAGE OU GRILLAGE [CORN FLAKES, P.EX.]")</f>
        <v>PRODUITS À BASE DE CÉRÉALES OBTENUS PAR SOUFFLAGE OU GRILLAGE [CORN FLAKES, P.EX.]</v>
      </c>
    </row>
    <row r="1515" spans="1:4" x14ac:dyDescent="0.25">
      <c r="A1515" t="str">
        <f>T("   ZZZ_Monde")</f>
        <v xml:space="preserve">   ZZZ_Monde</v>
      </c>
      <c r="B1515" t="str">
        <f>T("   ZZZ_Monde")</f>
        <v xml:space="preserve">   ZZZ_Monde</v>
      </c>
      <c r="C1515">
        <v>44833886</v>
      </c>
      <c r="D1515">
        <v>56463</v>
      </c>
    </row>
    <row r="1516" spans="1:4" x14ac:dyDescent="0.25">
      <c r="A1516" t="str">
        <f>T("   BE")</f>
        <v xml:space="preserve">   BE</v>
      </c>
      <c r="B1516" t="str">
        <f>T("   Belgique")</f>
        <v xml:space="preserve">   Belgique</v>
      </c>
      <c r="C1516">
        <v>6610765</v>
      </c>
      <c r="D1516">
        <v>7975</v>
      </c>
    </row>
    <row r="1517" spans="1:4" x14ac:dyDescent="0.25">
      <c r="A1517" t="str">
        <f>T("   FR")</f>
        <v xml:space="preserve">   FR</v>
      </c>
      <c r="B1517" t="str">
        <f>T("   France")</f>
        <v xml:space="preserve">   France</v>
      </c>
      <c r="C1517">
        <v>30643172</v>
      </c>
      <c r="D1517">
        <v>37533</v>
      </c>
    </row>
    <row r="1518" spans="1:4" x14ac:dyDescent="0.25">
      <c r="A1518" t="str">
        <f>T("   GB")</f>
        <v xml:space="preserve">   GB</v>
      </c>
      <c r="B1518" t="str">
        <f>T("   Royaume-Uni")</f>
        <v xml:space="preserve">   Royaume-Uni</v>
      </c>
      <c r="C1518">
        <v>4729193</v>
      </c>
      <c r="D1518">
        <v>7745</v>
      </c>
    </row>
    <row r="1519" spans="1:4" x14ac:dyDescent="0.25">
      <c r="A1519" t="str">
        <f>T("   HK")</f>
        <v xml:space="preserve">   HK</v>
      </c>
      <c r="B1519" t="str">
        <f>T("   Hong-Kong")</f>
        <v xml:space="preserve">   Hong-Kong</v>
      </c>
      <c r="C1519">
        <v>198755</v>
      </c>
      <c r="D1519">
        <v>144</v>
      </c>
    </row>
    <row r="1520" spans="1:4" x14ac:dyDescent="0.25">
      <c r="A1520" t="str">
        <f>T("   ID")</f>
        <v xml:space="preserve">   ID</v>
      </c>
      <c r="B1520" t="str">
        <f>T("   Indonésie")</f>
        <v xml:space="preserve">   Indonésie</v>
      </c>
      <c r="C1520">
        <v>432610</v>
      </c>
      <c r="D1520">
        <v>433</v>
      </c>
    </row>
    <row r="1521" spans="1:4" x14ac:dyDescent="0.25">
      <c r="A1521" t="str">
        <f>T("   SG")</f>
        <v xml:space="preserve">   SG</v>
      </c>
      <c r="B1521" t="str">
        <f>T("   Singapour")</f>
        <v xml:space="preserve">   Singapour</v>
      </c>
      <c r="C1521">
        <v>2219391</v>
      </c>
      <c r="D1521">
        <v>2633</v>
      </c>
    </row>
    <row r="1522" spans="1:4" x14ac:dyDescent="0.25">
      <c r="A1522" t="str">
        <f>T("190430")</f>
        <v>190430</v>
      </c>
      <c r="B1522" t="str">
        <f>T("Bulgur de blé sous forme de grains travaillés, obtenu par cuisson des grains de blé dur")</f>
        <v>Bulgur de blé sous forme de grains travaillés, obtenu par cuisson des grains de blé dur</v>
      </c>
    </row>
    <row r="1523" spans="1:4" x14ac:dyDescent="0.25">
      <c r="A1523" t="str">
        <f>T("   ZZZ_Monde")</f>
        <v xml:space="preserve">   ZZZ_Monde</v>
      </c>
      <c r="B1523" t="str">
        <f>T("   ZZZ_Monde")</f>
        <v xml:space="preserve">   ZZZ_Monde</v>
      </c>
      <c r="C1523">
        <v>606377</v>
      </c>
      <c r="D1523">
        <v>2637</v>
      </c>
    </row>
    <row r="1524" spans="1:4" x14ac:dyDescent="0.25">
      <c r="A1524" t="str">
        <f>T("   LB")</f>
        <v xml:space="preserve">   LB</v>
      </c>
      <c r="B1524" t="str">
        <f>T("   Liban")</f>
        <v xml:space="preserve">   Liban</v>
      </c>
      <c r="C1524">
        <v>606377</v>
      </c>
      <c r="D1524">
        <v>2637</v>
      </c>
    </row>
    <row r="1525" spans="1:4" x14ac:dyDescent="0.25">
      <c r="A1525" t="str">
        <f>T("190490")</f>
        <v>190490</v>
      </c>
      <c r="B1525" t="str">
        <f>T("Céréales (à l'excl. du maïs) en grains ou sous forme de flocons ou de grains autrement travaillés, précuites ou autrement préparées, n.d.a. (à l'excl. de la farine, du gruau et de la semoule, des préparations alimentaires à base de flocons de céréales non")</f>
        <v>Céréales (à l'excl. du maïs) en grains ou sous forme de flocons ou de grains autrement travaillés, précuites ou autrement préparées, n.d.a. (à l'excl. de la farine, du gruau et de la semoule, des préparations alimentaires à base de flocons de céréales non</v>
      </c>
    </row>
    <row r="1526" spans="1:4" x14ac:dyDescent="0.25">
      <c r="A1526" t="str">
        <f>T("   ZZZ_Monde")</f>
        <v xml:space="preserve">   ZZZ_Monde</v>
      </c>
      <c r="B1526" t="str">
        <f>T("   ZZZ_Monde")</f>
        <v xml:space="preserve">   ZZZ_Monde</v>
      </c>
      <c r="C1526">
        <v>20945951</v>
      </c>
      <c r="D1526">
        <v>13547</v>
      </c>
    </row>
    <row r="1527" spans="1:4" x14ac:dyDescent="0.25">
      <c r="A1527" t="str">
        <f>T("   FR")</f>
        <v xml:space="preserve">   FR</v>
      </c>
      <c r="B1527" t="str">
        <f>T("   France")</f>
        <v xml:space="preserve">   France</v>
      </c>
      <c r="C1527">
        <v>1565087</v>
      </c>
      <c r="D1527">
        <v>999</v>
      </c>
    </row>
    <row r="1528" spans="1:4" x14ac:dyDescent="0.25">
      <c r="A1528" t="str">
        <f>T("   IT")</f>
        <v xml:space="preserve">   IT</v>
      </c>
      <c r="B1528" t="str">
        <f>T("   Italie")</f>
        <v xml:space="preserve">   Italie</v>
      </c>
      <c r="C1528">
        <v>2500519</v>
      </c>
      <c r="D1528">
        <v>1240</v>
      </c>
    </row>
    <row r="1529" spans="1:4" x14ac:dyDescent="0.25">
      <c r="A1529" t="str">
        <f>T("   US")</f>
        <v xml:space="preserve">   US</v>
      </c>
      <c r="B1529" t="str">
        <f>T("   Etats-Unis")</f>
        <v xml:space="preserve">   Etats-Unis</v>
      </c>
      <c r="C1529">
        <v>196624</v>
      </c>
      <c r="D1529">
        <v>308</v>
      </c>
    </row>
    <row r="1530" spans="1:4" x14ac:dyDescent="0.25">
      <c r="A1530" t="str">
        <f>T("   ZA")</f>
        <v xml:space="preserve">   ZA</v>
      </c>
      <c r="B1530" t="str">
        <f>T("   Afrique du Sud")</f>
        <v xml:space="preserve">   Afrique du Sud</v>
      </c>
      <c r="C1530">
        <v>16683721</v>
      </c>
      <c r="D1530">
        <v>11000</v>
      </c>
    </row>
    <row r="1531" spans="1:4" x14ac:dyDescent="0.25">
      <c r="A1531" t="str">
        <f>T("190520")</f>
        <v>190520</v>
      </c>
      <c r="B1531" t="str">
        <f>T("Pain d'épices, même additionné de cacao")</f>
        <v>Pain d'épices, même additionné de cacao</v>
      </c>
    </row>
    <row r="1532" spans="1:4" x14ac:dyDescent="0.25">
      <c r="A1532" t="str">
        <f>T("   ZZZ_Monde")</f>
        <v xml:space="preserve">   ZZZ_Monde</v>
      </c>
      <c r="B1532" t="str">
        <f>T("   ZZZ_Monde")</f>
        <v xml:space="preserve">   ZZZ_Monde</v>
      </c>
      <c r="C1532">
        <v>6111586</v>
      </c>
      <c r="D1532">
        <v>10014</v>
      </c>
    </row>
    <row r="1533" spans="1:4" x14ac:dyDescent="0.25">
      <c r="A1533" t="str">
        <f>T("   BE")</f>
        <v xml:space="preserve">   BE</v>
      </c>
      <c r="B1533" t="str">
        <f>T("   Belgique")</f>
        <v xml:space="preserve">   Belgique</v>
      </c>
      <c r="C1533">
        <v>4648132</v>
      </c>
      <c r="D1533">
        <v>7158</v>
      </c>
    </row>
    <row r="1534" spans="1:4" x14ac:dyDescent="0.25">
      <c r="A1534" t="str">
        <f>T("   FR")</f>
        <v xml:space="preserve">   FR</v>
      </c>
      <c r="B1534" t="str">
        <f>T("   France")</f>
        <v xml:space="preserve">   France</v>
      </c>
      <c r="C1534">
        <v>1463454</v>
      </c>
      <c r="D1534">
        <v>2856</v>
      </c>
    </row>
    <row r="1535" spans="1:4" x14ac:dyDescent="0.25">
      <c r="A1535" t="str">
        <f>T("190530")</f>
        <v>190530</v>
      </c>
      <c r="B1535" t="str">
        <f>T("BISCUITS ADDITIONNES D'EDULCORANTS, GAUFRES ET GAUFRETTES, MÊME ADDITIONNES DE CACAO (À L'EXCL. DES GAUFRES ET GAUFRETTES AYANT UNE TENEUR EN EAU &gt; 10%)")</f>
        <v>BISCUITS ADDITIONNES D'EDULCORANTS, GAUFRES ET GAUFRETTES, MÊME ADDITIONNES DE CACAO (À L'EXCL. DES GAUFRES ET GAUFRETTES AYANT UNE TENEUR EN EAU &gt; 10%)</v>
      </c>
    </row>
    <row r="1536" spans="1:4" x14ac:dyDescent="0.25">
      <c r="A1536" t="str">
        <f>T("   ZZZ_Monde")</f>
        <v xml:space="preserve">   ZZZ_Monde</v>
      </c>
      <c r="B1536" t="str">
        <f>T("   ZZZ_Monde")</f>
        <v xml:space="preserve">   ZZZ_Monde</v>
      </c>
      <c r="C1536">
        <v>108047</v>
      </c>
      <c r="D1536">
        <v>192</v>
      </c>
    </row>
    <row r="1537" spans="1:4" x14ac:dyDescent="0.25">
      <c r="A1537" t="str">
        <f>T("   TG")</f>
        <v xml:space="preserve">   TG</v>
      </c>
      <c r="B1537" t="str">
        <f>T("   Togo")</f>
        <v xml:space="preserve">   Togo</v>
      </c>
      <c r="C1537">
        <v>108047</v>
      </c>
      <c r="D1537">
        <v>192</v>
      </c>
    </row>
    <row r="1538" spans="1:4" x14ac:dyDescent="0.25">
      <c r="A1538" t="str">
        <f>T("190531")</f>
        <v>190531</v>
      </c>
      <c r="B1538" t="str">
        <f>T("Biscuits additionnés d'édulcorants")</f>
        <v>Biscuits additionnés d'édulcorants</v>
      </c>
    </row>
    <row r="1539" spans="1:4" x14ac:dyDescent="0.25">
      <c r="A1539" t="str">
        <f>T("   ZZZ_Monde")</f>
        <v xml:space="preserve">   ZZZ_Monde</v>
      </c>
      <c r="B1539" t="str">
        <f>T("   ZZZ_Monde")</f>
        <v xml:space="preserve">   ZZZ_Monde</v>
      </c>
      <c r="C1539">
        <v>716473261</v>
      </c>
      <c r="D1539">
        <v>1888354.73</v>
      </c>
    </row>
    <row r="1540" spans="1:4" x14ac:dyDescent="0.25">
      <c r="A1540" t="str">
        <f>T("   AE")</f>
        <v xml:space="preserve">   AE</v>
      </c>
      <c r="B1540" t="str">
        <f>T("   Emirats Arabes Unis")</f>
        <v xml:space="preserve">   Emirats Arabes Unis</v>
      </c>
      <c r="C1540">
        <v>12788243</v>
      </c>
      <c r="D1540">
        <v>21451</v>
      </c>
    </row>
    <row r="1541" spans="1:4" x14ac:dyDescent="0.25">
      <c r="A1541" t="str">
        <f>T("   BE")</f>
        <v xml:space="preserve">   BE</v>
      </c>
      <c r="B1541" t="str">
        <f>T("   Belgique")</f>
        <v xml:space="preserve">   Belgique</v>
      </c>
      <c r="C1541">
        <v>18469866</v>
      </c>
      <c r="D1541">
        <v>48672</v>
      </c>
    </row>
    <row r="1542" spans="1:4" x14ac:dyDescent="0.25">
      <c r="A1542" t="str">
        <f>T("   CN")</f>
        <v xml:space="preserve">   CN</v>
      </c>
      <c r="B1542" t="str">
        <f>T("   Chine")</f>
        <v xml:space="preserve">   Chine</v>
      </c>
      <c r="C1542">
        <v>126233857</v>
      </c>
      <c r="D1542">
        <v>295258</v>
      </c>
    </row>
    <row r="1543" spans="1:4" x14ac:dyDescent="0.25">
      <c r="A1543" t="str">
        <f>T("   DK")</f>
        <v xml:space="preserve">   DK</v>
      </c>
      <c r="B1543" t="str">
        <f>T("   Danemark")</f>
        <v xml:space="preserve">   Danemark</v>
      </c>
      <c r="C1543">
        <v>5179935</v>
      </c>
      <c r="D1543">
        <v>2285</v>
      </c>
    </row>
    <row r="1544" spans="1:4" x14ac:dyDescent="0.25">
      <c r="A1544" t="str">
        <f>T("   ES")</f>
        <v xml:space="preserve">   ES</v>
      </c>
      <c r="B1544" t="str">
        <f>T("   Espagne")</f>
        <v xml:space="preserve">   Espagne</v>
      </c>
      <c r="C1544">
        <v>21807636</v>
      </c>
      <c r="D1544">
        <v>25540</v>
      </c>
    </row>
    <row r="1545" spans="1:4" x14ac:dyDescent="0.25">
      <c r="A1545" t="str">
        <f>T("   FR")</f>
        <v xml:space="preserve">   FR</v>
      </c>
      <c r="B1545" t="str">
        <f>T("   France")</f>
        <v xml:space="preserve">   France</v>
      </c>
      <c r="C1545">
        <v>31614540</v>
      </c>
      <c r="D1545">
        <v>42044.73</v>
      </c>
    </row>
    <row r="1546" spans="1:4" x14ac:dyDescent="0.25">
      <c r="A1546" t="str">
        <f>T("   GH")</f>
        <v xml:space="preserve">   GH</v>
      </c>
      <c r="B1546" t="str">
        <f>T("   Ghana")</f>
        <v xml:space="preserve">   Ghana</v>
      </c>
      <c r="C1546">
        <v>12821753</v>
      </c>
      <c r="D1546">
        <v>36090</v>
      </c>
    </row>
    <row r="1547" spans="1:4" x14ac:dyDescent="0.25">
      <c r="A1547" t="str">
        <f>T("   GM")</f>
        <v xml:space="preserve">   GM</v>
      </c>
      <c r="B1547" t="str">
        <f>T("   Gambie")</f>
        <v xml:space="preserve">   Gambie</v>
      </c>
      <c r="C1547">
        <v>787572</v>
      </c>
      <c r="D1547">
        <v>13000</v>
      </c>
    </row>
    <row r="1548" spans="1:4" x14ac:dyDescent="0.25">
      <c r="A1548" t="str">
        <f>T("   IN")</f>
        <v xml:space="preserve">   IN</v>
      </c>
      <c r="B1548" t="str">
        <f>T("   Inde")</f>
        <v xml:space="preserve">   Inde</v>
      </c>
      <c r="C1548">
        <v>137860146</v>
      </c>
      <c r="D1548">
        <v>538700</v>
      </c>
    </row>
    <row r="1549" spans="1:4" x14ac:dyDescent="0.25">
      <c r="A1549" t="str">
        <f>T("   LB")</f>
        <v xml:space="preserve">   LB</v>
      </c>
      <c r="B1549" t="str">
        <f>T("   Liban")</f>
        <v xml:space="preserve">   Liban</v>
      </c>
      <c r="C1549">
        <v>33278225</v>
      </c>
      <c r="D1549">
        <v>82480</v>
      </c>
    </row>
    <row r="1550" spans="1:4" x14ac:dyDescent="0.25">
      <c r="A1550" t="str">
        <f>T("   LT")</f>
        <v xml:space="preserve">   LT</v>
      </c>
      <c r="B1550" t="str">
        <f>T("   Lituanie")</f>
        <v xml:space="preserve">   Lituanie</v>
      </c>
      <c r="C1550">
        <v>8527</v>
      </c>
      <c r="D1550">
        <v>15</v>
      </c>
    </row>
    <row r="1551" spans="1:4" x14ac:dyDescent="0.25">
      <c r="A1551" t="str">
        <f>T("   MA")</f>
        <v xml:space="preserve">   MA</v>
      </c>
      <c r="B1551" t="str">
        <f>T("   Maroc")</f>
        <v xml:space="preserve">   Maroc</v>
      </c>
      <c r="C1551">
        <v>3461000</v>
      </c>
      <c r="D1551">
        <v>7572</v>
      </c>
    </row>
    <row r="1552" spans="1:4" x14ac:dyDescent="0.25">
      <c r="A1552" t="str">
        <f>T("   MY")</f>
        <v xml:space="preserve">   MY</v>
      </c>
      <c r="B1552" t="str">
        <f>T("   Malaisie")</f>
        <v xml:space="preserve">   Malaisie</v>
      </c>
      <c r="C1552">
        <v>31290032</v>
      </c>
      <c r="D1552">
        <v>58108</v>
      </c>
    </row>
    <row r="1553" spans="1:4" x14ac:dyDescent="0.25">
      <c r="A1553" t="str">
        <f>T("   NL")</f>
        <v xml:space="preserve">   NL</v>
      </c>
      <c r="B1553" t="str">
        <f>T("   Pays-bas")</f>
        <v xml:space="preserve">   Pays-bas</v>
      </c>
      <c r="C1553">
        <v>45757539</v>
      </c>
      <c r="D1553">
        <v>37911</v>
      </c>
    </row>
    <row r="1554" spans="1:4" x14ac:dyDescent="0.25">
      <c r="A1554" t="str">
        <f>T("   SG")</f>
        <v xml:space="preserve">   SG</v>
      </c>
      <c r="B1554" t="str">
        <f>T("   Singapour")</f>
        <v xml:space="preserve">   Singapour</v>
      </c>
      <c r="C1554">
        <v>2900067</v>
      </c>
      <c r="D1554">
        <v>3440</v>
      </c>
    </row>
    <row r="1555" spans="1:4" x14ac:dyDescent="0.25">
      <c r="A1555" t="str">
        <f>T("   SN")</f>
        <v xml:space="preserve">   SN</v>
      </c>
      <c r="B1555" t="str">
        <f>T("   Sénégal")</f>
        <v xml:space="preserve">   Sénégal</v>
      </c>
      <c r="C1555">
        <v>7036369</v>
      </c>
      <c r="D1555">
        <v>12300</v>
      </c>
    </row>
    <row r="1556" spans="1:4" x14ac:dyDescent="0.25">
      <c r="A1556" t="str">
        <f>T("   TG")</f>
        <v xml:space="preserve">   TG</v>
      </c>
      <c r="B1556" t="str">
        <f>T("   Togo")</f>
        <v xml:space="preserve">   Togo</v>
      </c>
      <c r="C1556">
        <v>62673987</v>
      </c>
      <c r="D1556">
        <v>206648</v>
      </c>
    </row>
    <row r="1557" spans="1:4" x14ac:dyDescent="0.25">
      <c r="A1557" t="str">
        <f>T("   TH")</f>
        <v xml:space="preserve">   TH</v>
      </c>
      <c r="B1557" t="str">
        <f>T("   Thaïlande")</f>
        <v xml:space="preserve">   Thaïlande</v>
      </c>
      <c r="C1557">
        <v>32392000</v>
      </c>
      <c r="D1557">
        <v>62455</v>
      </c>
    </row>
    <row r="1558" spans="1:4" x14ac:dyDescent="0.25">
      <c r="A1558" t="str">
        <f>T("   TN")</f>
        <v xml:space="preserve">   TN</v>
      </c>
      <c r="B1558" t="str">
        <f>T("   Tunisie")</f>
        <v xml:space="preserve">   Tunisie</v>
      </c>
      <c r="C1558">
        <v>5391991</v>
      </c>
      <c r="D1558">
        <v>22612</v>
      </c>
    </row>
    <row r="1559" spans="1:4" x14ac:dyDescent="0.25">
      <c r="A1559" t="str">
        <f>T("   TR")</f>
        <v xml:space="preserve">   TR</v>
      </c>
      <c r="B1559" t="str">
        <f>T("   Turquie")</f>
        <v xml:space="preserve">   Turquie</v>
      </c>
      <c r="C1559">
        <v>82626109</v>
      </c>
      <c r="D1559">
        <v>253991</v>
      </c>
    </row>
    <row r="1560" spans="1:4" x14ac:dyDescent="0.25">
      <c r="A1560" t="str">
        <f>T("   US")</f>
        <v xml:space="preserve">   US</v>
      </c>
      <c r="B1560" t="str">
        <f>T("   Etats-Unis")</f>
        <v xml:space="preserve">   Etats-Unis</v>
      </c>
      <c r="C1560">
        <v>27680291</v>
      </c>
      <c r="D1560">
        <v>101385</v>
      </c>
    </row>
    <row r="1561" spans="1:4" x14ac:dyDescent="0.25">
      <c r="A1561" t="str">
        <f>T("   VN")</f>
        <v xml:space="preserve">   VN</v>
      </c>
      <c r="B1561" t="str">
        <f>T("   Vietnam")</f>
        <v xml:space="preserve">   Vietnam</v>
      </c>
      <c r="C1561">
        <v>14413576</v>
      </c>
      <c r="D1561">
        <v>16397</v>
      </c>
    </row>
    <row r="1562" spans="1:4" x14ac:dyDescent="0.25">
      <c r="A1562" t="str">
        <f>T("190532")</f>
        <v>190532</v>
      </c>
      <c r="B1562" t="str">
        <f>T("GAUFRES ET GAUFRETTES")</f>
        <v>GAUFRES ET GAUFRETTES</v>
      </c>
    </row>
    <row r="1563" spans="1:4" x14ac:dyDescent="0.25">
      <c r="A1563" t="str">
        <f>T("   ZZZ_Monde")</f>
        <v xml:space="preserve">   ZZZ_Monde</v>
      </c>
      <c r="B1563" t="str">
        <f>T("   ZZZ_Monde")</f>
        <v xml:space="preserve">   ZZZ_Monde</v>
      </c>
      <c r="C1563">
        <v>77139057</v>
      </c>
      <c r="D1563">
        <v>216369</v>
      </c>
    </row>
    <row r="1564" spans="1:4" x14ac:dyDescent="0.25">
      <c r="A1564" t="str">
        <f>T("   CO")</f>
        <v xml:space="preserve">   CO</v>
      </c>
      <c r="B1564" t="str">
        <f>T("   Colombie")</f>
        <v xml:space="preserve">   Colombie</v>
      </c>
      <c r="C1564">
        <v>10610499</v>
      </c>
      <c r="D1564">
        <v>27908</v>
      </c>
    </row>
    <row r="1565" spans="1:4" x14ac:dyDescent="0.25">
      <c r="A1565" t="str">
        <f>T("   ES")</f>
        <v xml:space="preserve">   ES</v>
      </c>
      <c r="B1565" t="str">
        <f>T("   Espagne")</f>
        <v xml:space="preserve">   Espagne</v>
      </c>
      <c r="C1565">
        <v>5530740</v>
      </c>
      <c r="D1565">
        <v>14956</v>
      </c>
    </row>
    <row r="1566" spans="1:4" x14ac:dyDescent="0.25">
      <c r="A1566" t="str">
        <f>T("   ID")</f>
        <v xml:space="preserve">   ID</v>
      </c>
      <c r="B1566" t="str">
        <f>T("   Indonésie")</f>
        <v xml:space="preserve">   Indonésie</v>
      </c>
      <c r="C1566">
        <v>3455358</v>
      </c>
      <c r="D1566">
        <v>6070</v>
      </c>
    </row>
    <row r="1567" spans="1:4" x14ac:dyDescent="0.25">
      <c r="A1567" t="str">
        <f>T("   LB")</f>
        <v xml:space="preserve">   LB</v>
      </c>
      <c r="B1567" t="str">
        <f>T("   Liban")</f>
        <v xml:space="preserve">   Liban</v>
      </c>
      <c r="C1567">
        <v>722327</v>
      </c>
      <c r="D1567">
        <v>2699</v>
      </c>
    </row>
    <row r="1568" spans="1:4" x14ac:dyDescent="0.25">
      <c r="A1568" t="str">
        <f>T("   MY")</f>
        <v xml:space="preserve">   MY</v>
      </c>
      <c r="B1568" t="str">
        <f>T("   Malaisie")</f>
        <v xml:space="preserve">   Malaisie</v>
      </c>
      <c r="C1568">
        <v>11750819</v>
      </c>
      <c r="D1568">
        <v>10160</v>
      </c>
    </row>
    <row r="1569" spans="1:4" x14ac:dyDescent="0.25">
      <c r="A1569" t="str">
        <f>T("   TR")</f>
        <v xml:space="preserve">   TR</v>
      </c>
      <c r="B1569" t="str">
        <f>T("   Turquie")</f>
        <v xml:space="preserve">   Turquie</v>
      </c>
      <c r="C1569">
        <v>14350147</v>
      </c>
      <c r="D1569">
        <v>38695</v>
      </c>
    </row>
    <row r="1570" spans="1:4" x14ac:dyDescent="0.25">
      <c r="A1570" t="str">
        <f>T("   US")</f>
        <v xml:space="preserve">   US</v>
      </c>
      <c r="B1570" t="str">
        <f>T("   Etats-Unis")</f>
        <v xml:space="preserve">   Etats-Unis</v>
      </c>
      <c r="C1570">
        <v>28077949</v>
      </c>
      <c r="D1570">
        <v>113458</v>
      </c>
    </row>
    <row r="1571" spans="1:4" x14ac:dyDescent="0.25">
      <c r="A1571" t="str">
        <f>T("   VN")</f>
        <v xml:space="preserve">   VN</v>
      </c>
      <c r="B1571" t="str">
        <f>T("   Vietnam")</f>
        <v xml:space="preserve">   Vietnam</v>
      </c>
      <c r="C1571">
        <v>2641218</v>
      </c>
      <c r="D1571">
        <v>2423</v>
      </c>
    </row>
    <row r="1572" spans="1:4" x14ac:dyDescent="0.25">
      <c r="A1572" t="str">
        <f>T("190540")</f>
        <v>190540</v>
      </c>
      <c r="B1572" t="str">
        <f>T("Biscottes, pain grillé et produits simil. grillés")</f>
        <v>Biscottes, pain grillé et produits simil. grillés</v>
      </c>
    </row>
    <row r="1573" spans="1:4" x14ac:dyDescent="0.25">
      <c r="A1573" t="str">
        <f>T("   ZZZ_Monde")</f>
        <v xml:space="preserve">   ZZZ_Monde</v>
      </c>
      <c r="B1573" t="str">
        <f>T("   ZZZ_Monde")</f>
        <v xml:space="preserve">   ZZZ_Monde</v>
      </c>
      <c r="C1573">
        <v>37505824</v>
      </c>
      <c r="D1573">
        <v>65176</v>
      </c>
    </row>
    <row r="1574" spans="1:4" x14ac:dyDescent="0.25">
      <c r="A1574" t="str">
        <f>T("   FR")</f>
        <v xml:space="preserve">   FR</v>
      </c>
      <c r="B1574" t="str">
        <f>T("   France")</f>
        <v xml:space="preserve">   France</v>
      </c>
      <c r="C1574">
        <v>36651764</v>
      </c>
      <c r="D1574">
        <v>64340</v>
      </c>
    </row>
    <row r="1575" spans="1:4" x14ac:dyDescent="0.25">
      <c r="A1575" t="str">
        <f>T("   IT")</f>
        <v xml:space="preserve">   IT</v>
      </c>
      <c r="B1575" t="str">
        <f>T("   Italie")</f>
        <v xml:space="preserve">   Italie</v>
      </c>
      <c r="C1575">
        <v>854060</v>
      </c>
      <c r="D1575">
        <v>836</v>
      </c>
    </row>
    <row r="1576" spans="1:4" x14ac:dyDescent="0.25">
      <c r="A1576" t="str">
        <f>T("190590")</f>
        <v>190590</v>
      </c>
      <c r="B1576" t="str">
        <f>T("Produits de la boulangerie, pâtisserie ou biscuiterie, même additionnés de cacao, hosties, cachets vides des types utilisés pour médicaments, pains à cacheter, pâtes séchées de farine, d'amidon ou de fécule en feuilles et produits simil. (sauf pain croust")</f>
        <v>Produits de la boulangerie, pâtisserie ou biscuiterie, même additionnés de cacao, hosties, cachets vides des types utilisés pour médicaments, pains à cacheter, pâtes séchées de farine, d'amidon ou de fécule en feuilles et produits simil. (sauf pain croust</v>
      </c>
    </row>
    <row r="1577" spans="1:4" x14ac:dyDescent="0.25">
      <c r="A1577" t="str">
        <f>T("   ZZZ_Monde")</f>
        <v xml:space="preserve">   ZZZ_Monde</v>
      </c>
      <c r="B1577" t="str">
        <f>T("   ZZZ_Monde")</f>
        <v xml:space="preserve">   ZZZ_Monde</v>
      </c>
      <c r="C1577">
        <v>1170311987</v>
      </c>
      <c r="D1577">
        <v>2994377</v>
      </c>
    </row>
    <row r="1578" spans="1:4" x14ac:dyDescent="0.25">
      <c r="A1578" t="str">
        <f>T("   AE")</f>
        <v xml:space="preserve">   AE</v>
      </c>
      <c r="B1578" t="str">
        <f>T("   Emirats Arabes Unis")</f>
        <v xml:space="preserve">   Emirats Arabes Unis</v>
      </c>
      <c r="C1578">
        <v>9941089</v>
      </c>
      <c r="D1578">
        <v>38794</v>
      </c>
    </row>
    <row r="1579" spans="1:4" x14ac:dyDescent="0.25">
      <c r="A1579" t="str">
        <f>T("   BE")</f>
        <v xml:space="preserve">   BE</v>
      </c>
      <c r="B1579" t="str">
        <f>T("   Belgique")</f>
        <v xml:space="preserve">   Belgique</v>
      </c>
      <c r="C1579">
        <v>40313333</v>
      </c>
      <c r="D1579">
        <v>57177</v>
      </c>
    </row>
    <row r="1580" spans="1:4" x14ac:dyDescent="0.25">
      <c r="A1580" t="str">
        <f>T("   CA")</f>
        <v xml:space="preserve">   CA</v>
      </c>
      <c r="B1580" t="str">
        <f>T("   Canada")</f>
        <v xml:space="preserve">   Canada</v>
      </c>
      <c r="C1580">
        <v>3500000</v>
      </c>
      <c r="D1580">
        <v>4593</v>
      </c>
    </row>
    <row r="1581" spans="1:4" x14ac:dyDescent="0.25">
      <c r="A1581" t="str">
        <f>T("   CN")</f>
        <v xml:space="preserve">   CN</v>
      </c>
      <c r="B1581" t="str">
        <f>T("   Chine")</f>
        <v xml:space="preserve">   Chine</v>
      </c>
      <c r="C1581">
        <v>40978659</v>
      </c>
      <c r="D1581">
        <v>164861</v>
      </c>
    </row>
    <row r="1582" spans="1:4" x14ac:dyDescent="0.25">
      <c r="A1582" t="str">
        <f>T("   DE")</f>
        <v xml:space="preserve">   DE</v>
      </c>
      <c r="B1582" t="str">
        <f>T("   Allemagne")</f>
        <v xml:space="preserve">   Allemagne</v>
      </c>
      <c r="C1582">
        <v>5421538</v>
      </c>
      <c r="D1582">
        <v>19652</v>
      </c>
    </row>
    <row r="1583" spans="1:4" x14ac:dyDescent="0.25">
      <c r="A1583" t="str">
        <f>T("   ES")</f>
        <v xml:space="preserve">   ES</v>
      </c>
      <c r="B1583" t="str">
        <f>T("   Espagne")</f>
        <v xml:space="preserve">   Espagne</v>
      </c>
      <c r="C1583">
        <v>8309045</v>
      </c>
      <c r="D1583">
        <v>11102</v>
      </c>
    </row>
    <row r="1584" spans="1:4" x14ac:dyDescent="0.25">
      <c r="A1584" t="str">
        <f>T("   FR")</f>
        <v xml:space="preserve">   FR</v>
      </c>
      <c r="B1584" t="str">
        <f>T("   France")</f>
        <v xml:space="preserve">   France</v>
      </c>
      <c r="C1584">
        <v>560817837</v>
      </c>
      <c r="D1584">
        <v>736058</v>
      </c>
    </row>
    <row r="1585" spans="1:4" x14ac:dyDescent="0.25">
      <c r="A1585" t="str">
        <f>T("   GB")</f>
        <v xml:space="preserve">   GB</v>
      </c>
      <c r="B1585" t="str">
        <f>T("   Royaume-Uni")</f>
        <v xml:space="preserve">   Royaume-Uni</v>
      </c>
      <c r="C1585">
        <v>12707937</v>
      </c>
      <c r="D1585">
        <v>19798</v>
      </c>
    </row>
    <row r="1586" spans="1:4" x14ac:dyDescent="0.25">
      <c r="A1586" t="str">
        <f>T("   GH")</f>
        <v xml:space="preserve">   GH</v>
      </c>
      <c r="B1586" t="str">
        <f>T("   Ghana")</f>
        <v xml:space="preserve">   Ghana</v>
      </c>
      <c r="C1586">
        <v>21596819</v>
      </c>
      <c r="D1586">
        <v>135729</v>
      </c>
    </row>
    <row r="1587" spans="1:4" x14ac:dyDescent="0.25">
      <c r="A1587" t="str">
        <f>T("   IN")</f>
        <v xml:space="preserve">   IN</v>
      </c>
      <c r="B1587" t="str">
        <f>T("   Inde")</f>
        <v xml:space="preserve">   Inde</v>
      </c>
      <c r="C1587">
        <v>67292984</v>
      </c>
      <c r="D1587">
        <v>237206</v>
      </c>
    </row>
    <row r="1588" spans="1:4" x14ac:dyDescent="0.25">
      <c r="A1588" t="str">
        <f>T("   LB")</f>
        <v xml:space="preserve">   LB</v>
      </c>
      <c r="B1588" t="str">
        <f>T("   Liban")</f>
        <v xml:space="preserve">   Liban</v>
      </c>
      <c r="C1588">
        <v>19032717</v>
      </c>
      <c r="D1588">
        <v>72324</v>
      </c>
    </row>
    <row r="1589" spans="1:4" x14ac:dyDescent="0.25">
      <c r="A1589" t="str">
        <f>T("   MY")</f>
        <v xml:space="preserve">   MY</v>
      </c>
      <c r="B1589" t="str">
        <f>T("   Malaisie")</f>
        <v xml:space="preserve">   Malaisie</v>
      </c>
      <c r="C1589">
        <v>11635540</v>
      </c>
      <c r="D1589">
        <v>23462</v>
      </c>
    </row>
    <row r="1590" spans="1:4" x14ac:dyDescent="0.25">
      <c r="A1590" t="str">
        <f>T("   NG")</f>
        <v xml:space="preserve">   NG</v>
      </c>
      <c r="B1590" t="str">
        <f>T("   Nigéria")</f>
        <v xml:space="preserve">   Nigéria</v>
      </c>
      <c r="C1590">
        <v>171982080</v>
      </c>
      <c r="D1590">
        <v>862244</v>
      </c>
    </row>
    <row r="1591" spans="1:4" x14ac:dyDescent="0.25">
      <c r="A1591" t="str">
        <f>T("   NL")</f>
        <v xml:space="preserve">   NL</v>
      </c>
      <c r="B1591" t="str">
        <f>T("   Pays-bas")</f>
        <v xml:space="preserve">   Pays-bas</v>
      </c>
      <c r="C1591">
        <v>23492223</v>
      </c>
      <c r="D1591">
        <v>18518</v>
      </c>
    </row>
    <row r="1592" spans="1:4" x14ac:dyDescent="0.25">
      <c r="A1592" t="str">
        <f>T("   PT")</f>
        <v xml:space="preserve">   PT</v>
      </c>
      <c r="B1592" t="str">
        <f>T("   Portugal")</f>
        <v xml:space="preserve">   Portugal</v>
      </c>
      <c r="C1592">
        <v>6457109</v>
      </c>
      <c r="D1592">
        <v>4263</v>
      </c>
    </row>
    <row r="1593" spans="1:4" x14ac:dyDescent="0.25">
      <c r="A1593" t="str">
        <f>T("   SG")</f>
        <v xml:space="preserve">   SG</v>
      </c>
      <c r="B1593" t="str">
        <f>T("   Singapour")</f>
        <v xml:space="preserve">   Singapour</v>
      </c>
      <c r="C1593">
        <v>17149878</v>
      </c>
      <c r="D1593">
        <v>30505</v>
      </c>
    </row>
    <row r="1594" spans="1:4" x14ac:dyDescent="0.25">
      <c r="A1594" t="str">
        <f>T("   TG")</f>
        <v xml:space="preserve">   TG</v>
      </c>
      <c r="B1594" t="str">
        <f>T("   Togo")</f>
        <v xml:space="preserve">   Togo</v>
      </c>
      <c r="C1594">
        <v>91619780</v>
      </c>
      <c r="D1594">
        <v>427371</v>
      </c>
    </row>
    <row r="1595" spans="1:4" x14ac:dyDescent="0.25">
      <c r="A1595" t="str">
        <f>T("   TN")</f>
        <v xml:space="preserve">   TN</v>
      </c>
      <c r="B1595" t="str">
        <f>T("   Tunisie")</f>
        <v xml:space="preserve">   Tunisie</v>
      </c>
      <c r="C1595">
        <v>5391437</v>
      </c>
      <c r="D1595">
        <v>22200</v>
      </c>
    </row>
    <row r="1596" spans="1:4" x14ac:dyDescent="0.25">
      <c r="A1596" t="str">
        <f>T("   TR")</f>
        <v xml:space="preserve">   TR</v>
      </c>
      <c r="B1596" t="str">
        <f>T("   Turquie")</f>
        <v xml:space="preserve">   Turquie</v>
      </c>
      <c r="C1596">
        <v>33485705</v>
      </c>
      <c r="D1596">
        <v>80459</v>
      </c>
    </row>
    <row r="1597" spans="1:4" x14ac:dyDescent="0.25">
      <c r="A1597" t="str">
        <f>T("   US")</f>
        <v xml:space="preserve">   US</v>
      </c>
      <c r="B1597" t="str">
        <f>T("   Etats-Unis")</f>
        <v xml:space="preserve">   Etats-Unis</v>
      </c>
      <c r="C1597">
        <v>1126952</v>
      </c>
      <c r="D1597">
        <v>7704</v>
      </c>
    </row>
    <row r="1598" spans="1:4" x14ac:dyDescent="0.25">
      <c r="A1598" t="str">
        <f>T("   VN")</f>
        <v xml:space="preserve">   VN</v>
      </c>
      <c r="B1598" t="str">
        <f>T("   Vietnam")</f>
        <v xml:space="preserve">   Vietnam</v>
      </c>
      <c r="C1598">
        <v>18059325</v>
      </c>
      <c r="D1598">
        <v>20357</v>
      </c>
    </row>
    <row r="1599" spans="1:4" x14ac:dyDescent="0.25">
      <c r="A1599" t="str">
        <f>T("200110")</f>
        <v>200110</v>
      </c>
      <c r="B1599" t="str">
        <f>T("Concombres et cornichons, préparés ou conservés au vinaigre ou à l'acide acétique")</f>
        <v>Concombres et cornichons, préparés ou conservés au vinaigre ou à l'acide acétique</v>
      </c>
    </row>
    <row r="1600" spans="1:4" x14ac:dyDescent="0.25">
      <c r="A1600" t="str">
        <f>T("   ZZZ_Monde")</f>
        <v xml:space="preserve">   ZZZ_Monde</v>
      </c>
      <c r="B1600" t="str">
        <f>T("   ZZZ_Monde")</f>
        <v xml:space="preserve">   ZZZ_Monde</v>
      </c>
      <c r="C1600">
        <v>70345</v>
      </c>
      <c r="D1600">
        <v>4735.6000000000004</v>
      </c>
    </row>
    <row r="1601" spans="1:4" x14ac:dyDescent="0.25">
      <c r="A1601" t="str">
        <f>T("   AL")</f>
        <v xml:space="preserve">   AL</v>
      </c>
      <c r="B1601" t="str">
        <f>T("   Albanie")</f>
        <v xml:space="preserve">   Albanie</v>
      </c>
      <c r="C1601">
        <v>70345</v>
      </c>
      <c r="D1601">
        <v>4735.6000000000004</v>
      </c>
    </row>
    <row r="1602" spans="1:4" x14ac:dyDescent="0.25">
      <c r="A1602" t="str">
        <f>T("200190")</f>
        <v>200190</v>
      </c>
      <c r="B1602" t="str">
        <f>T("Légumes, fruits et autres parties comestibles de plantes, préparés ou conservés au vinaigre ou à l'acide acétique (à l'excl. des concombres et des cornichons)")</f>
        <v>Légumes, fruits et autres parties comestibles de plantes, préparés ou conservés au vinaigre ou à l'acide acétique (à l'excl. des concombres et des cornichons)</v>
      </c>
    </row>
    <row r="1603" spans="1:4" x14ac:dyDescent="0.25">
      <c r="A1603" t="str">
        <f>T("   ZZZ_Monde")</f>
        <v xml:space="preserve">   ZZZ_Monde</v>
      </c>
      <c r="B1603" t="str">
        <f>T("   ZZZ_Monde")</f>
        <v xml:space="preserve">   ZZZ_Monde</v>
      </c>
      <c r="C1603">
        <v>68045787</v>
      </c>
      <c r="D1603">
        <v>202639.6</v>
      </c>
    </row>
    <row r="1604" spans="1:4" x14ac:dyDescent="0.25">
      <c r="A1604" t="str">
        <f>T("   AE")</f>
        <v xml:space="preserve">   AE</v>
      </c>
      <c r="B1604" t="str">
        <f>T("   Emirats Arabes Unis")</f>
        <v xml:space="preserve">   Emirats Arabes Unis</v>
      </c>
      <c r="C1604">
        <v>3690000</v>
      </c>
      <c r="D1604">
        <v>21800</v>
      </c>
    </row>
    <row r="1605" spans="1:4" x14ac:dyDescent="0.25">
      <c r="A1605" t="str">
        <f>T("   AL")</f>
        <v xml:space="preserve">   AL</v>
      </c>
      <c r="B1605" t="str">
        <f>T("   Albanie")</f>
        <v xml:space="preserve">   Albanie</v>
      </c>
      <c r="C1605">
        <v>7114332</v>
      </c>
      <c r="D1605">
        <v>4735.6000000000004</v>
      </c>
    </row>
    <row r="1606" spans="1:4" x14ac:dyDescent="0.25">
      <c r="A1606" t="str">
        <f>T("   CN")</f>
        <v xml:space="preserve">   CN</v>
      </c>
      <c r="B1606" t="str">
        <f>T("   Chine")</f>
        <v xml:space="preserve">   Chine</v>
      </c>
      <c r="C1606">
        <v>24511000</v>
      </c>
      <c r="D1606">
        <v>53285</v>
      </c>
    </row>
    <row r="1607" spans="1:4" x14ac:dyDescent="0.25">
      <c r="A1607" t="str">
        <f>T("   FR")</f>
        <v xml:space="preserve">   FR</v>
      </c>
      <c r="B1607" t="str">
        <f>T("   France")</f>
        <v xml:space="preserve">   France</v>
      </c>
      <c r="C1607">
        <v>6328111</v>
      </c>
      <c r="D1607">
        <v>19484</v>
      </c>
    </row>
    <row r="1608" spans="1:4" x14ac:dyDescent="0.25">
      <c r="A1608" t="str">
        <f>T("   GB")</f>
        <v xml:space="preserve">   GB</v>
      </c>
      <c r="B1608" t="str">
        <f>T("   Royaume-Uni")</f>
        <v xml:space="preserve">   Royaume-Uni</v>
      </c>
      <c r="C1608">
        <v>100000</v>
      </c>
      <c r="D1608">
        <v>65</v>
      </c>
    </row>
    <row r="1609" spans="1:4" x14ac:dyDescent="0.25">
      <c r="A1609" t="str">
        <f>T("   LB")</f>
        <v xml:space="preserve">   LB</v>
      </c>
      <c r="B1609" t="str">
        <f>T("   Liban")</f>
        <v xml:space="preserve">   Liban</v>
      </c>
      <c r="C1609">
        <v>12470217</v>
      </c>
      <c r="D1609">
        <v>24166</v>
      </c>
    </row>
    <row r="1610" spans="1:4" x14ac:dyDescent="0.25">
      <c r="A1610" t="str">
        <f>T("   LY")</f>
        <v xml:space="preserve">   LY</v>
      </c>
      <c r="B1610" t="str">
        <f>T("   Libyenne, Jamahiriya Arabe")</f>
        <v xml:space="preserve">   Libyenne, Jamahiriya Arabe</v>
      </c>
      <c r="C1610">
        <v>7807000</v>
      </c>
      <c r="D1610">
        <v>42290</v>
      </c>
    </row>
    <row r="1611" spans="1:4" x14ac:dyDescent="0.25">
      <c r="A1611" t="str">
        <f>T("   TG")</f>
        <v xml:space="preserve">   TG</v>
      </c>
      <c r="B1611" t="str">
        <f>T("   Togo")</f>
        <v xml:space="preserve">   Togo</v>
      </c>
      <c r="C1611">
        <v>1283127</v>
      </c>
      <c r="D1611">
        <v>16185</v>
      </c>
    </row>
    <row r="1612" spans="1:4" x14ac:dyDescent="0.25">
      <c r="A1612" t="str">
        <f>T("   ZA")</f>
        <v xml:space="preserve">   ZA</v>
      </c>
      <c r="B1612" t="str">
        <f>T("   Afrique du Sud")</f>
        <v xml:space="preserve">   Afrique du Sud</v>
      </c>
      <c r="C1612">
        <v>4742000</v>
      </c>
      <c r="D1612">
        <v>20629</v>
      </c>
    </row>
    <row r="1613" spans="1:4" x14ac:dyDescent="0.25">
      <c r="A1613" t="str">
        <f>T("200210")</f>
        <v>200210</v>
      </c>
      <c r="B1613" t="str">
        <f>T("Tomates, entières ou en morceaux, préparées ou conservées autrement qu'au vinaigre ou à l'acide acétique")</f>
        <v>Tomates, entières ou en morceaux, préparées ou conservées autrement qu'au vinaigre ou à l'acide acétique</v>
      </c>
    </row>
    <row r="1614" spans="1:4" x14ac:dyDescent="0.25">
      <c r="A1614" t="str">
        <f>T("   ZZZ_Monde")</f>
        <v xml:space="preserve">   ZZZ_Monde</v>
      </c>
      <c r="B1614" t="str">
        <f>T("   ZZZ_Monde")</f>
        <v xml:space="preserve">   ZZZ_Monde</v>
      </c>
      <c r="C1614">
        <v>417222</v>
      </c>
      <c r="D1614">
        <v>10879</v>
      </c>
    </row>
    <row r="1615" spans="1:4" x14ac:dyDescent="0.25">
      <c r="A1615" t="str">
        <f>T("   FR")</f>
        <v xml:space="preserve">   FR</v>
      </c>
      <c r="B1615" t="str">
        <f>T("   France")</f>
        <v xml:space="preserve">   France</v>
      </c>
      <c r="C1615">
        <v>49853</v>
      </c>
      <c r="D1615">
        <v>663</v>
      </c>
    </row>
    <row r="1616" spans="1:4" x14ac:dyDescent="0.25">
      <c r="A1616" t="str">
        <f>T("   TG")</f>
        <v xml:space="preserve">   TG</v>
      </c>
      <c r="B1616" t="str">
        <f>T("   Togo")</f>
        <v xml:space="preserve">   Togo</v>
      </c>
      <c r="C1616">
        <v>367369</v>
      </c>
      <c r="D1616">
        <v>10216</v>
      </c>
    </row>
    <row r="1617" spans="1:4" x14ac:dyDescent="0.25">
      <c r="A1617" t="str">
        <f>T("200290")</f>
        <v>200290</v>
      </c>
      <c r="B1617" t="str">
        <f>T("Tomates, préparées ou conservées autrement qu'au vinaigre ou à l'acide acétique (à l'excl. des tomates entières ou en morceaux)")</f>
        <v>Tomates, préparées ou conservées autrement qu'au vinaigre ou à l'acide acétique (à l'excl. des tomates entières ou en morceaux)</v>
      </c>
    </row>
    <row r="1618" spans="1:4" x14ac:dyDescent="0.25">
      <c r="A1618" t="str">
        <f>T("   ZZZ_Monde")</f>
        <v xml:space="preserve">   ZZZ_Monde</v>
      </c>
      <c r="B1618" t="str">
        <f>T("   ZZZ_Monde")</f>
        <v xml:space="preserve">   ZZZ_Monde</v>
      </c>
      <c r="C1618">
        <v>4950221625</v>
      </c>
      <c r="D1618">
        <v>15713736</v>
      </c>
    </row>
    <row r="1619" spans="1:4" x14ac:dyDescent="0.25">
      <c r="A1619" t="str">
        <f>T("   AE")</f>
        <v xml:space="preserve">   AE</v>
      </c>
      <c r="B1619" t="str">
        <f>T("   Emirats Arabes Unis")</f>
        <v xml:space="preserve">   Emirats Arabes Unis</v>
      </c>
      <c r="C1619">
        <v>15127389</v>
      </c>
      <c r="D1619">
        <v>44033</v>
      </c>
    </row>
    <row r="1620" spans="1:4" x14ac:dyDescent="0.25">
      <c r="A1620" t="str">
        <f>T("   BE")</f>
        <v xml:space="preserve">   BE</v>
      </c>
      <c r="B1620" t="str">
        <f>T("   Belgique")</f>
        <v xml:space="preserve">   Belgique</v>
      </c>
      <c r="C1620">
        <v>8584476</v>
      </c>
      <c r="D1620">
        <v>13825</v>
      </c>
    </row>
    <row r="1621" spans="1:4" x14ac:dyDescent="0.25">
      <c r="A1621" t="str">
        <f>T("   BR")</f>
        <v xml:space="preserve">   BR</v>
      </c>
      <c r="B1621" t="str">
        <f>T("   Brésil")</f>
        <v xml:space="preserve">   Brésil</v>
      </c>
      <c r="C1621">
        <v>13468014</v>
      </c>
      <c r="D1621">
        <v>59280</v>
      </c>
    </row>
    <row r="1622" spans="1:4" x14ac:dyDescent="0.25">
      <c r="A1622" t="str">
        <f>T("   CH")</f>
        <v xml:space="preserve">   CH</v>
      </c>
      <c r="B1622" t="str">
        <f>T("   Suisse")</f>
        <v xml:space="preserve">   Suisse</v>
      </c>
      <c r="C1622">
        <v>216890072</v>
      </c>
      <c r="D1622">
        <v>543938</v>
      </c>
    </row>
    <row r="1623" spans="1:4" x14ac:dyDescent="0.25">
      <c r="A1623" t="str">
        <f>T("   CN")</f>
        <v xml:space="preserve">   CN</v>
      </c>
      <c r="B1623" t="str">
        <f>T("   Chine")</f>
        <v xml:space="preserve">   Chine</v>
      </c>
      <c r="C1623">
        <v>2339674812</v>
      </c>
      <c r="D1623">
        <v>7236660</v>
      </c>
    </row>
    <row r="1624" spans="1:4" x14ac:dyDescent="0.25">
      <c r="A1624" t="str">
        <f>T("   DE")</f>
        <v xml:space="preserve">   DE</v>
      </c>
      <c r="B1624" t="str">
        <f>T("   Allemagne")</f>
        <v xml:space="preserve">   Allemagne</v>
      </c>
      <c r="C1624">
        <v>7563478</v>
      </c>
      <c r="D1624">
        <v>21923</v>
      </c>
    </row>
    <row r="1625" spans="1:4" x14ac:dyDescent="0.25">
      <c r="A1625" t="str">
        <f>T("   ES")</f>
        <v xml:space="preserve">   ES</v>
      </c>
      <c r="B1625" t="str">
        <f>T("   Espagne")</f>
        <v xml:space="preserve">   Espagne</v>
      </c>
      <c r="C1625">
        <v>57462</v>
      </c>
      <c r="D1625">
        <v>85</v>
      </c>
    </row>
    <row r="1626" spans="1:4" x14ac:dyDescent="0.25">
      <c r="A1626" t="str">
        <f>T("   FR")</f>
        <v xml:space="preserve">   FR</v>
      </c>
      <c r="B1626" t="str">
        <f>T("   France")</f>
        <v xml:space="preserve">   France</v>
      </c>
      <c r="C1626">
        <v>21473671</v>
      </c>
      <c r="D1626">
        <v>54990</v>
      </c>
    </row>
    <row r="1627" spans="1:4" x14ac:dyDescent="0.25">
      <c r="A1627" t="str">
        <f>T("   GH")</f>
        <v xml:space="preserve">   GH</v>
      </c>
      <c r="B1627" t="str">
        <f>T("   Ghana")</f>
        <v xml:space="preserve">   Ghana</v>
      </c>
      <c r="C1627">
        <v>38409085</v>
      </c>
      <c r="D1627">
        <v>225337</v>
      </c>
    </row>
    <row r="1628" spans="1:4" x14ac:dyDescent="0.25">
      <c r="A1628" t="str">
        <f>T("   HK")</f>
        <v xml:space="preserve">   HK</v>
      </c>
      <c r="B1628" t="str">
        <f>T("   Hong-Kong")</f>
        <v xml:space="preserve">   Hong-Kong</v>
      </c>
      <c r="C1628">
        <v>911513701</v>
      </c>
      <c r="D1628">
        <v>2757184</v>
      </c>
    </row>
    <row r="1629" spans="1:4" x14ac:dyDescent="0.25">
      <c r="A1629" t="str">
        <f>T("   IN")</f>
        <v xml:space="preserve">   IN</v>
      </c>
      <c r="B1629" t="str">
        <f>T("   Inde")</f>
        <v xml:space="preserve">   Inde</v>
      </c>
      <c r="C1629">
        <v>34548101</v>
      </c>
      <c r="D1629">
        <v>82324</v>
      </c>
    </row>
    <row r="1630" spans="1:4" x14ac:dyDescent="0.25">
      <c r="A1630" t="str">
        <f>T("   IT")</f>
        <v xml:space="preserve">   IT</v>
      </c>
      <c r="B1630" t="str">
        <f>T("   Italie")</f>
        <v xml:space="preserve">   Italie</v>
      </c>
      <c r="C1630">
        <v>39039064</v>
      </c>
      <c r="D1630">
        <v>145143</v>
      </c>
    </row>
    <row r="1631" spans="1:4" x14ac:dyDescent="0.25">
      <c r="A1631" t="str">
        <f>T("   LB")</f>
        <v xml:space="preserve">   LB</v>
      </c>
      <c r="B1631" t="str">
        <f>T("   Liban")</f>
        <v xml:space="preserve">   Liban</v>
      </c>
      <c r="C1631">
        <v>953110</v>
      </c>
      <c r="D1631">
        <v>2275</v>
      </c>
    </row>
    <row r="1632" spans="1:4" x14ac:dyDescent="0.25">
      <c r="A1632" t="str">
        <f>T("   MY")</f>
        <v xml:space="preserve">   MY</v>
      </c>
      <c r="B1632" t="str">
        <f>T("   Malaisie")</f>
        <v xml:space="preserve">   Malaisie</v>
      </c>
      <c r="C1632">
        <v>246834526</v>
      </c>
      <c r="D1632">
        <v>733588</v>
      </c>
    </row>
    <row r="1633" spans="1:4" x14ac:dyDescent="0.25">
      <c r="A1633" t="str">
        <f>T("   NG")</f>
        <v xml:space="preserve">   NG</v>
      </c>
      <c r="B1633" t="str">
        <f>T("   Nigéria")</f>
        <v xml:space="preserve">   Nigéria</v>
      </c>
      <c r="C1633">
        <v>149391348</v>
      </c>
      <c r="D1633">
        <v>464850</v>
      </c>
    </row>
    <row r="1634" spans="1:4" x14ac:dyDescent="0.25">
      <c r="A1634" t="str">
        <f>T("   SG")</f>
        <v xml:space="preserve">   SG</v>
      </c>
      <c r="B1634" t="str">
        <f>T("   Singapour")</f>
        <v xml:space="preserve">   Singapour</v>
      </c>
      <c r="C1634">
        <v>38899084</v>
      </c>
      <c r="D1634">
        <v>138344</v>
      </c>
    </row>
    <row r="1635" spans="1:4" x14ac:dyDescent="0.25">
      <c r="A1635" t="str">
        <f>T("   SN")</f>
        <v xml:space="preserve">   SN</v>
      </c>
      <c r="B1635" t="str">
        <f>T("   Sénégal")</f>
        <v xml:space="preserve">   Sénégal</v>
      </c>
      <c r="C1635">
        <v>6300000</v>
      </c>
      <c r="D1635">
        <v>20400</v>
      </c>
    </row>
    <row r="1636" spans="1:4" x14ac:dyDescent="0.25">
      <c r="A1636" t="str">
        <f>T("   TG")</f>
        <v xml:space="preserve">   TG</v>
      </c>
      <c r="B1636" t="str">
        <f>T("   Togo")</f>
        <v xml:space="preserve">   Togo</v>
      </c>
      <c r="C1636">
        <v>770271530</v>
      </c>
      <c r="D1636">
        <v>2944997</v>
      </c>
    </row>
    <row r="1637" spans="1:4" x14ac:dyDescent="0.25">
      <c r="A1637" t="str">
        <f>T("   TW")</f>
        <v xml:space="preserve">   TW</v>
      </c>
      <c r="B1637" t="str">
        <f>T("   Taïwan, Province de Chine")</f>
        <v xml:space="preserve">   Taïwan, Province de Chine</v>
      </c>
      <c r="C1637">
        <v>91222702</v>
      </c>
      <c r="D1637">
        <v>224560</v>
      </c>
    </row>
    <row r="1638" spans="1:4" x14ac:dyDescent="0.25">
      <c r="A1638" t="str">
        <f>T("200310")</f>
        <v>200310</v>
      </c>
      <c r="B1638" t="str">
        <f>T("Champignons du genre 'Agaricus', préparés ou conservés autrement qu'au vinaigre ou à l'acide acétique")</f>
        <v>Champignons du genre 'Agaricus', préparés ou conservés autrement qu'au vinaigre ou à l'acide acétique</v>
      </c>
    </row>
    <row r="1639" spans="1:4" x14ac:dyDescent="0.25">
      <c r="A1639" t="str">
        <f>T("   ZZZ_Monde")</f>
        <v xml:space="preserve">   ZZZ_Monde</v>
      </c>
      <c r="B1639" t="str">
        <f>T("   ZZZ_Monde")</f>
        <v xml:space="preserve">   ZZZ_Monde</v>
      </c>
      <c r="C1639">
        <v>15826439</v>
      </c>
      <c r="D1639">
        <v>29397</v>
      </c>
    </row>
    <row r="1640" spans="1:4" x14ac:dyDescent="0.25">
      <c r="A1640" t="str">
        <f>T("   BE")</f>
        <v xml:space="preserve">   BE</v>
      </c>
      <c r="B1640" t="str">
        <f>T("   Belgique")</f>
        <v xml:space="preserve">   Belgique</v>
      </c>
      <c r="C1640">
        <v>1361774</v>
      </c>
      <c r="D1640">
        <v>1528</v>
      </c>
    </row>
    <row r="1641" spans="1:4" x14ac:dyDescent="0.25">
      <c r="A1641" t="str">
        <f>T("   CN")</f>
        <v xml:space="preserve">   CN</v>
      </c>
      <c r="B1641" t="str">
        <f>T("   Chine")</f>
        <v xml:space="preserve">   Chine</v>
      </c>
      <c r="C1641">
        <v>2306355</v>
      </c>
      <c r="D1641">
        <v>5000</v>
      </c>
    </row>
    <row r="1642" spans="1:4" x14ac:dyDescent="0.25">
      <c r="A1642" t="str">
        <f>T("   FR")</f>
        <v xml:space="preserve">   FR</v>
      </c>
      <c r="B1642" t="str">
        <f>T("   France")</f>
        <v xml:space="preserve">   France</v>
      </c>
      <c r="C1642">
        <v>11967992</v>
      </c>
      <c r="D1642">
        <v>22059</v>
      </c>
    </row>
    <row r="1643" spans="1:4" x14ac:dyDescent="0.25">
      <c r="A1643" t="str">
        <f>T("   LB")</f>
        <v xml:space="preserve">   LB</v>
      </c>
      <c r="B1643" t="str">
        <f>T("   Liban")</f>
        <v xml:space="preserve">   Liban</v>
      </c>
      <c r="C1643">
        <v>181673</v>
      </c>
      <c r="D1643">
        <v>750</v>
      </c>
    </row>
    <row r="1644" spans="1:4" x14ac:dyDescent="0.25">
      <c r="A1644" t="str">
        <f>T("   TG")</f>
        <v xml:space="preserve">   TG</v>
      </c>
      <c r="B1644" t="str">
        <f>T("   Togo")</f>
        <v xml:space="preserve">   Togo</v>
      </c>
      <c r="C1644">
        <v>8645</v>
      </c>
      <c r="D1644">
        <v>60</v>
      </c>
    </row>
    <row r="1645" spans="1:4" x14ac:dyDescent="0.25">
      <c r="A1645" t="str">
        <f>T("200390")</f>
        <v>200390</v>
      </c>
      <c r="B1645" t="str">
        <f>T("Champignons, préparés ou conservés autrement qu'au vinaigre ou à l'acide acétique (à l'excl. des champignons du genre 'Agaricus')")</f>
        <v>Champignons, préparés ou conservés autrement qu'au vinaigre ou à l'acide acétique (à l'excl. des champignons du genre 'Agaricus')</v>
      </c>
    </row>
    <row r="1646" spans="1:4" x14ac:dyDescent="0.25">
      <c r="A1646" t="str">
        <f>T("   ZZZ_Monde")</f>
        <v xml:space="preserve">   ZZZ_Monde</v>
      </c>
      <c r="B1646" t="str">
        <f>T("   ZZZ_Monde")</f>
        <v xml:space="preserve">   ZZZ_Monde</v>
      </c>
      <c r="C1646">
        <v>2783842</v>
      </c>
      <c r="D1646">
        <v>5533</v>
      </c>
    </row>
    <row r="1647" spans="1:4" x14ac:dyDescent="0.25">
      <c r="A1647" t="str">
        <f>T("   FR")</f>
        <v xml:space="preserve">   FR</v>
      </c>
      <c r="B1647" t="str">
        <f>T("   France")</f>
        <v xml:space="preserve">   France</v>
      </c>
      <c r="C1647">
        <v>1674220</v>
      </c>
      <c r="D1647">
        <v>2730</v>
      </c>
    </row>
    <row r="1648" spans="1:4" x14ac:dyDescent="0.25">
      <c r="A1648" t="str">
        <f>T("   IT")</f>
        <v xml:space="preserve">   IT</v>
      </c>
      <c r="B1648" t="str">
        <f>T("   Italie")</f>
        <v xml:space="preserve">   Italie</v>
      </c>
      <c r="C1648">
        <v>165302</v>
      </c>
      <c r="D1648">
        <v>1143</v>
      </c>
    </row>
    <row r="1649" spans="1:4" x14ac:dyDescent="0.25">
      <c r="A1649" t="str">
        <f>T("   VN")</f>
        <v xml:space="preserve">   VN</v>
      </c>
      <c r="B1649" t="str">
        <f>T("   Vietnam")</f>
        <v xml:space="preserve">   Vietnam</v>
      </c>
      <c r="C1649">
        <v>944320</v>
      </c>
      <c r="D1649">
        <v>1660</v>
      </c>
    </row>
    <row r="1650" spans="1:4" x14ac:dyDescent="0.25">
      <c r="A1650" t="str">
        <f>T("200410")</f>
        <v>200410</v>
      </c>
      <c r="B1650" t="str">
        <f>T("Pommes de terre, préparées ou conservées autrement qu'au vinaigre ou à l'acide acétique, congelées")</f>
        <v>Pommes de terre, préparées ou conservées autrement qu'au vinaigre ou à l'acide acétique, congelées</v>
      </c>
    </row>
    <row r="1651" spans="1:4" x14ac:dyDescent="0.25">
      <c r="A1651" t="str">
        <f>T("   ZZZ_Monde")</f>
        <v xml:space="preserve">   ZZZ_Monde</v>
      </c>
      <c r="B1651" t="str">
        <f>T("   ZZZ_Monde")</f>
        <v xml:space="preserve">   ZZZ_Monde</v>
      </c>
      <c r="C1651">
        <v>104857246</v>
      </c>
      <c r="D1651">
        <v>450031</v>
      </c>
    </row>
    <row r="1652" spans="1:4" x14ac:dyDescent="0.25">
      <c r="A1652" t="str">
        <f>T("   BE")</f>
        <v xml:space="preserve">   BE</v>
      </c>
      <c r="B1652" t="str">
        <f>T("   Belgique")</f>
        <v xml:space="preserve">   Belgique</v>
      </c>
      <c r="C1652">
        <v>36231294</v>
      </c>
      <c r="D1652">
        <v>140280</v>
      </c>
    </row>
    <row r="1653" spans="1:4" x14ac:dyDescent="0.25">
      <c r="A1653" t="str">
        <f>T("   FR")</f>
        <v xml:space="preserve">   FR</v>
      </c>
      <c r="B1653" t="str">
        <f>T("   France")</f>
        <v xml:space="preserve">   France</v>
      </c>
      <c r="C1653">
        <v>68625952</v>
      </c>
      <c r="D1653">
        <v>309751</v>
      </c>
    </row>
    <row r="1654" spans="1:4" x14ac:dyDescent="0.25">
      <c r="A1654" t="str">
        <f>T("200490")</f>
        <v>200490</v>
      </c>
      <c r="B1654" t="str">
        <f>T("LÉGUMES ET MÉLANGES DE LÉGUMES, PRÉPARÉS OU CONSERVÉS AUTREMENT QU'AU VINAIGRE OU À L'ACIDE ACÉTIQUE, CONGELÉS (À L'EXCL. DES CONFITS AU SUCRE AINSI QUE DES TOMATES, DES CHAMPIGNONS, DES TRUFFES ET DES POMMES DE TERRE, NON-MÉLANGÉS)")</f>
        <v>LÉGUMES ET MÉLANGES DE LÉGUMES, PRÉPARÉS OU CONSERVÉS AUTREMENT QU'AU VINAIGRE OU À L'ACIDE ACÉTIQUE, CONGELÉS (À L'EXCL. DES CONFITS AU SUCRE AINSI QUE DES TOMATES, DES CHAMPIGNONS, DES TRUFFES ET DES POMMES DE TERRE, NON-MÉLANGÉS)</v>
      </c>
    </row>
    <row r="1655" spans="1:4" x14ac:dyDescent="0.25">
      <c r="A1655" t="str">
        <f>T("   ZZZ_Monde")</f>
        <v xml:space="preserve">   ZZZ_Monde</v>
      </c>
      <c r="B1655" t="str">
        <f>T("   ZZZ_Monde")</f>
        <v xml:space="preserve">   ZZZ_Monde</v>
      </c>
      <c r="C1655">
        <v>27353688</v>
      </c>
      <c r="D1655">
        <v>72777</v>
      </c>
    </row>
    <row r="1656" spans="1:4" x14ac:dyDescent="0.25">
      <c r="A1656" t="str">
        <f>T("   FR")</f>
        <v xml:space="preserve">   FR</v>
      </c>
      <c r="B1656" t="str">
        <f>T("   France")</f>
        <v xml:space="preserve">   France</v>
      </c>
      <c r="C1656">
        <v>27353688</v>
      </c>
      <c r="D1656">
        <v>72777</v>
      </c>
    </row>
    <row r="1657" spans="1:4" x14ac:dyDescent="0.25">
      <c r="A1657" t="str">
        <f>T("200510")</f>
        <v>200510</v>
      </c>
      <c r="B1657" t="str">
        <f>T("Légumes, présentés sous la forme de préparations finement homogénéisées, conditionnés pour la vente au détail comme aliments pour enfants ou pour usages diététiques, en récipients d'un contenu &lt;= 250 g")</f>
        <v>Légumes, présentés sous la forme de préparations finement homogénéisées, conditionnés pour la vente au détail comme aliments pour enfants ou pour usages diététiques, en récipients d'un contenu &lt;= 250 g</v>
      </c>
    </row>
    <row r="1658" spans="1:4" x14ac:dyDescent="0.25">
      <c r="A1658" t="str">
        <f>T("   ZZZ_Monde")</f>
        <v xml:space="preserve">   ZZZ_Monde</v>
      </c>
      <c r="B1658" t="str">
        <f>T("   ZZZ_Monde")</f>
        <v xml:space="preserve">   ZZZ_Monde</v>
      </c>
      <c r="C1658">
        <v>1058674</v>
      </c>
      <c r="D1658">
        <v>1008</v>
      </c>
    </row>
    <row r="1659" spans="1:4" x14ac:dyDescent="0.25">
      <c r="A1659" t="str">
        <f>T("   FR")</f>
        <v xml:space="preserve">   FR</v>
      </c>
      <c r="B1659" t="str">
        <f>T("   France")</f>
        <v xml:space="preserve">   France</v>
      </c>
      <c r="C1659">
        <v>1058674</v>
      </c>
      <c r="D1659">
        <v>1008</v>
      </c>
    </row>
    <row r="1660" spans="1:4" x14ac:dyDescent="0.25">
      <c r="A1660" t="str">
        <f>T("200520")</f>
        <v>200520</v>
      </c>
      <c r="B1660" t="str">
        <f>T("POMMES DE TERRE, PRÉPARÉES OU CONSERVÉES AUTREMENT QU'AU VINAIGRE OU À L'ACIDE ACÉTIQUE, NON-CONGELÉES")</f>
        <v>POMMES DE TERRE, PRÉPARÉES OU CONSERVÉES AUTREMENT QU'AU VINAIGRE OU À L'ACIDE ACÉTIQUE, NON-CONGELÉES</v>
      </c>
    </row>
    <row r="1661" spans="1:4" x14ac:dyDescent="0.25">
      <c r="A1661" t="str">
        <f>T("   ZZZ_Monde")</f>
        <v xml:space="preserve">   ZZZ_Monde</v>
      </c>
      <c r="B1661" t="str">
        <f>T("   ZZZ_Monde")</f>
        <v xml:space="preserve">   ZZZ_Monde</v>
      </c>
      <c r="C1661">
        <v>2970221</v>
      </c>
      <c r="D1661">
        <v>12353</v>
      </c>
    </row>
    <row r="1662" spans="1:4" x14ac:dyDescent="0.25">
      <c r="A1662" t="str">
        <f>T("   FR")</f>
        <v xml:space="preserve">   FR</v>
      </c>
      <c r="B1662" t="str">
        <f>T("   France")</f>
        <v xml:space="preserve">   France</v>
      </c>
      <c r="C1662">
        <v>2110224</v>
      </c>
      <c r="D1662">
        <v>3728</v>
      </c>
    </row>
    <row r="1663" spans="1:4" x14ac:dyDescent="0.25">
      <c r="A1663" t="str">
        <f>T("   LB")</f>
        <v xml:space="preserve">   LB</v>
      </c>
      <c r="B1663" t="str">
        <f>T("   Liban")</f>
        <v xml:space="preserve">   Liban</v>
      </c>
      <c r="C1663">
        <v>859997</v>
      </c>
      <c r="D1663">
        <v>8625</v>
      </c>
    </row>
    <row r="1664" spans="1:4" x14ac:dyDescent="0.25">
      <c r="A1664" t="str">
        <f>T("200540")</f>
        <v>200540</v>
      </c>
      <c r="B1664" t="str">
        <f>T("Pois [Pisum sativum], préparés ou conservés autrement qu'au vinaigre ou à l'acide acétique, non congelés")</f>
        <v>Pois [Pisum sativum], préparés ou conservés autrement qu'au vinaigre ou à l'acide acétique, non congelés</v>
      </c>
    </row>
    <row r="1665" spans="1:4" x14ac:dyDescent="0.25">
      <c r="A1665" t="str">
        <f>T("   ZZZ_Monde")</f>
        <v xml:space="preserve">   ZZZ_Monde</v>
      </c>
      <c r="B1665" t="str">
        <f>T("   ZZZ_Monde")</f>
        <v xml:space="preserve">   ZZZ_Monde</v>
      </c>
      <c r="C1665">
        <v>91948217</v>
      </c>
      <c r="D1665">
        <v>354478</v>
      </c>
    </row>
    <row r="1666" spans="1:4" x14ac:dyDescent="0.25">
      <c r="A1666" t="str">
        <f>T("   BE")</f>
        <v xml:space="preserve">   BE</v>
      </c>
      <c r="B1666" t="str">
        <f>T("   Belgique")</f>
        <v xml:space="preserve">   Belgique</v>
      </c>
      <c r="C1666">
        <v>4282762</v>
      </c>
      <c r="D1666">
        <v>5167</v>
      </c>
    </row>
    <row r="1667" spans="1:4" x14ac:dyDescent="0.25">
      <c r="A1667" t="str">
        <f>T("   CN")</f>
        <v xml:space="preserve">   CN</v>
      </c>
      <c r="B1667" t="str">
        <f>T("   Chine")</f>
        <v xml:space="preserve">   Chine</v>
      </c>
      <c r="C1667">
        <v>7841688</v>
      </c>
      <c r="D1667">
        <v>35024</v>
      </c>
    </row>
    <row r="1668" spans="1:4" x14ac:dyDescent="0.25">
      <c r="A1668" t="str">
        <f>T("   ES")</f>
        <v xml:space="preserve">   ES</v>
      </c>
      <c r="B1668" t="str">
        <f>T("   Espagne")</f>
        <v xml:space="preserve">   Espagne</v>
      </c>
      <c r="C1668">
        <v>13340258</v>
      </c>
      <c r="D1668">
        <v>40064</v>
      </c>
    </row>
    <row r="1669" spans="1:4" x14ac:dyDescent="0.25">
      <c r="A1669" t="str">
        <f>T("   FR")</f>
        <v xml:space="preserve">   FR</v>
      </c>
      <c r="B1669" t="str">
        <f>T("   France")</f>
        <v xml:space="preserve">   France</v>
      </c>
      <c r="C1669">
        <v>29889166</v>
      </c>
      <c r="D1669">
        <v>134512</v>
      </c>
    </row>
    <row r="1670" spans="1:4" x14ac:dyDescent="0.25">
      <c r="A1670" t="str">
        <f>T("   GH")</f>
        <v xml:space="preserve">   GH</v>
      </c>
      <c r="B1670" t="str">
        <f>T("   Ghana")</f>
        <v xml:space="preserve">   Ghana</v>
      </c>
      <c r="C1670">
        <v>600000</v>
      </c>
      <c r="D1670">
        <v>2200</v>
      </c>
    </row>
    <row r="1671" spans="1:4" x14ac:dyDescent="0.25">
      <c r="A1671" t="str">
        <f>T("   IT")</f>
        <v xml:space="preserve">   IT</v>
      </c>
      <c r="B1671" t="str">
        <f>T("   Italie")</f>
        <v xml:space="preserve">   Italie</v>
      </c>
      <c r="C1671">
        <v>4827865</v>
      </c>
      <c r="D1671">
        <v>19000</v>
      </c>
    </row>
    <row r="1672" spans="1:4" x14ac:dyDescent="0.25">
      <c r="A1672" t="str">
        <f>T("   LB")</f>
        <v xml:space="preserve">   LB</v>
      </c>
      <c r="B1672" t="str">
        <f>T("   Liban")</f>
        <v xml:space="preserve">   Liban</v>
      </c>
      <c r="C1672">
        <v>745827</v>
      </c>
      <c r="D1672">
        <v>1540</v>
      </c>
    </row>
    <row r="1673" spans="1:4" x14ac:dyDescent="0.25">
      <c r="A1673" t="str">
        <f>T("   MU")</f>
        <v xml:space="preserve">   MU</v>
      </c>
      <c r="B1673" t="str">
        <f>T("   Maurice, île")</f>
        <v xml:space="preserve">   Maurice, île</v>
      </c>
      <c r="C1673">
        <v>12856160</v>
      </c>
      <c r="D1673">
        <v>51359</v>
      </c>
    </row>
    <row r="1674" spans="1:4" x14ac:dyDescent="0.25">
      <c r="A1674" t="str">
        <f>T("   SG")</f>
        <v xml:space="preserve">   SG</v>
      </c>
      <c r="B1674" t="str">
        <f>T("   Singapour")</f>
        <v xml:space="preserve">   Singapour</v>
      </c>
      <c r="C1674">
        <v>4590554</v>
      </c>
      <c r="D1674">
        <v>22416</v>
      </c>
    </row>
    <row r="1675" spans="1:4" x14ac:dyDescent="0.25">
      <c r="A1675" t="str">
        <f>T("   TG")</f>
        <v xml:space="preserve">   TG</v>
      </c>
      <c r="B1675" t="str">
        <f>T("   Togo")</f>
        <v xml:space="preserve">   Togo</v>
      </c>
      <c r="C1675">
        <v>12973937</v>
      </c>
      <c r="D1675">
        <v>43196</v>
      </c>
    </row>
    <row r="1676" spans="1:4" x14ac:dyDescent="0.25">
      <c r="A1676" t="str">
        <f>T("200551")</f>
        <v>200551</v>
      </c>
      <c r="B1676" t="str">
        <f>T("Haricots [Vigna spp., Phaseolus spp.], en grains, préparés ou conservés autrement qu'au vinaigre ou à l'acide acétique, non congelés")</f>
        <v>Haricots [Vigna spp., Phaseolus spp.], en grains, préparés ou conservés autrement qu'au vinaigre ou à l'acide acétique, non congelés</v>
      </c>
    </row>
    <row r="1677" spans="1:4" x14ac:dyDescent="0.25">
      <c r="A1677" t="str">
        <f>T("   ZZZ_Monde")</f>
        <v xml:space="preserve">   ZZZ_Monde</v>
      </c>
      <c r="B1677" t="str">
        <f>T("   ZZZ_Monde")</f>
        <v xml:space="preserve">   ZZZ_Monde</v>
      </c>
      <c r="C1677">
        <v>19717389</v>
      </c>
      <c r="D1677">
        <v>112777</v>
      </c>
    </row>
    <row r="1678" spans="1:4" x14ac:dyDescent="0.25">
      <c r="A1678" t="str">
        <f>T("   BE")</f>
        <v xml:space="preserve">   BE</v>
      </c>
      <c r="B1678" t="str">
        <f>T("   Belgique")</f>
        <v xml:space="preserve">   Belgique</v>
      </c>
      <c r="C1678">
        <v>1508053</v>
      </c>
      <c r="D1678">
        <v>2367</v>
      </c>
    </row>
    <row r="1679" spans="1:4" x14ac:dyDescent="0.25">
      <c r="A1679" t="str">
        <f>T("   CN")</f>
        <v xml:space="preserve">   CN</v>
      </c>
      <c r="B1679" t="str">
        <f>T("   Chine")</f>
        <v xml:space="preserve">   Chine</v>
      </c>
      <c r="C1679">
        <v>5349000</v>
      </c>
      <c r="D1679">
        <v>33950</v>
      </c>
    </row>
    <row r="1680" spans="1:4" x14ac:dyDescent="0.25">
      <c r="A1680" t="str">
        <f>T("   FR")</f>
        <v xml:space="preserve">   FR</v>
      </c>
      <c r="B1680" t="str">
        <f>T("   France")</f>
        <v xml:space="preserve">   France</v>
      </c>
      <c r="C1680">
        <v>51217</v>
      </c>
      <c r="D1680">
        <v>170</v>
      </c>
    </row>
    <row r="1681" spans="1:4" x14ac:dyDescent="0.25">
      <c r="A1681" t="str">
        <f>T("   LB")</f>
        <v xml:space="preserve">   LB</v>
      </c>
      <c r="B1681" t="str">
        <f>T("   Liban")</f>
        <v xml:space="preserve">   Liban</v>
      </c>
      <c r="C1681">
        <v>3209119</v>
      </c>
      <c r="D1681">
        <v>17590</v>
      </c>
    </row>
    <row r="1682" spans="1:4" x14ac:dyDescent="0.25">
      <c r="A1682" t="str">
        <f>T("   TG")</f>
        <v xml:space="preserve">   TG</v>
      </c>
      <c r="B1682" t="str">
        <f>T("   Togo")</f>
        <v xml:space="preserve">   Togo</v>
      </c>
      <c r="C1682">
        <v>9600000</v>
      </c>
      <c r="D1682">
        <v>58700</v>
      </c>
    </row>
    <row r="1683" spans="1:4" x14ac:dyDescent="0.25">
      <c r="A1683" t="str">
        <f>T("200559")</f>
        <v>200559</v>
      </c>
      <c r="B1683" t="str">
        <f>T("Haricots [Vigna spp., Phaseolus spp.], préparés ou conservés autrement qu'au vinaigre ou à l'acide acétique, non congelés (à l'excl. des haricots en grains)")</f>
        <v>Haricots [Vigna spp., Phaseolus spp.], préparés ou conservés autrement qu'au vinaigre ou à l'acide acétique, non congelés (à l'excl. des haricots en grains)</v>
      </c>
    </row>
    <row r="1684" spans="1:4" x14ac:dyDescent="0.25">
      <c r="A1684" t="str">
        <f>T("   ZZZ_Monde")</f>
        <v xml:space="preserve">   ZZZ_Monde</v>
      </c>
      <c r="B1684" t="str">
        <f>T("   ZZZ_Monde")</f>
        <v xml:space="preserve">   ZZZ_Monde</v>
      </c>
      <c r="C1684">
        <v>46324148</v>
      </c>
      <c r="D1684">
        <v>248120</v>
      </c>
    </row>
    <row r="1685" spans="1:4" x14ac:dyDescent="0.25">
      <c r="A1685" t="str">
        <f>T("   CN")</f>
        <v xml:space="preserve">   CN</v>
      </c>
      <c r="B1685" t="str">
        <f>T("   Chine")</f>
        <v xml:space="preserve">   Chine</v>
      </c>
      <c r="C1685">
        <v>6500000</v>
      </c>
      <c r="D1685">
        <v>48020</v>
      </c>
    </row>
    <row r="1686" spans="1:4" x14ac:dyDescent="0.25">
      <c r="A1686" t="str">
        <f>T("   FR")</f>
        <v xml:space="preserve">   FR</v>
      </c>
      <c r="B1686" t="str">
        <f>T("   France")</f>
        <v xml:space="preserve">   France</v>
      </c>
      <c r="C1686">
        <v>14437825</v>
      </c>
      <c r="D1686">
        <v>17745</v>
      </c>
    </row>
    <row r="1687" spans="1:4" x14ac:dyDescent="0.25">
      <c r="A1687" t="str">
        <f>T("   LB")</f>
        <v xml:space="preserve">   LB</v>
      </c>
      <c r="B1687" t="str">
        <f>T("   Liban")</f>
        <v xml:space="preserve">   Liban</v>
      </c>
      <c r="C1687">
        <v>3647721</v>
      </c>
      <c r="D1687">
        <v>10286</v>
      </c>
    </row>
    <row r="1688" spans="1:4" x14ac:dyDescent="0.25">
      <c r="A1688" t="str">
        <f>T("   MU")</f>
        <v xml:space="preserve">   MU</v>
      </c>
      <c r="B1688" t="str">
        <f>T("   Maurice, île")</f>
        <v xml:space="preserve">   Maurice, île</v>
      </c>
      <c r="C1688">
        <v>3805224</v>
      </c>
      <c r="D1688">
        <v>16801</v>
      </c>
    </row>
    <row r="1689" spans="1:4" x14ac:dyDescent="0.25">
      <c r="A1689" t="str">
        <f>T("   TG")</f>
        <v xml:space="preserve">   TG</v>
      </c>
      <c r="B1689" t="str">
        <f>T("   Togo")</f>
        <v xml:space="preserve">   Togo</v>
      </c>
      <c r="C1689">
        <v>17933378</v>
      </c>
      <c r="D1689">
        <v>155268</v>
      </c>
    </row>
    <row r="1690" spans="1:4" x14ac:dyDescent="0.25">
      <c r="A1690" t="str">
        <f>T("200570")</f>
        <v>200570</v>
      </c>
      <c r="B1690" t="str">
        <f>T("OLIVES, PRÉPARÉES OU CONSERVÉES AUTREMENT QU'AU VINAIGRE OU À L'ACIDE ACÉTIQUE, NON-CONGELÉES")</f>
        <v>OLIVES, PRÉPARÉES OU CONSERVÉES AUTREMENT QU'AU VINAIGRE OU À L'ACIDE ACÉTIQUE, NON-CONGELÉES</v>
      </c>
    </row>
    <row r="1691" spans="1:4" x14ac:dyDescent="0.25">
      <c r="A1691" t="str">
        <f>T("   ZZZ_Monde")</f>
        <v xml:space="preserve">   ZZZ_Monde</v>
      </c>
      <c r="B1691" t="str">
        <f>T("   ZZZ_Monde")</f>
        <v xml:space="preserve">   ZZZ_Monde</v>
      </c>
      <c r="C1691">
        <v>65431308</v>
      </c>
      <c r="D1691">
        <v>115390</v>
      </c>
    </row>
    <row r="1692" spans="1:4" x14ac:dyDescent="0.25">
      <c r="A1692" t="str">
        <f>T("   FR")</f>
        <v xml:space="preserve">   FR</v>
      </c>
      <c r="B1692" t="str">
        <f>T("   France")</f>
        <v xml:space="preserve">   France</v>
      </c>
      <c r="C1692">
        <v>48787077</v>
      </c>
      <c r="D1692">
        <v>83014</v>
      </c>
    </row>
    <row r="1693" spans="1:4" x14ac:dyDescent="0.25">
      <c r="A1693" t="str">
        <f>T("   LB")</f>
        <v xml:space="preserve">   LB</v>
      </c>
      <c r="B1693" t="str">
        <f>T("   Liban")</f>
        <v xml:space="preserve">   Liban</v>
      </c>
      <c r="C1693">
        <v>3635527</v>
      </c>
      <c r="D1693">
        <v>9876</v>
      </c>
    </row>
    <row r="1694" spans="1:4" x14ac:dyDescent="0.25">
      <c r="A1694" t="str">
        <f>T("   MA")</f>
        <v xml:space="preserve">   MA</v>
      </c>
      <c r="B1694" t="str">
        <f>T("   Maroc")</f>
        <v xml:space="preserve">   Maroc</v>
      </c>
      <c r="C1694">
        <v>13008704</v>
      </c>
      <c r="D1694">
        <v>22500</v>
      </c>
    </row>
    <row r="1695" spans="1:4" x14ac:dyDescent="0.25">
      <c r="A1695" t="str">
        <f>T("200580")</f>
        <v>200580</v>
      </c>
      <c r="B1695" t="str">
        <f>T("Maïs doux [Zea mays var. saccharata], préparé ou conservé autrement qu'au vinaigre ou à l'acide acétique, non congelé")</f>
        <v>Maïs doux [Zea mays var. saccharata], préparé ou conservé autrement qu'au vinaigre ou à l'acide acétique, non congelé</v>
      </c>
    </row>
    <row r="1696" spans="1:4" x14ac:dyDescent="0.25">
      <c r="A1696" t="str">
        <f>T("   ZZZ_Monde")</f>
        <v xml:space="preserve">   ZZZ_Monde</v>
      </c>
      <c r="B1696" t="str">
        <f>T("   ZZZ_Monde")</f>
        <v xml:space="preserve">   ZZZ_Monde</v>
      </c>
      <c r="C1696">
        <v>36993576</v>
      </c>
      <c r="D1696">
        <v>132716</v>
      </c>
    </row>
    <row r="1697" spans="1:4" x14ac:dyDescent="0.25">
      <c r="A1697" t="str">
        <f>T("   CN")</f>
        <v xml:space="preserve">   CN</v>
      </c>
      <c r="B1697" t="str">
        <f>T("   Chine")</f>
        <v xml:space="preserve">   Chine</v>
      </c>
      <c r="C1697">
        <v>1544130</v>
      </c>
      <c r="D1697">
        <v>5000</v>
      </c>
    </row>
    <row r="1698" spans="1:4" x14ac:dyDescent="0.25">
      <c r="A1698" t="str">
        <f>T("   DE")</f>
        <v xml:space="preserve">   DE</v>
      </c>
      <c r="B1698" t="str">
        <f>T("   Allemagne")</f>
        <v xml:space="preserve">   Allemagne</v>
      </c>
      <c r="C1698">
        <v>18729570</v>
      </c>
      <c r="D1698">
        <v>63192</v>
      </c>
    </row>
    <row r="1699" spans="1:4" x14ac:dyDescent="0.25">
      <c r="A1699" t="str">
        <f>T("   FR")</f>
        <v xml:space="preserve">   FR</v>
      </c>
      <c r="B1699" t="str">
        <f>T("   France")</f>
        <v xml:space="preserve">   France</v>
      </c>
      <c r="C1699">
        <v>2950620</v>
      </c>
      <c r="D1699">
        <v>7055</v>
      </c>
    </row>
    <row r="1700" spans="1:4" x14ac:dyDescent="0.25">
      <c r="A1700" t="str">
        <f>T("   TG")</f>
        <v xml:space="preserve">   TG</v>
      </c>
      <c r="B1700" t="str">
        <f>T("   Togo")</f>
        <v xml:space="preserve">   Togo</v>
      </c>
      <c r="C1700">
        <v>216103</v>
      </c>
      <c r="D1700">
        <v>1340</v>
      </c>
    </row>
    <row r="1701" spans="1:4" x14ac:dyDescent="0.25">
      <c r="A1701" t="str">
        <f>T("   TH")</f>
        <v xml:space="preserve">   TH</v>
      </c>
      <c r="B1701" t="str">
        <f>T("   Thaïlande")</f>
        <v xml:space="preserve">   Thaïlande</v>
      </c>
      <c r="C1701">
        <v>13553153</v>
      </c>
      <c r="D1701">
        <v>56129</v>
      </c>
    </row>
    <row r="1702" spans="1:4" x14ac:dyDescent="0.25">
      <c r="A1702" t="str">
        <f>T("200590")</f>
        <v>200590</v>
      </c>
      <c r="B1702" t="str">
        <f>T("LÉGUMES ET MÉLANGES DE LÉGUMES, PRÉPARÉS OU CONSERVÉS AUTREMENT QU'AU VINAIGRE OU À L'ACIDE ACÉTIQUE, NON-CONGELÉS (À L'EXCL. DES LÉGUMES CONFITS AU SUCRE, DES LÉGUMES HOMOGÉNÉISÉS DU N° 2005.10, AINSI QUE DES TOMATES, DES CHAMPIGNONS, DES TRUFFES, DES PO")</f>
        <v>LÉGUMES ET MÉLANGES DE LÉGUMES, PRÉPARÉS OU CONSERVÉS AUTREMENT QU'AU VINAIGRE OU À L'ACIDE ACÉTIQUE, NON-CONGELÉS (À L'EXCL. DES LÉGUMES CONFITS AU SUCRE, DES LÉGUMES HOMOGÉNÉISÉS DU N° 2005.10, AINSI QUE DES TOMATES, DES CHAMPIGNONS, DES TRUFFES, DES PO</v>
      </c>
    </row>
    <row r="1703" spans="1:4" x14ac:dyDescent="0.25">
      <c r="A1703" t="str">
        <f>T("   ZZZ_Monde")</f>
        <v xml:space="preserve">   ZZZ_Monde</v>
      </c>
      <c r="B1703" t="str">
        <f>T("   ZZZ_Monde")</f>
        <v xml:space="preserve">   ZZZ_Monde</v>
      </c>
      <c r="C1703">
        <v>153681813</v>
      </c>
      <c r="D1703">
        <v>353424</v>
      </c>
    </row>
    <row r="1704" spans="1:4" x14ac:dyDescent="0.25">
      <c r="A1704" t="str">
        <f>T("   BE")</f>
        <v xml:space="preserve">   BE</v>
      </c>
      <c r="B1704" t="str">
        <f>T("   Belgique")</f>
        <v xml:space="preserve">   Belgique</v>
      </c>
      <c r="C1704">
        <v>21142246</v>
      </c>
      <c r="D1704">
        <v>24375</v>
      </c>
    </row>
    <row r="1705" spans="1:4" x14ac:dyDescent="0.25">
      <c r="A1705" t="str">
        <f>T("   ES")</f>
        <v xml:space="preserve">   ES</v>
      </c>
      <c r="B1705" t="str">
        <f>T("   Espagne")</f>
        <v xml:space="preserve">   Espagne</v>
      </c>
      <c r="C1705">
        <v>962950</v>
      </c>
      <c r="D1705">
        <v>1586</v>
      </c>
    </row>
    <row r="1706" spans="1:4" x14ac:dyDescent="0.25">
      <c r="A1706" t="str">
        <f>T("   FR")</f>
        <v xml:space="preserve">   FR</v>
      </c>
      <c r="B1706" t="str">
        <f>T("   France")</f>
        <v xml:space="preserve">   France</v>
      </c>
      <c r="C1706">
        <v>128424569</v>
      </c>
      <c r="D1706">
        <v>317487</v>
      </c>
    </row>
    <row r="1707" spans="1:4" x14ac:dyDescent="0.25">
      <c r="A1707" t="str">
        <f>T("   GB")</f>
        <v xml:space="preserve">   GB</v>
      </c>
      <c r="B1707" t="str">
        <f>T("   Royaume-Uni")</f>
        <v xml:space="preserve">   Royaume-Uni</v>
      </c>
      <c r="C1707">
        <v>10000</v>
      </c>
      <c r="D1707">
        <v>5</v>
      </c>
    </row>
    <row r="1708" spans="1:4" x14ac:dyDescent="0.25">
      <c r="A1708" t="str">
        <f>T("   LB")</f>
        <v xml:space="preserve">   LB</v>
      </c>
      <c r="B1708" t="str">
        <f>T("   Liban")</f>
        <v xml:space="preserve">   Liban</v>
      </c>
      <c r="C1708">
        <v>3022210</v>
      </c>
      <c r="D1708">
        <v>9471</v>
      </c>
    </row>
    <row r="1709" spans="1:4" x14ac:dyDescent="0.25">
      <c r="A1709" t="str">
        <f>T("   PK")</f>
        <v xml:space="preserve">   PK</v>
      </c>
      <c r="B1709" t="str">
        <f>T("   Pakistan")</f>
        <v xml:space="preserve">   Pakistan</v>
      </c>
      <c r="C1709">
        <v>119838</v>
      </c>
      <c r="D1709">
        <v>500</v>
      </c>
    </row>
    <row r="1710" spans="1:4" x14ac:dyDescent="0.25">
      <c r="A1710" t="str">
        <f>T("200710")</f>
        <v>200710</v>
      </c>
      <c r="B1710" t="str">
        <f>T("Confitures, gelées, marmelades, purées et pâtes de fruits, obtenues par cuisson, avec ou sans addition de sucre ou d'autres édulcorants, présentées sous la forme de préparations finement homogénéisées, conditionnées pour la vente au détail comme aliments")</f>
        <v>Confitures, gelées, marmelades, purées et pâtes de fruits, obtenues par cuisson, avec ou sans addition de sucre ou d'autres édulcorants, présentées sous la forme de préparations finement homogénéisées, conditionnées pour la vente au détail comme aliments</v>
      </c>
    </row>
    <row r="1711" spans="1:4" x14ac:dyDescent="0.25">
      <c r="A1711" t="str">
        <f>T("   ZZZ_Monde")</f>
        <v xml:space="preserve">   ZZZ_Monde</v>
      </c>
      <c r="B1711" t="str">
        <f>T("   ZZZ_Monde")</f>
        <v xml:space="preserve">   ZZZ_Monde</v>
      </c>
      <c r="C1711">
        <v>31378823</v>
      </c>
      <c r="D1711">
        <v>132245</v>
      </c>
    </row>
    <row r="1712" spans="1:4" x14ac:dyDescent="0.25">
      <c r="A1712" t="str">
        <f>T("   CN")</f>
        <v xml:space="preserve">   CN</v>
      </c>
      <c r="B1712" t="str">
        <f>T("   Chine")</f>
        <v xml:space="preserve">   Chine</v>
      </c>
      <c r="C1712">
        <v>1800000</v>
      </c>
      <c r="D1712">
        <v>10360</v>
      </c>
    </row>
    <row r="1713" spans="1:4" x14ac:dyDescent="0.25">
      <c r="A1713" t="str">
        <f>T("   FR")</f>
        <v xml:space="preserve">   FR</v>
      </c>
      <c r="B1713" t="str">
        <f>T("   France")</f>
        <v xml:space="preserve">   France</v>
      </c>
      <c r="C1713">
        <v>13203836</v>
      </c>
      <c r="D1713">
        <v>11386</v>
      </c>
    </row>
    <row r="1714" spans="1:4" x14ac:dyDescent="0.25">
      <c r="A1714" t="str">
        <f>T("   GH")</f>
        <v xml:space="preserve">   GH</v>
      </c>
      <c r="B1714" t="str">
        <f>T("   Ghana")</f>
        <v xml:space="preserve">   Ghana</v>
      </c>
      <c r="C1714">
        <v>8500000</v>
      </c>
      <c r="D1714">
        <v>56290</v>
      </c>
    </row>
    <row r="1715" spans="1:4" x14ac:dyDescent="0.25">
      <c r="A1715" t="str">
        <f>T("   TG")</f>
        <v xml:space="preserve">   TG</v>
      </c>
      <c r="B1715" t="str">
        <f>T("   Togo")</f>
        <v xml:space="preserve">   Togo</v>
      </c>
      <c r="C1715">
        <v>7874987</v>
      </c>
      <c r="D1715">
        <v>54209</v>
      </c>
    </row>
    <row r="1716" spans="1:4" x14ac:dyDescent="0.25">
      <c r="A1716" t="str">
        <f>T("200791")</f>
        <v>200791</v>
      </c>
      <c r="B1716" t="str">
        <f>T("Confitures, gelées, marmelades, purées et pâtes d'agrumes, obtenues par cuisson, avec ou sans addition de sucre ou d'autres édulcorants (à l'excl. des préparations homogénéisées du n° 2007.10)")</f>
        <v>Confitures, gelées, marmelades, purées et pâtes d'agrumes, obtenues par cuisson, avec ou sans addition de sucre ou d'autres édulcorants (à l'excl. des préparations homogénéisées du n° 2007.10)</v>
      </c>
    </row>
    <row r="1717" spans="1:4" x14ac:dyDescent="0.25">
      <c r="A1717" t="str">
        <f>T("   ZZZ_Monde")</f>
        <v xml:space="preserve">   ZZZ_Monde</v>
      </c>
      <c r="B1717" t="str">
        <f>T("   ZZZ_Monde")</f>
        <v xml:space="preserve">   ZZZ_Monde</v>
      </c>
      <c r="C1717">
        <v>4743902</v>
      </c>
      <c r="D1717">
        <v>3004</v>
      </c>
    </row>
    <row r="1718" spans="1:4" x14ac:dyDescent="0.25">
      <c r="A1718" t="str">
        <f>T("   BE")</f>
        <v xml:space="preserve">   BE</v>
      </c>
      <c r="B1718" t="str">
        <f>T("   Belgique")</f>
        <v xml:space="preserve">   Belgique</v>
      </c>
      <c r="C1718">
        <v>4743902</v>
      </c>
      <c r="D1718">
        <v>3004</v>
      </c>
    </row>
    <row r="1719" spans="1:4" x14ac:dyDescent="0.25">
      <c r="A1719" t="str">
        <f>T("200799")</f>
        <v>200799</v>
      </c>
      <c r="B1719" t="str">
        <f>T("Confitures, gelées, marmelades, purées et pâtes de fruits, obtenues par cuisson, avec ou sans addition de sucre ou d'autres édulcorants (à l'excl. des préparations homogénéisées du n° 2007.10 ainsi que des confitures, gelées, marmelades, purées et pâtes d")</f>
        <v>Confitures, gelées, marmelades, purées et pâtes de fruits, obtenues par cuisson, avec ou sans addition de sucre ou d'autres édulcorants (à l'excl. des préparations homogénéisées du n° 2007.10 ainsi que des confitures, gelées, marmelades, purées et pâtes d</v>
      </c>
    </row>
    <row r="1720" spans="1:4" x14ac:dyDescent="0.25">
      <c r="A1720" t="str">
        <f>T("   ZZZ_Monde")</f>
        <v xml:space="preserve">   ZZZ_Monde</v>
      </c>
      <c r="B1720" t="str">
        <f>T("   ZZZ_Monde")</f>
        <v xml:space="preserve">   ZZZ_Monde</v>
      </c>
      <c r="C1720">
        <v>32548571</v>
      </c>
      <c r="D1720">
        <v>53136.6</v>
      </c>
    </row>
    <row r="1721" spans="1:4" x14ac:dyDescent="0.25">
      <c r="A1721" t="str">
        <f>T("   AL")</f>
        <v xml:space="preserve">   AL</v>
      </c>
      <c r="B1721" t="str">
        <f>T("   Albanie")</f>
        <v xml:space="preserve">   Albanie</v>
      </c>
      <c r="C1721">
        <v>886340</v>
      </c>
      <c r="D1721">
        <v>4735.6000000000004</v>
      </c>
    </row>
    <row r="1722" spans="1:4" x14ac:dyDescent="0.25">
      <c r="A1722" t="str">
        <f>T("   BE")</f>
        <v xml:space="preserve">   BE</v>
      </c>
      <c r="B1722" t="str">
        <f>T("   Belgique")</f>
        <v xml:space="preserve">   Belgique</v>
      </c>
      <c r="C1722">
        <v>8998461</v>
      </c>
      <c r="D1722">
        <v>14741</v>
      </c>
    </row>
    <row r="1723" spans="1:4" x14ac:dyDescent="0.25">
      <c r="A1723" t="str">
        <f>T("   FR")</f>
        <v xml:space="preserve">   FR</v>
      </c>
      <c r="B1723" t="str">
        <f>T("   France")</f>
        <v xml:space="preserve">   France</v>
      </c>
      <c r="C1723">
        <v>19838855</v>
      </c>
      <c r="D1723">
        <v>27973</v>
      </c>
    </row>
    <row r="1724" spans="1:4" x14ac:dyDescent="0.25">
      <c r="A1724" t="str">
        <f>T("   GH")</f>
        <v xml:space="preserve">   GH</v>
      </c>
      <c r="B1724" t="str">
        <f>T("   Ghana")</f>
        <v xml:space="preserve">   Ghana</v>
      </c>
      <c r="C1724">
        <v>300000</v>
      </c>
      <c r="D1724">
        <v>1500</v>
      </c>
    </row>
    <row r="1725" spans="1:4" x14ac:dyDescent="0.25">
      <c r="A1725" t="str">
        <f>T("   IN")</f>
        <v xml:space="preserve">   IN</v>
      </c>
      <c r="B1725" t="str">
        <f>T("   Inde")</f>
        <v xml:space="preserve">   Inde</v>
      </c>
      <c r="C1725">
        <v>817293</v>
      </c>
      <c r="D1725">
        <v>1087</v>
      </c>
    </row>
    <row r="1726" spans="1:4" x14ac:dyDescent="0.25">
      <c r="A1726" t="str">
        <f>T("   LB")</f>
        <v xml:space="preserve">   LB</v>
      </c>
      <c r="B1726" t="str">
        <f>T("   Liban")</f>
        <v xml:space="preserve">   Liban</v>
      </c>
      <c r="C1726">
        <v>1207622</v>
      </c>
      <c r="D1726">
        <v>1600</v>
      </c>
    </row>
    <row r="1727" spans="1:4" x14ac:dyDescent="0.25">
      <c r="A1727" t="str">
        <f>T("   TG")</f>
        <v xml:space="preserve">   TG</v>
      </c>
      <c r="B1727" t="str">
        <f>T("   Togo")</f>
        <v xml:space="preserve">   Togo</v>
      </c>
      <c r="C1727">
        <v>500000</v>
      </c>
      <c r="D1727">
        <v>1500</v>
      </c>
    </row>
    <row r="1728" spans="1:4" x14ac:dyDescent="0.25">
      <c r="A1728" t="str">
        <f>T("200811")</f>
        <v>200811</v>
      </c>
      <c r="B1728" t="str">
        <f>T("Arachides, préparées ou conservées (sauf confites au sucre)")</f>
        <v>Arachides, préparées ou conservées (sauf confites au sucre)</v>
      </c>
    </row>
    <row r="1729" spans="1:4" x14ac:dyDescent="0.25">
      <c r="A1729" t="str">
        <f>T("   ZZZ_Monde")</f>
        <v xml:space="preserve">   ZZZ_Monde</v>
      </c>
      <c r="B1729" t="str">
        <f>T("   ZZZ_Monde")</f>
        <v xml:space="preserve">   ZZZ_Monde</v>
      </c>
      <c r="C1729">
        <v>68750</v>
      </c>
      <c r="D1729">
        <v>550</v>
      </c>
    </row>
    <row r="1730" spans="1:4" x14ac:dyDescent="0.25">
      <c r="A1730" t="str">
        <f>T("   NG")</f>
        <v xml:space="preserve">   NG</v>
      </c>
      <c r="B1730" t="str">
        <f>T("   Nigéria")</f>
        <v xml:space="preserve">   Nigéria</v>
      </c>
      <c r="C1730">
        <v>68750</v>
      </c>
      <c r="D1730">
        <v>550</v>
      </c>
    </row>
    <row r="1731" spans="1:4" x14ac:dyDescent="0.25">
      <c r="A1731" t="str">
        <f>T("200819")</f>
        <v>200819</v>
      </c>
      <c r="B1731" t="str">
        <f>T("FRUITS À COQUE ET AUTRES GRAINES, Y.C. LES MÉLANGES, PRÉPARÉS OU CONSERVÉS (SAUF PRÉPARÉS OU CONSERVÉS AU VINAIGRE OU À L'ACIDE ACÉTIQUE, CONFITS AU SUCRE MAIS NON-CONSERVÉS DANS DU SIROP ET À L'EXCL. DES CONFITURES, GELÉES DE FRUITS, MARMELADES, PURÉES E")</f>
        <v>FRUITS À COQUE ET AUTRES GRAINES, Y.C. LES MÉLANGES, PRÉPARÉS OU CONSERVÉS (SAUF PRÉPARÉS OU CONSERVÉS AU VINAIGRE OU À L'ACIDE ACÉTIQUE, CONFITS AU SUCRE MAIS NON-CONSERVÉS DANS DU SIROP ET À L'EXCL. DES CONFITURES, GELÉES DE FRUITS, MARMELADES, PURÉES E</v>
      </c>
    </row>
    <row r="1732" spans="1:4" x14ac:dyDescent="0.25">
      <c r="A1732" t="str">
        <f>T("   ZZZ_Monde")</f>
        <v xml:space="preserve">   ZZZ_Monde</v>
      </c>
      <c r="B1732" t="str">
        <f>T("   ZZZ_Monde")</f>
        <v xml:space="preserve">   ZZZ_Monde</v>
      </c>
      <c r="C1732">
        <v>857259</v>
      </c>
      <c r="D1732">
        <v>3301</v>
      </c>
    </row>
    <row r="1733" spans="1:4" x14ac:dyDescent="0.25">
      <c r="A1733" t="str">
        <f>T("   FR")</f>
        <v xml:space="preserve">   FR</v>
      </c>
      <c r="B1733" t="str">
        <f>T("   France")</f>
        <v xml:space="preserve">   France</v>
      </c>
      <c r="C1733">
        <v>362090</v>
      </c>
      <c r="D1733">
        <v>341</v>
      </c>
    </row>
    <row r="1734" spans="1:4" x14ac:dyDescent="0.25">
      <c r="A1734" t="str">
        <f>T("   LB")</f>
        <v xml:space="preserve">   LB</v>
      </c>
      <c r="B1734" t="str">
        <f>T("   Liban")</f>
        <v xml:space="preserve">   Liban</v>
      </c>
      <c r="C1734">
        <v>495169</v>
      </c>
      <c r="D1734">
        <v>2960</v>
      </c>
    </row>
    <row r="1735" spans="1:4" x14ac:dyDescent="0.25">
      <c r="A1735" t="str">
        <f>T("200840")</f>
        <v>200840</v>
      </c>
      <c r="B1735" t="str">
        <f>T("Poires, préparées ou conservées, avec ou sans addition de sucre ou d'autres édulcorants ou d'alcool, n.d.a.")</f>
        <v>Poires, préparées ou conservées, avec ou sans addition de sucre ou d'autres édulcorants ou d'alcool, n.d.a.</v>
      </c>
    </row>
    <row r="1736" spans="1:4" x14ac:dyDescent="0.25">
      <c r="A1736" t="str">
        <f>T("   ZZZ_Monde")</f>
        <v xml:space="preserve">   ZZZ_Monde</v>
      </c>
      <c r="B1736" t="str">
        <f>T("   ZZZ_Monde")</f>
        <v xml:space="preserve">   ZZZ_Monde</v>
      </c>
      <c r="C1736">
        <v>13638720</v>
      </c>
      <c r="D1736">
        <v>34758</v>
      </c>
    </row>
    <row r="1737" spans="1:4" x14ac:dyDescent="0.25">
      <c r="A1737" t="str">
        <f>T("   FR")</f>
        <v xml:space="preserve">   FR</v>
      </c>
      <c r="B1737" t="str">
        <f>T("   France")</f>
        <v xml:space="preserve">   France</v>
      </c>
      <c r="C1737">
        <v>13638720</v>
      </c>
      <c r="D1737">
        <v>34758</v>
      </c>
    </row>
    <row r="1738" spans="1:4" x14ac:dyDescent="0.25">
      <c r="A1738" t="str">
        <f>T("200860")</f>
        <v>200860</v>
      </c>
      <c r="B1738" t="str">
        <f>T("CERISES, PRÉPARÉES OU CONSERVÉES, AVEC OU SANS ADDITION DE SUCRE OU D'AUTRES ÉDULCORANTS OU D'ALCOOL (SAUF CONFITES AU SUCRE MAIS NON-CONSERVÉES DANS DU SIROP ET À L'EXCL. DES CONFITURES, GELÉES DE FRUITS, MARMELADES, PURÉES ET PÂTES DE FRUITS OBTENUES PA")</f>
        <v>CERISES, PRÉPARÉES OU CONSERVÉES, AVEC OU SANS ADDITION DE SUCRE OU D'AUTRES ÉDULCORANTS OU D'ALCOOL (SAUF CONFITES AU SUCRE MAIS NON-CONSERVÉES DANS DU SIROP ET À L'EXCL. DES CONFITURES, GELÉES DE FRUITS, MARMELADES, PURÉES ET PÂTES DE FRUITS OBTENUES PA</v>
      </c>
    </row>
    <row r="1739" spans="1:4" x14ac:dyDescent="0.25">
      <c r="A1739" t="str">
        <f>T("   ZZZ_Monde")</f>
        <v xml:space="preserve">   ZZZ_Monde</v>
      </c>
      <c r="B1739" t="str">
        <f>T("   ZZZ_Monde")</f>
        <v xml:space="preserve">   ZZZ_Monde</v>
      </c>
      <c r="C1739">
        <v>6329903</v>
      </c>
      <c r="D1739">
        <v>6648</v>
      </c>
    </row>
    <row r="1740" spans="1:4" x14ac:dyDescent="0.25">
      <c r="A1740" t="str">
        <f>T("   FR")</f>
        <v xml:space="preserve">   FR</v>
      </c>
      <c r="B1740" t="str">
        <f>T("   France")</f>
        <v xml:space="preserve">   France</v>
      </c>
      <c r="C1740">
        <v>6329903</v>
      </c>
      <c r="D1740">
        <v>6648</v>
      </c>
    </row>
    <row r="1741" spans="1:4" x14ac:dyDescent="0.25">
      <c r="A1741" t="str">
        <f>T("200911")</f>
        <v>200911</v>
      </c>
      <c r="B1741" t="str">
        <f>T("JUS D'ORANGE, NON-FERMENTÉS, SANS ADDITION D'ALCOOL, AVEC OU SANS ADDITION DE SUCRE OU D'AUTRES ÉDULCORANTS, CONGELÉS")</f>
        <v>JUS D'ORANGE, NON-FERMENTÉS, SANS ADDITION D'ALCOOL, AVEC OU SANS ADDITION DE SUCRE OU D'AUTRES ÉDULCORANTS, CONGELÉS</v>
      </c>
    </row>
    <row r="1742" spans="1:4" x14ac:dyDescent="0.25">
      <c r="A1742" t="str">
        <f>T("   ZZZ_Monde")</f>
        <v xml:space="preserve">   ZZZ_Monde</v>
      </c>
      <c r="B1742" t="str">
        <f>T("   ZZZ_Monde")</f>
        <v xml:space="preserve">   ZZZ_Monde</v>
      </c>
      <c r="C1742">
        <v>1069182</v>
      </c>
      <c r="D1742">
        <v>1901</v>
      </c>
    </row>
    <row r="1743" spans="1:4" x14ac:dyDescent="0.25">
      <c r="A1743" t="str">
        <f>T("   FR")</f>
        <v xml:space="preserve">   FR</v>
      </c>
      <c r="B1743" t="str">
        <f>T("   France")</f>
        <v xml:space="preserve">   France</v>
      </c>
      <c r="C1743">
        <v>1069182</v>
      </c>
      <c r="D1743">
        <v>1901</v>
      </c>
    </row>
    <row r="1744" spans="1:4" x14ac:dyDescent="0.25">
      <c r="A1744" t="str">
        <f>T("200912")</f>
        <v>200912</v>
      </c>
      <c r="B1744" t="str">
        <f>T("Jus d'orange, non fermentés, sans addition d'alcool, avec ou sans addition de sucre ou d'autres édulcorants, d'une valeur Brix &lt;= 20 à 20°C (à l'excl. des jus congelés)")</f>
        <v>Jus d'orange, non fermentés, sans addition d'alcool, avec ou sans addition de sucre ou d'autres édulcorants, d'une valeur Brix &lt;= 20 à 20°C (à l'excl. des jus congelés)</v>
      </c>
    </row>
    <row r="1745" spans="1:4" x14ac:dyDescent="0.25">
      <c r="A1745" t="str">
        <f>T("   ZZZ_Monde")</f>
        <v xml:space="preserve">   ZZZ_Monde</v>
      </c>
      <c r="B1745" t="str">
        <f>T("   ZZZ_Monde")</f>
        <v xml:space="preserve">   ZZZ_Monde</v>
      </c>
      <c r="C1745">
        <v>2067212</v>
      </c>
      <c r="D1745">
        <v>3500</v>
      </c>
    </row>
    <row r="1746" spans="1:4" x14ac:dyDescent="0.25">
      <c r="A1746" t="str">
        <f>T("   IT")</f>
        <v xml:space="preserve">   IT</v>
      </c>
      <c r="B1746" t="str">
        <f>T("   Italie")</f>
        <v xml:space="preserve">   Italie</v>
      </c>
      <c r="C1746">
        <v>2067212</v>
      </c>
      <c r="D1746">
        <v>3500</v>
      </c>
    </row>
    <row r="1747" spans="1:4" x14ac:dyDescent="0.25">
      <c r="A1747" t="str">
        <f>T("200919")</f>
        <v>200919</v>
      </c>
      <c r="B1747" t="str">
        <f>T("JUS D'ORANGE, NON-FERMENTÉS, SANS ADDITION D'ALCOOL, AVEC OU SANS ADDITION DE SUCRE OU D'AUTRES ÉDULCORANTS (À L'EXCL. DES JUS CONGELÉS ET DES JUS D'UNE VALEUR BRIX &lt;= 20 À 20°C)")</f>
        <v>JUS D'ORANGE, NON-FERMENTÉS, SANS ADDITION D'ALCOOL, AVEC OU SANS ADDITION DE SUCRE OU D'AUTRES ÉDULCORANTS (À L'EXCL. DES JUS CONGELÉS ET DES JUS D'UNE VALEUR BRIX &lt;= 20 À 20°C)</v>
      </c>
    </row>
    <row r="1748" spans="1:4" x14ac:dyDescent="0.25">
      <c r="A1748" t="str">
        <f>T("   ZZZ_Monde")</f>
        <v xml:space="preserve">   ZZZ_Monde</v>
      </c>
      <c r="B1748" t="str">
        <f>T("   ZZZ_Monde")</f>
        <v xml:space="preserve">   ZZZ_Monde</v>
      </c>
      <c r="C1748">
        <v>38645830</v>
      </c>
      <c r="D1748">
        <v>103421</v>
      </c>
    </row>
    <row r="1749" spans="1:4" x14ac:dyDescent="0.25">
      <c r="A1749" t="str">
        <f>T("   BD")</f>
        <v xml:space="preserve">   BD</v>
      </c>
      <c r="B1749" t="str">
        <f>T("   Bangladesh")</f>
        <v xml:space="preserve">   Bangladesh</v>
      </c>
      <c r="C1749">
        <v>3175694</v>
      </c>
      <c r="D1749">
        <v>11250</v>
      </c>
    </row>
    <row r="1750" spans="1:4" x14ac:dyDescent="0.25">
      <c r="A1750" t="str">
        <f>T("   CN")</f>
        <v xml:space="preserve">   CN</v>
      </c>
      <c r="B1750" t="str">
        <f>T("   Chine")</f>
        <v xml:space="preserve">   Chine</v>
      </c>
      <c r="C1750">
        <v>20726849</v>
      </c>
      <c r="D1750">
        <v>46762</v>
      </c>
    </row>
    <row r="1751" spans="1:4" x14ac:dyDescent="0.25">
      <c r="A1751" t="str">
        <f>T("   ES")</f>
        <v xml:space="preserve">   ES</v>
      </c>
      <c r="B1751" t="str">
        <f>T("   Espagne")</f>
        <v xml:space="preserve">   Espagne</v>
      </c>
      <c r="C1751">
        <v>1085614</v>
      </c>
      <c r="D1751">
        <v>4865</v>
      </c>
    </row>
    <row r="1752" spans="1:4" x14ac:dyDescent="0.25">
      <c r="A1752" t="str">
        <f>T("   FR")</f>
        <v xml:space="preserve">   FR</v>
      </c>
      <c r="B1752" t="str">
        <f>T("   France")</f>
        <v xml:space="preserve">   France</v>
      </c>
      <c r="C1752">
        <v>5125167</v>
      </c>
      <c r="D1752">
        <v>11475</v>
      </c>
    </row>
    <row r="1753" spans="1:4" x14ac:dyDescent="0.25">
      <c r="A1753" t="str">
        <f>T("   LB")</f>
        <v xml:space="preserve">   LB</v>
      </c>
      <c r="B1753" t="str">
        <f>T("   Liban")</f>
        <v xml:space="preserve">   Liban</v>
      </c>
      <c r="C1753">
        <v>4089392</v>
      </c>
      <c r="D1753">
        <v>12850</v>
      </c>
    </row>
    <row r="1754" spans="1:4" x14ac:dyDescent="0.25">
      <c r="A1754" t="str">
        <f>T("   TW")</f>
        <v xml:space="preserve">   TW</v>
      </c>
      <c r="B1754" t="str">
        <f>T("   Taïwan, Province de Chine")</f>
        <v xml:space="preserve">   Taïwan, Province de Chine</v>
      </c>
      <c r="C1754">
        <v>4443114</v>
      </c>
      <c r="D1754">
        <v>16219</v>
      </c>
    </row>
    <row r="1755" spans="1:4" x14ac:dyDescent="0.25">
      <c r="A1755" t="str">
        <f>T("200929")</f>
        <v>200929</v>
      </c>
      <c r="B1755" t="str">
        <f>T("JUS DE PAMPLEMOUSSE OU DE POMELO, NON-FERMENTÉS, SANS ADDITION D'ALCOOL, AVEC OU SANS ADDITION DE SUCRE OU D'AUTRES ÉDULCORANTS, D'UNE VALEUR BRIX &gt; 20 À 20°C")</f>
        <v>JUS DE PAMPLEMOUSSE OU DE POMELO, NON-FERMENTÉS, SANS ADDITION D'ALCOOL, AVEC OU SANS ADDITION DE SUCRE OU D'AUTRES ÉDULCORANTS, D'UNE VALEUR BRIX &gt; 20 À 20°C</v>
      </c>
    </row>
    <row r="1756" spans="1:4" x14ac:dyDescent="0.25">
      <c r="A1756" t="str">
        <f>T("   ZZZ_Monde")</f>
        <v xml:space="preserve">   ZZZ_Monde</v>
      </c>
      <c r="B1756" t="str">
        <f>T("   ZZZ_Monde")</f>
        <v xml:space="preserve">   ZZZ_Monde</v>
      </c>
      <c r="C1756">
        <v>5917556</v>
      </c>
      <c r="D1756">
        <v>21411</v>
      </c>
    </row>
    <row r="1757" spans="1:4" x14ac:dyDescent="0.25">
      <c r="A1757" t="str">
        <f>T("   FR")</f>
        <v xml:space="preserve">   FR</v>
      </c>
      <c r="B1757" t="str">
        <f>T("   France")</f>
        <v xml:space="preserve">   France</v>
      </c>
      <c r="C1757">
        <v>514929</v>
      </c>
      <c r="D1757">
        <v>1956</v>
      </c>
    </row>
    <row r="1758" spans="1:4" x14ac:dyDescent="0.25">
      <c r="A1758" t="str">
        <f>T("   ZA")</f>
        <v xml:space="preserve">   ZA</v>
      </c>
      <c r="B1758" t="str">
        <f>T("   Afrique du Sud")</f>
        <v xml:space="preserve">   Afrique du Sud</v>
      </c>
      <c r="C1758">
        <v>5402627</v>
      </c>
      <c r="D1758">
        <v>19455</v>
      </c>
    </row>
    <row r="1759" spans="1:4" x14ac:dyDescent="0.25">
      <c r="A1759" t="str">
        <f>T("200939")</f>
        <v>200939</v>
      </c>
      <c r="B1759" t="str">
        <f>T("JUS D'AGRUMES, NON-FERMENTÉS, SANS ADDITION D'ALCOOL, AVEC OU SANS ADDITION DE SUCRE OU D'AUTRES ÉDULCORANTS, D'UNE VALEUR BRIX &gt; 20 À 20°C (À L'EXCL. DES MÉLANGES AINSI QUE DES JUS D'ORANGE, DE PAMPLEMOUSSE OU DE POMELO)")</f>
        <v>JUS D'AGRUMES, NON-FERMENTÉS, SANS ADDITION D'ALCOOL, AVEC OU SANS ADDITION DE SUCRE OU D'AUTRES ÉDULCORANTS, D'UNE VALEUR BRIX &gt; 20 À 20°C (À L'EXCL. DES MÉLANGES AINSI QUE DES JUS D'ORANGE, DE PAMPLEMOUSSE OU DE POMELO)</v>
      </c>
    </row>
    <row r="1760" spans="1:4" x14ac:dyDescent="0.25">
      <c r="A1760" t="str">
        <f>T("   ZZZ_Monde")</f>
        <v xml:space="preserve">   ZZZ_Monde</v>
      </c>
      <c r="B1760" t="str">
        <f>T("   ZZZ_Monde")</f>
        <v xml:space="preserve">   ZZZ_Monde</v>
      </c>
      <c r="C1760">
        <v>2032142</v>
      </c>
      <c r="D1760">
        <v>6217</v>
      </c>
    </row>
    <row r="1761" spans="1:4" x14ac:dyDescent="0.25">
      <c r="A1761" t="str">
        <f>T("   FR")</f>
        <v xml:space="preserve">   FR</v>
      </c>
      <c r="B1761" t="str">
        <f>T("   France")</f>
        <v xml:space="preserve">   France</v>
      </c>
      <c r="C1761">
        <v>32142</v>
      </c>
      <c r="D1761">
        <v>17</v>
      </c>
    </row>
    <row r="1762" spans="1:4" x14ac:dyDescent="0.25">
      <c r="A1762" t="str">
        <f>T("   TG")</f>
        <v xml:space="preserve">   TG</v>
      </c>
      <c r="B1762" t="str">
        <f>T("   Togo")</f>
        <v xml:space="preserve">   Togo</v>
      </c>
      <c r="C1762">
        <v>2000000</v>
      </c>
      <c r="D1762">
        <v>6200</v>
      </c>
    </row>
    <row r="1763" spans="1:4" x14ac:dyDescent="0.25">
      <c r="A1763" t="str">
        <f>T("200941")</f>
        <v>200941</v>
      </c>
      <c r="B1763" t="str">
        <f>T("JUS D'ANANAS, NON-FERMENTÉS, SANS ADDITION D'ALCOOL, AVEC OU SANS ADDITION DE SUCRE OU D'AUTRES ÉDULCORANTS, D'UNE VALEUR BRIX &lt;= 20 À 20°C")</f>
        <v>JUS D'ANANAS, NON-FERMENTÉS, SANS ADDITION D'ALCOOL, AVEC OU SANS ADDITION DE SUCRE OU D'AUTRES ÉDULCORANTS, D'UNE VALEUR BRIX &lt;= 20 À 20°C</v>
      </c>
    </row>
    <row r="1764" spans="1:4" x14ac:dyDescent="0.25">
      <c r="A1764" t="str">
        <f>T("   ZZZ_Monde")</f>
        <v xml:space="preserve">   ZZZ_Monde</v>
      </c>
      <c r="B1764" t="str">
        <f>T("   ZZZ_Monde")</f>
        <v xml:space="preserve">   ZZZ_Monde</v>
      </c>
      <c r="C1764">
        <v>839629</v>
      </c>
      <c r="D1764">
        <v>3479</v>
      </c>
    </row>
    <row r="1765" spans="1:4" x14ac:dyDescent="0.25">
      <c r="A1765" t="str">
        <f>T("   PT")</f>
        <v xml:space="preserve">   PT</v>
      </c>
      <c r="B1765" t="str">
        <f>T("   Portugal")</f>
        <v xml:space="preserve">   Portugal</v>
      </c>
      <c r="C1765">
        <v>839629</v>
      </c>
      <c r="D1765">
        <v>3479</v>
      </c>
    </row>
    <row r="1766" spans="1:4" x14ac:dyDescent="0.25">
      <c r="A1766" t="str">
        <f>T("200949")</f>
        <v>200949</v>
      </c>
      <c r="B1766" t="str">
        <f>T("JUS D'ANANAS, NON-FERMENTÉS, SANS ADDITION D'ALCOOL, AVEC OU SANS ADDITION DE SUCRE OU D'AUTRES ÉDULCORANTS, D'UNE VALEUR BRIX &gt; 20 À 20°C")</f>
        <v>JUS D'ANANAS, NON-FERMENTÉS, SANS ADDITION D'ALCOOL, AVEC OU SANS ADDITION DE SUCRE OU D'AUTRES ÉDULCORANTS, D'UNE VALEUR BRIX &gt; 20 À 20°C</v>
      </c>
    </row>
    <row r="1767" spans="1:4" x14ac:dyDescent="0.25">
      <c r="A1767" t="str">
        <f>T("   ZZZ_Monde")</f>
        <v xml:space="preserve">   ZZZ_Monde</v>
      </c>
      <c r="B1767" t="str">
        <f>T("   ZZZ_Monde")</f>
        <v xml:space="preserve">   ZZZ_Monde</v>
      </c>
      <c r="C1767">
        <v>15071933</v>
      </c>
      <c r="D1767">
        <v>58605</v>
      </c>
    </row>
    <row r="1768" spans="1:4" x14ac:dyDescent="0.25">
      <c r="A1768" t="str">
        <f>T("   BD")</f>
        <v xml:space="preserve">   BD</v>
      </c>
      <c r="B1768" t="str">
        <f>T("   Bangladesh")</f>
        <v xml:space="preserve">   Bangladesh</v>
      </c>
      <c r="C1768">
        <v>773670</v>
      </c>
      <c r="D1768">
        <v>2925</v>
      </c>
    </row>
    <row r="1769" spans="1:4" x14ac:dyDescent="0.25">
      <c r="A1769" t="str">
        <f>T("   CN")</f>
        <v xml:space="preserve">   CN</v>
      </c>
      <c r="B1769" t="str">
        <f>T("   Chine")</f>
        <v xml:space="preserve">   Chine</v>
      </c>
      <c r="C1769">
        <v>3283547</v>
      </c>
      <c r="D1769">
        <v>24129</v>
      </c>
    </row>
    <row r="1770" spans="1:4" x14ac:dyDescent="0.25">
      <c r="A1770" t="str">
        <f>T("   FR")</f>
        <v xml:space="preserve">   FR</v>
      </c>
      <c r="B1770" t="str">
        <f>T("   France")</f>
        <v xml:space="preserve">   France</v>
      </c>
      <c r="C1770">
        <v>6036183</v>
      </c>
      <c r="D1770">
        <v>10935</v>
      </c>
    </row>
    <row r="1771" spans="1:4" x14ac:dyDescent="0.25">
      <c r="A1771" t="str">
        <f>T("   LB")</f>
        <v xml:space="preserve">   LB</v>
      </c>
      <c r="B1771" t="str">
        <f>T("   Liban")</f>
        <v xml:space="preserve">   Liban</v>
      </c>
      <c r="C1771">
        <v>1233861</v>
      </c>
      <c r="D1771">
        <v>7080</v>
      </c>
    </row>
    <row r="1772" spans="1:4" x14ac:dyDescent="0.25">
      <c r="A1772" t="str">
        <f>T("   TW")</f>
        <v xml:space="preserve">   TW</v>
      </c>
      <c r="B1772" t="str">
        <f>T("   Taïwan, Province de Chine")</f>
        <v xml:space="preserve">   Taïwan, Province de Chine</v>
      </c>
      <c r="C1772">
        <v>3744672</v>
      </c>
      <c r="D1772">
        <v>13536</v>
      </c>
    </row>
    <row r="1773" spans="1:4" x14ac:dyDescent="0.25">
      <c r="A1773" t="str">
        <f>T("200961")</f>
        <v>200961</v>
      </c>
      <c r="B1773" t="str">
        <f>T("JUS DE RAISIN - Y.C. LES MOÛTS DE RAISIN -, NON-FERMENTÉS, SANS ADDITION D'ALCOOL, AVEC OU SANS ADDITION DE SUCRE OU D'AUTRES ÉDULCORANTS, D'UNE VALEUR BRIX &lt;= 30 À 20°C")</f>
        <v>JUS DE RAISIN - Y.C. LES MOÛTS DE RAISIN -, NON-FERMENTÉS, SANS ADDITION D'ALCOOL, AVEC OU SANS ADDITION DE SUCRE OU D'AUTRES ÉDULCORANTS, D'UNE VALEUR BRIX &lt;= 30 À 20°C</v>
      </c>
    </row>
    <row r="1774" spans="1:4" x14ac:dyDescent="0.25">
      <c r="A1774" t="str">
        <f>T("   ZZZ_Monde")</f>
        <v xml:space="preserve">   ZZZ_Monde</v>
      </c>
      <c r="B1774" t="str">
        <f>T("   ZZZ_Monde")</f>
        <v xml:space="preserve">   ZZZ_Monde</v>
      </c>
      <c r="C1774">
        <v>12008391</v>
      </c>
      <c r="D1774">
        <v>51955</v>
      </c>
    </row>
    <row r="1775" spans="1:4" x14ac:dyDescent="0.25">
      <c r="A1775" t="str">
        <f>T("   BE")</f>
        <v xml:space="preserve">   BE</v>
      </c>
      <c r="B1775" t="str">
        <f>T("   Belgique")</f>
        <v xml:space="preserve">   Belgique</v>
      </c>
      <c r="C1775">
        <v>12008391</v>
      </c>
      <c r="D1775">
        <v>51955</v>
      </c>
    </row>
    <row r="1776" spans="1:4" x14ac:dyDescent="0.25">
      <c r="A1776" t="str">
        <f>T("200969")</f>
        <v>200969</v>
      </c>
      <c r="B1776" t="str">
        <f>T("JUS DE RAISIN - Y.C. LES MOÛTS DE RAISIN -, NON-FERMENTÉS, SANS ADDITION D'ALCOOL, AVEC OU SANS ADDITION DE SUCRE OU D'AUTRES ÉDULCORANTS, D'UNE VALEUR BRIX &gt; 30 À 20°C")</f>
        <v>JUS DE RAISIN - Y.C. LES MOÛTS DE RAISIN -, NON-FERMENTÉS, SANS ADDITION D'ALCOOL, AVEC OU SANS ADDITION DE SUCRE OU D'AUTRES ÉDULCORANTS, D'UNE VALEUR BRIX &gt; 30 À 20°C</v>
      </c>
    </row>
    <row r="1777" spans="1:4" x14ac:dyDescent="0.25">
      <c r="A1777" t="str">
        <f>T("   ZZZ_Monde")</f>
        <v xml:space="preserve">   ZZZ_Monde</v>
      </c>
      <c r="B1777" t="str">
        <f>T("   ZZZ_Monde")</f>
        <v xml:space="preserve">   ZZZ_Monde</v>
      </c>
      <c r="C1777">
        <v>131935034</v>
      </c>
      <c r="D1777">
        <v>374545</v>
      </c>
    </row>
    <row r="1778" spans="1:4" x14ac:dyDescent="0.25">
      <c r="A1778" t="str">
        <f>T("   BE")</f>
        <v xml:space="preserve">   BE</v>
      </c>
      <c r="B1778" t="str">
        <f>T("   Belgique")</f>
        <v xml:space="preserve">   Belgique</v>
      </c>
      <c r="C1778">
        <v>76321571</v>
      </c>
      <c r="D1778">
        <v>229592</v>
      </c>
    </row>
    <row r="1779" spans="1:4" x14ac:dyDescent="0.25">
      <c r="A1779" t="str">
        <f>T("   ES")</f>
        <v xml:space="preserve">   ES</v>
      </c>
      <c r="B1779" t="str">
        <f>T("   Espagne")</f>
        <v xml:space="preserve">   Espagne</v>
      </c>
      <c r="C1779">
        <v>53355589</v>
      </c>
      <c r="D1779">
        <v>139241</v>
      </c>
    </row>
    <row r="1780" spans="1:4" x14ac:dyDescent="0.25">
      <c r="A1780" t="str">
        <f>T("   FR")</f>
        <v xml:space="preserve">   FR</v>
      </c>
      <c r="B1780" t="str">
        <f>T("   France")</f>
        <v xml:space="preserve">   France</v>
      </c>
      <c r="C1780">
        <v>2257874</v>
      </c>
      <c r="D1780">
        <v>5712</v>
      </c>
    </row>
    <row r="1781" spans="1:4" x14ac:dyDescent="0.25">
      <c r="A1781" t="str">
        <f>T("200979")</f>
        <v>200979</v>
      </c>
      <c r="B1781" t="str">
        <f>T("JUS DE POMME, NON-FERMENTÉS, SANS ADDITION D'ALCOOL, AVEC OU SANS ADDITION DE SUCRE OU D'AUTRES ÉDULCORANTS, D'UNE VALEUR BRIX &gt; 20 À 20°C")</f>
        <v>JUS DE POMME, NON-FERMENTÉS, SANS ADDITION D'ALCOOL, AVEC OU SANS ADDITION DE SUCRE OU D'AUTRES ÉDULCORANTS, D'UNE VALEUR BRIX &gt; 20 À 20°C</v>
      </c>
    </row>
    <row r="1782" spans="1:4" x14ac:dyDescent="0.25">
      <c r="A1782" t="str">
        <f>T("   ZZZ_Monde")</f>
        <v xml:space="preserve">   ZZZ_Monde</v>
      </c>
      <c r="B1782" t="str">
        <f>T("   ZZZ_Monde")</f>
        <v xml:space="preserve">   ZZZ_Monde</v>
      </c>
      <c r="C1782">
        <v>21025837</v>
      </c>
      <c r="D1782">
        <v>53972</v>
      </c>
    </row>
    <row r="1783" spans="1:4" x14ac:dyDescent="0.25">
      <c r="A1783" t="str">
        <f>T("   BG")</f>
        <v xml:space="preserve">   BG</v>
      </c>
      <c r="B1783" t="str">
        <f>T("   Bulgarie")</f>
        <v xml:space="preserve">   Bulgarie</v>
      </c>
      <c r="C1783">
        <v>3427364</v>
      </c>
      <c r="D1783">
        <v>11100</v>
      </c>
    </row>
    <row r="1784" spans="1:4" x14ac:dyDescent="0.25">
      <c r="A1784" t="str">
        <f>T("   ES")</f>
        <v xml:space="preserve">   ES</v>
      </c>
      <c r="B1784" t="str">
        <f>T("   Espagne")</f>
        <v xml:space="preserve">   Espagne</v>
      </c>
      <c r="C1784">
        <v>846188</v>
      </c>
      <c r="D1784">
        <v>3792</v>
      </c>
    </row>
    <row r="1785" spans="1:4" x14ac:dyDescent="0.25">
      <c r="A1785" t="str">
        <f>T("   FR")</f>
        <v xml:space="preserve">   FR</v>
      </c>
      <c r="B1785" t="str">
        <f>T("   France")</f>
        <v xml:space="preserve">   France</v>
      </c>
      <c r="C1785">
        <v>4402890</v>
      </c>
      <c r="D1785">
        <v>10348</v>
      </c>
    </row>
    <row r="1786" spans="1:4" x14ac:dyDescent="0.25">
      <c r="A1786" t="str">
        <f>T("   TG")</f>
        <v xml:space="preserve">   TG</v>
      </c>
      <c r="B1786" t="str">
        <f>T("   Togo")</f>
        <v xml:space="preserve">   Togo</v>
      </c>
      <c r="C1786">
        <v>2550000</v>
      </c>
      <c r="D1786">
        <v>10220</v>
      </c>
    </row>
    <row r="1787" spans="1:4" x14ac:dyDescent="0.25">
      <c r="A1787" t="str">
        <f>T("   ZA")</f>
        <v xml:space="preserve">   ZA</v>
      </c>
      <c r="B1787" t="str">
        <f>T("   Afrique du Sud")</f>
        <v xml:space="preserve">   Afrique du Sud</v>
      </c>
      <c r="C1787">
        <v>9799395</v>
      </c>
      <c r="D1787">
        <v>18512</v>
      </c>
    </row>
    <row r="1788" spans="1:4" x14ac:dyDescent="0.25">
      <c r="A1788" t="str">
        <f>T("200980")</f>
        <v>200980</v>
      </c>
      <c r="B1788" t="str">
        <f>T("JUS DE FRUITS OU DE LÉGUMES, NON-FERMENTÉS, SANS ADDITION D'ALCOOL, AVEC OU SANS ADDITION DE SUCRE OU D'AUTRES ÉDULCORANTS (À L'EXCL. DES MÉLANGES AINSI QUE DES JUS D'AGRUMES, D'ANANAS, DE TOMATE, DE RAISIN - Y.C. LES MOÛTS - ET DE POMME)")</f>
        <v>JUS DE FRUITS OU DE LÉGUMES, NON-FERMENTÉS, SANS ADDITION D'ALCOOL, AVEC OU SANS ADDITION DE SUCRE OU D'AUTRES ÉDULCORANTS (À L'EXCL. DES MÉLANGES AINSI QUE DES JUS D'AGRUMES, D'ANANAS, DE TOMATE, DE RAISIN - Y.C. LES MOÛTS - ET DE POMME)</v>
      </c>
    </row>
    <row r="1789" spans="1:4" x14ac:dyDescent="0.25">
      <c r="A1789" t="str">
        <f>T("   ZZZ_Monde")</f>
        <v xml:space="preserve">   ZZZ_Monde</v>
      </c>
      <c r="B1789" t="str">
        <f>T("   ZZZ_Monde")</f>
        <v xml:space="preserve">   ZZZ_Monde</v>
      </c>
      <c r="C1789">
        <v>206592170</v>
      </c>
      <c r="D1789">
        <v>842674.5</v>
      </c>
    </row>
    <row r="1790" spans="1:4" x14ac:dyDescent="0.25">
      <c r="A1790" t="str">
        <f>T("   AE")</f>
        <v xml:space="preserve">   AE</v>
      </c>
      <c r="B1790" t="str">
        <f>T("   Emirats Arabes Unis")</f>
        <v xml:space="preserve">   Emirats Arabes Unis</v>
      </c>
      <c r="C1790">
        <v>13200732</v>
      </c>
      <c r="D1790">
        <v>77586</v>
      </c>
    </row>
    <row r="1791" spans="1:4" x14ac:dyDescent="0.25">
      <c r="A1791" t="str">
        <f>T("   BD")</f>
        <v xml:space="preserve">   BD</v>
      </c>
      <c r="B1791" t="str">
        <f>T("   Bangladesh")</f>
        <v xml:space="preserve">   Bangladesh</v>
      </c>
      <c r="C1791">
        <v>3986275</v>
      </c>
      <c r="D1791">
        <v>14425</v>
      </c>
    </row>
    <row r="1792" spans="1:4" x14ac:dyDescent="0.25">
      <c r="A1792" t="str">
        <f>T("   BE")</f>
        <v xml:space="preserve">   BE</v>
      </c>
      <c r="B1792" t="str">
        <f>T("   Belgique")</f>
        <v xml:space="preserve">   Belgique</v>
      </c>
      <c r="C1792">
        <v>34547249</v>
      </c>
      <c r="D1792">
        <v>117464</v>
      </c>
    </row>
    <row r="1793" spans="1:4" x14ac:dyDescent="0.25">
      <c r="A1793" t="str">
        <f>T("   BG")</f>
        <v xml:space="preserve">   BG</v>
      </c>
      <c r="B1793" t="str">
        <f>T("   Bulgarie")</f>
        <v xml:space="preserve">   Bulgarie</v>
      </c>
      <c r="C1793">
        <v>5827975</v>
      </c>
      <c r="D1793">
        <v>18831</v>
      </c>
    </row>
    <row r="1794" spans="1:4" x14ac:dyDescent="0.25">
      <c r="A1794" t="str">
        <f>T("   CN")</f>
        <v xml:space="preserve">   CN</v>
      </c>
      <c r="B1794" t="str">
        <f>T("   Chine")</f>
        <v xml:space="preserve">   Chine</v>
      </c>
      <c r="C1794">
        <v>15762603</v>
      </c>
      <c r="D1794">
        <v>87543</v>
      </c>
    </row>
    <row r="1795" spans="1:4" x14ac:dyDescent="0.25">
      <c r="A1795" t="str">
        <f>T("   EG")</f>
        <v xml:space="preserve">   EG</v>
      </c>
      <c r="B1795" t="str">
        <f>T("   Egypte")</f>
        <v xml:space="preserve">   Egypte</v>
      </c>
      <c r="C1795">
        <v>12258727</v>
      </c>
      <c r="D1795">
        <v>92755</v>
      </c>
    </row>
    <row r="1796" spans="1:4" x14ac:dyDescent="0.25">
      <c r="A1796" t="str">
        <f>T("   ES")</f>
        <v xml:space="preserve">   ES</v>
      </c>
      <c r="B1796" t="str">
        <f>T("   Espagne")</f>
        <v xml:space="preserve">   Espagne</v>
      </c>
      <c r="C1796">
        <v>10807091</v>
      </c>
      <c r="D1796">
        <v>44581</v>
      </c>
    </row>
    <row r="1797" spans="1:4" x14ac:dyDescent="0.25">
      <c r="A1797" t="str">
        <f>T("   FR")</f>
        <v xml:space="preserve">   FR</v>
      </c>
      <c r="B1797" t="str">
        <f>T("   France")</f>
        <v xml:space="preserve">   France</v>
      </c>
      <c r="C1797">
        <v>38196081</v>
      </c>
      <c r="D1797">
        <v>69747</v>
      </c>
    </row>
    <row r="1798" spans="1:4" x14ac:dyDescent="0.25">
      <c r="A1798" t="str">
        <f>T("   GB")</f>
        <v xml:space="preserve">   GB</v>
      </c>
      <c r="B1798" t="str">
        <f>T("   Royaume-Uni")</f>
        <v xml:space="preserve">   Royaume-Uni</v>
      </c>
      <c r="C1798">
        <v>8609</v>
      </c>
      <c r="D1798">
        <v>5</v>
      </c>
    </row>
    <row r="1799" spans="1:4" x14ac:dyDescent="0.25">
      <c r="A1799" t="str">
        <f>T("   IT")</f>
        <v xml:space="preserve">   IT</v>
      </c>
      <c r="B1799" t="str">
        <f>T("   Italie")</f>
        <v xml:space="preserve">   Italie</v>
      </c>
      <c r="C1799">
        <v>6059615</v>
      </c>
      <c r="D1799">
        <v>52470</v>
      </c>
    </row>
    <row r="1800" spans="1:4" x14ac:dyDescent="0.25">
      <c r="A1800" t="str">
        <f>T("   LB")</f>
        <v xml:space="preserve">   LB</v>
      </c>
      <c r="B1800" t="str">
        <f>T("   Liban")</f>
        <v xml:space="preserve">   Liban</v>
      </c>
      <c r="C1800">
        <v>33325832</v>
      </c>
      <c r="D1800">
        <v>127594.5</v>
      </c>
    </row>
    <row r="1801" spans="1:4" x14ac:dyDescent="0.25">
      <c r="A1801" t="str">
        <f>T("   PT")</f>
        <v xml:space="preserve">   PT</v>
      </c>
      <c r="B1801" t="str">
        <f>T("   Portugal")</f>
        <v xml:space="preserve">   Portugal</v>
      </c>
      <c r="C1801">
        <v>7410340</v>
      </c>
      <c r="D1801">
        <v>37419</v>
      </c>
    </row>
    <row r="1802" spans="1:4" x14ac:dyDescent="0.25">
      <c r="A1802" t="str">
        <f>T("   TR")</f>
        <v xml:space="preserve">   TR</v>
      </c>
      <c r="B1802" t="str">
        <f>T("   Turquie")</f>
        <v xml:space="preserve">   Turquie</v>
      </c>
      <c r="C1802">
        <v>9150892</v>
      </c>
      <c r="D1802">
        <v>38671</v>
      </c>
    </row>
    <row r="1803" spans="1:4" x14ac:dyDescent="0.25">
      <c r="A1803" t="str">
        <f>T("   TW")</f>
        <v xml:space="preserve">   TW</v>
      </c>
      <c r="B1803" t="str">
        <f>T("   Taïwan, Province de Chine")</f>
        <v xml:space="preserve">   Taïwan, Province de Chine</v>
      </c>
      <c r="C1803">
        <v>6338316</v>
      </c>
      <c r="D1803">
        <v>22839</v>
      </c>
    </row>
    <row r="1804" spans="1:4" x14ac:dyDescent="0.25">
      <c r="A1804" t="str">
        <f>T("   ZA")</f>
        <v xml:space="preserve">   ZA</v>
      </c>
      <c r="B1804" t="str">
        <f>T("   Afrique du Sud")</f>
        <v xml:space="preserve">   Afrique du Sud</v>
      </c>
      <c r="C1804">
        <v>9711833</v>
      </c>
      <c r="D1804">
        <v>40744</v>
      </c>
    </row>
    <row r="1805" spans="1:4" x14ac:dyDescent="0.25">
      <c r="A1805" t="str">
        <f>T("200990")</f>
        <v>200990</v>
      </c>
      <c r="B1805" t="str">
        <f>T("MÉLANGES DE JUS DE FRUITS - Y.C. LES MOÛTS DE RAISIN - ET DE JUS DE LÉGUMES, NON-FERMENTÉS, SANS ADDITION D'ALCOOL, AVEC OU SANS ADDITION DE SUCRE OU D'AUTRES ÉDULCORANTS")</f>
        <v>MÉLANGES DE JUS DE FRUITS - Y.C. LES MOÛTS DE RAISIN - ET DE JUS DE LÉGUMES, NON-FERMENTÉS, SANS ADDITION D'ALCOOL, AVEC OU SANS ADDITION DE SUCRE OU D'AUTRES ÉDULCORANTS</v>
      </c>
    </row>
    <row r="1806" spans="1:4" x14ac:dyDescent="0.25">
      <c r="A1806" t="str">
        <f>T("   ZZZ_Monde")</f>
        <v xml:space="preserve">   ZZZ_Monde</v>
      </c>
      <c r="B1806" t="str">
        <f>T("   ZZZ_Monde")</f>
        <v xml:space="preserve">   ZZZ_Monde</v>
      </c>
      <c r="C1806">
        <v>251150962</v>
      </c>
      <c r="D1806">
        <v>1151856</v>
      </c>
    </row>
    <row r="1807" spans="1:4" x14ac:dyDescent="0.25">
      <c r="A1807" t="str">
        <f>T("   AE")</f>
        <v xml:space="preserve">   AE</v>
      </c>
      <c r="B1807" t="str">
        <f>T("   Emirats Arabes Unis")</f>
        <v xml:space="preserve">   Emirats Arabes Unis</v>
      </c>
      <c r="C1807">
        <v>4782954</v>
      </c>
      <c r="D1807">
        <v>21600</v>
      </c>
    </row>
    <row r="1808" spans="1:4" x14ac:dyDescent="0.25">
      <c r="A1808" t="str">
        <f>T("   AO")</f>
        <v xml:space="preserve">   AO</v>
      </c>
      <c r="B1808" t="str">
        <f>T("   Angola")</f>
        <v xml:space="preserve">   Angola</v>
      </c>
      <c r="C1808">
        <v>2975719</v>
      </c>
      <c r="D1808">
        <v>20207</v>
      </c>
    </row>
    <row r="1809" spans="1:4" x14ac:dyDescent="0.25">
      <c r="A1809" t="str">
        <f>T("   BD")</f>
        <v xml:space="preserve">   BD</v>
      </c>
      <c r="B1809" t="str">
        <f>T("   Bangladesh")</f>
        <v xml:space="preserve">   Bangladesh</v>
      </c>
      <c r="C1809">
        <v>13204703</v>
      </c>
      <c r="D1809">
        <v>56485</v>
      </c>
    </row>
    <row r="1810" spans="1:4" x14ac:dyDescent="0.25">
      <c r="A1810" t="str">
        <f>T("   BE")</f>
        <v xml:space="preserve">   BE</v>
      </c>
      <c r="B1810" t="str">
        <f>T("   Belgique")</f>
        <v xml:space="preserve">   Belgique</v>
      </c>
      <c r="C1810">
        <v>20496500</v>
      </c>
      <c r="D1810">
        <v>65270</v>
      </c>
    </row>
    <row r="1811" spans="1:4" x14ac:dyDescent="0.25">
      <c r="A1811" t="str">
        <f>T("   BG")</f>
        <v xml:space="preserve">   BG</v>
      </c>
      <c r="B1811" t="str">
        <f>T("   Bulgarie")</f>
        <v xml:space="preserve">   Bulgarie</v>
      </c>
      <c r="C1811">
        <v>302214</v>
      </c>
      <c r="D1811">
        <v>1380</v>
      </c>
    </row>
    <row r="1812" spans="1:4" x14ac:dyDescent="0.25">
      <c r="A1812" t="str">
        <f>T("   CI")</f>
        <v xml:space="preserve">   CI</v>
      </c>
      <c r="B1812" t="str">
        <f>T("   Côte d'Ivoire")</f>
        <v xml:space="preserve">   Côte d'Ivoire</v>
      </c>
      <c r="C1812">
        <v>4308518</v>
      </c>
      <c r="D1812">
        <v>46050</v>
      </c>
    </row>
    <row r="1813" spans="1:4" x14ac:dyDescent="0.25">
      <c r="A1813" t="str">
        <f>T("   CN")</f>
        <v xml:space="preserve">   CN</v>
      </c>
      <c r="B1813" t="str">
        <f>T("   Chine")</f>
        <v xml:space="preserve">   Chine</v>
      </c>
      <c r="C1813">
        <v>24395532</v>
      </c>
      <c r="D1813">
        <v>110977</v>
      </c>
    </row>
    <row r="1814" spans="1:4" x14ac:dyDescent="0.25">
      <c r="A1814" t="str">
        <f>T("   DE")</f>
        <v xml:space="preserve">   DE</v>
      </c>
      <c r="B1814" t="str">
        <f>T("   Allemagne")</f>
        <v xml:space="preserve">   Allemagne</v>
      </c>
      <c r="C1814">
        <v>20000</v>
      </c>
      <c r="D1814">
        <v>20</v>
      </c>
    </row>
    <row r="1815" spans="1:4" x14ac:dyDescent="0.25">
      <c r="A1815" t="str">
        <f>T("   ES")</f>
        <v xml:space="preserve">   ES</v>
      </c>
      <c r="B1815" t="str">
        <f>T("   Espagne")</f>
        <v xml:space="preserve">   Espagne</v>
      </c>
      <c r="C1815">
        <v>1208934</v>
      </c>
      <c r="D1815">
        <v>5419</v>
      </c>
    </row>
    <row r="1816" spans="1:4" x14ac:dyDescent="0.25">
      <c r="A1816" t="str">
        <f>T("   FR")</f>
        <v xml:space="preserve">   FR</v>
      </c>
      <c r="B1816" t="str">
        <f>T("   France")</f>
        <v xml:space="preserve">   France</v>
      </c>
      <c r="C1816">
        <v>21254774</v>
      </c>
      <c r="D1816">
        <v>49277</v>
      </c>
    </row>
    <row r="1817" spans="1:4" x14ac:dyDescent="0.25">
      <c r="A1817" t="str">
        <f>T("   GB")</f>
        <v xml:space="preserve">   GB</v>
      </c>
      <c r="B1817" t="str">
        <f>T("   Royaume-Uni")</f>
        <v xml:space="preserve">   Royaume-Uni</v>
      </c>
      <c r="C1817">
        <v>2704829</v>
      </c>
      <c r="D1817">
        <v>3707</v>
      </c>
    </row>
    <row r="1818" spans="1:4" x14ac:dyDescent="0.25">
      <c r="A1818" t="str">
        <f>T("   GH")</f>
        <v xml:space="preserve">   GH</v>
      </c>
      <c r="B1818" t="str">
        <f>T("   Ghana")</f>
        <v xml:space="preserve">   Ghana</v>
      </c>
      <c r="C1818">
        <v>24953603</v>
      </c>
      <c r="D1818">
        <v>276410</v>
      </c>
    </row>
    <row r="1819" spans="1:4" x14ac:dyDescent="0.25">
      <c r="A1819" t="str">
        <f>T("   IT")</f>
        <v xml:space="preserve">   IT</v>
      </c>
      <c r="B1819" t="str">
        <f>T("   Italie")</f>
        <v xml:space="preserve">   Italie</v>
      </c>
      <c r="C1819">
        <v>300000</v>
      </c>
      <c r="D1819">
        <v>240</v>
      </c>
    </row>
    <row r="1820" spans="1:4" x14ac:dyDescent="0.25">
      <c r="A1820" t="str">
        <f>T("   LB")</f>
        <v xml:space="preserve">   LB</v>
      </c>
      <c r="B1820" t="str">
        <f>T("   Liban")</f>
        <v xml:space="preserve">   Liban</v>
      </c>
      <c r="C1820">
        <v>31492890</v>
      </c>
      <c r="D1820">
        <v>127368</v>
      </c>
    </row>
    <row r="1821" spans="1:4" x14ac:dyDescent="0.25">
      <c r="A1821" t="str">
        <f>T("   NG")</f>
        <v xml:space="preserve">   NG</v>
      </c>
      <c r="B1821" t="str">
        <f>T("   Nigéria")</f>
        <v xml:space="preserve">   Nigéria</v>
      </c>
      <c r="C1821">
        <v>11586002</v>
      </c>
      <c r="D1821">
        <v>68633</v>
      </c>
    </row>
    <row r="1822" spans="1:4" x14ac:dyDescent="0.25">
      <c r="A1822" t="str">
        <f>T("   NL")</f>
        <v xml:space="preserve">   NL</v>
      </c>
      <c r="B1822" t="str">
        <f>T("   Pays-bas")</f>
        <v xml:space="preserve">   Pays-bas</v>
      </c>
      <c r="C1822">
        <v>3968179</v>
      </c>
      <c r="D1822">
        <v>15761</v>
      </c>
    </row>
    <row r="1823" spans="1:4" x14ac:dyDescent="0.25">
      <c r="A1823" t="str">
        <f>T("   PT")</f>
        <v xml:space="preserve">   PT</v>
      </c>
      <c r="B1823" t="str">
        <f>T("   Portugal")</f>
        <v xml:space="preserve">   Portugal</v>
      </c>
      <c r="C1823">
        <v>8775539</v>
      </c>
      <c r="D1823">
        <v>42480</v>
      </c>
    </row>
    <row r="1824" spans="1:4" x14ac:dyDescent="0.25">
      <c r="A1824" t="str">
        <f>T("   SG")</f>
        <v xml:space="preserve">   SG</v>
      </c>
      <c r="B1824" t="str">
        <f>T("   Singapour")</f>
        <v xml:space="preserve">   Singapour</v>
      </c>
      <c r="C1824">
        <v>4901834</v>
      </c>
      <c r="D1824">
        <v>20635</v>
      </c>
    </row>
    <row r="1825" spans="1:4" x14ac:dyDescent="0.25">
      <c r="A1825" t="str">
        <f>T("   TG")</f>
        <v xml:space="preserve">   TG</v>
      </c>
      <c r="B1825" t="str">
        <f>T("   Togo")</f>
        <v xml:space="preserve">   Togo</v>
      </c>
      <c r="C1825">
        <v>4294910</v>
      </c>
      <c r="D1825">
        <v>43950</v>
      </c>
    </row>
    <row r="1826" spans="1:4" x14ac:dyDescent="0.25">
      <c r="A1826" t="str">
        <f>T("   TR")</f>
        <v xml:space="preserve">   TR</v>
      </c>
      <c r="B1826" t="str">
        <f>T("   Turquie")</f>
        <v xml:space="preserve">   Turquie</v>
      </c>
      <c r="C1826">
        <v>2483014</v>
      </c>
      <c r="D1826">
        <v>9286</v>
      </c>
    </row>
    <row r="1827" spans="1:4" x14ac:dyDescent="0.25">
      <c r="A1827" t="str">
        <f>T("   TW")</f>
        <v xml:space="preserve">   TW</v>
      </c>
      <c r="B1827" t="str">
        <f>T("   Taïwan, Province de Chine")</f>
        <v xml:space="preserve">   Taïwan, Province de Chine</v>
      </c>
      <c r="C1827">
        <v>6809502</v>
      </c>
      <c r="D1827">
        <v>24266</v>
      </c>
    </row>
    <row r="1828" spans="1:4" x14ac:dyDescent="0.25">
      <c r="A1828" t="str">
        <f>T("   ZA")</f>
        <v xml:space="preserve">   ZA</v>
      </c>
      <c r="B1828" t="str">
        <f>T("   Afrique du Sud")</f>
        <v xml:space="preserve">   Afrique du Sud</v>
      </c>
      <c r="C1828">
        <v>55930812</v>
      </c>
      <c r="D1828">
        <v>142435</v>
      </c>
    </row>
    <row r="1829" spans="1:4" x14ac:dyDescent="0.25">
      <c r="A1829" t="str">
        <f>T("210111")</f>
        <v>210111</v>
      </c>
      <c r="B1829" t="str">
        <f>T("Extraits, essences et concentrés de café")</f>
        <v>Extraits, essences et concentrés de café</v>
      </c>
    </row>
    <row r="1830" spans="1:4" x14ac:dyDescent="0.25">
      <c r="A1830" t="str">
        <f>T("   ZZZ_Monde")</f>
        <v xml:space="preserve">   ZZZ_Monde</v>
      </c>
      <c r="B1830" t="str">
        <f>T("   ZZZ_Monde")</f>
        <v xml:space="preserve">   ZZZ_Monde</v>
      </c>
      <c r="C1830">
        <v>554398636</v>
      </c>
      <c r="D1830">
        <v>118075</v>
      </c>
    </row>
    <row r="1831" spans="1:4" x14ac:dyDescent="0.25">
      <c r="A1831" t="str">
        <f>T("   AE")</f>
        <v xml:space="preserve">   AE</v>
      </c>
      <c r="B1831" t="str">
        <f>T("   Emirats Arabes Unis")</f>
        <v xml:space="preserve">   Emirats Arabes Unis</v>
      </c>
      <c r="C1831">
        <v>502838</v>
      </c>
      <c r="D1831">
        <v>1307</v>
      </c>
    </row>
    <row r="1832" spans="1:4" x14ac:dyDescent="0.25">
      <c r="A1832" t="str">
        <f>T("   CI")</f>
        <v xml:space="preserve">   CI</v>
      </c>
      <c r="B1832" t="str">
        <f>T("   Côte d'Ivoire")</f>
        <v xml:space="preserve">   Côte d'Ivoire</v>
      </c>
      <c r="C1832">
        <v>247254659</v>
      </c>
      <c r="D1832">
        <v>36137</v>
      </c>
    </row>
    <row r="1833" spans="1:4" x14ac:dyDescent="0.25">
      <c r="A1833" t="str">
        <f>T("   FR")</f>
        <v xml:space="preserve">   FR</v>
      </c>
      <c r="B1833" t="str">
        <f>T("   France")</f>
        <v xml:space="preserve">   France</v>
      </c>
      <c r="C1833">
        <v>3784889</v>
      </c>
      <c r="D1833">
        <v>5951</v>
      </c>
    </row>
    <row r="1834" spans="1:4" x14ac:dyDescent="0.25">
      <c r="A1834" t="str">
        <f>T("   GH")</f>
        <v xml:space="preserve">   GH</v>
      </c>
      <c r="B1834" t="str">
        <f>T("   Ghana")</f>
        <v xml:space="preserve">   Ghana</v>
      </c>
      <c r="C1834">
        <v>52556279</v>
      </c>
      <c r="D1834">
        <v>13708</v>
      </c>
    </row>
    <row r="1835" spans="1:4" x14ac:dyDescent="0.25">
      <c r="A1835" t="str">
        <f>T("   IN")</f>
        <v xml:space="preserve">   IN</v>
      </c>
      <c r="B1835" t="str">
        <f>T("   Inde")</f>
        <v xml:space="preserve">   Inde</v>
      </c>
      <c r="C1835">
        <v>20673407</v>
      </c>
      <c r="D1835">
        <v>6000</v>
      </c>
    </row>
    <row r="1836" spans="1:4" x14ac:dyDescent="0.25">
      <c r="A1836" t="str">
        <f>T("   LB")</f>
        <v xml:space="preserve">   LB</v>
      </c>
      <c r="B1836" t="str">
        <f>T("   Liban")</f>
        <v xml:space="preserve">   Liban</v>
      </c>
      <c r="C1836">
        <v>253097</v>
      </c>
      <c r="D1836">
        <v>1512</v>
      </c>
    </row>
    <row r="1837" spans="1:4" x14ac:dyDescent="0.25">
      <c r="A1837" t="str">
        <f>T("   TG")</f>
        <v xml:space="preserve">   TG</v>
      </c>
      <c r="B1837" t="str">
        <f>T("   Togo")</f>
        <v xml:space="preserve">   Togo</v>
      </c>
      <c r="C1837">
        <v>229373467</v>
      </c>
      <c r="D1837">
        <v>53460</v>
      </c>
    </row>
    <row r="1838" spans="1:4" x14ac:dyDescent="0.25">
      <c r="A1838" t="str">
        <f>T("210112")</f>
        <v>210112</v>
      </c>
      <c r="B1838" t="str">
        <f>T("Préparations à base d'extraits, essences ou concentrés de café ou à base de café")</f>
        <v>Préparations à base d'extraits, essences ou concentrés de café ou à base de café</v>
      </c>
    </row>
    <row r="1839" spans="1:4" x14ac:dyDescent="0.25">
      <c r="A1839" t="str">
        <f>T("   ZZZ_Monde")</f>
        <v xml:space="preserve">   ZZZ_Monde</v>
      </c>
      <c r="B1839" t="str">
        <f>T("   ZZZ_Monde")</f>
        <v xml:space="preserve">   ZZZ_Monde</v>
      </c>
      <c r="C1839">
        <v>4413556</v>
      </c>
      <c r="D1839">
        <v>19958</v>
      </c>
    </row>
    <row r="1840" spans="1:4" x14ac:dyDescent="0.25">
      <c r="A1840" t="str">
        <f>T("   GH")</f>
        <v xml:space="preserve">   GH</v>
      </c>
      <c r="B1840" t="str">
        <f>T("   Ghana")</f>
        <v xml:space="preserve">   Ghana</v>
      </c>
      <c r="C1840">
        <v>134860</v>
      </c>
      <c r="D1840">
        <v>499</v>
      </c>
    </row>
    <row r="1841" spans="1:4" x14ac:dyDescent="0.25">
      <c r="A1841" t="str">
        <f>T("   TG")</f>
        <v xml:space="preserve">   TG</v>
      </c>
      <c r="B1841" t="str">
        <f>T("   Togo")</f>
        <v xml:space="preserve">   Togo</v>
      </c>
      <c r="C1841">
        <v>3993085</v>
      </c>
      <c r="D1841">
        <v>19012</v>
      </c>
    </row>
    <row r="1842" spans="1:4" x14ac:dyDescent="0.25">
      <c r="A1842" t="str">
        <f>T("   US")</f>
        <v xml:space="preserve">   US</v>
      </c>
      <c r="B1842" t="str">
        <f>T("   Etats-Unis")</f>
        <v xml:space="preserve">   Etats-Unis</v>
      </c>
      <c r="C1842">
        <v>285611</v>
      </c>
      <c r="D1842">
        <v>447</v>
      </c>
    </row>
    <row r="1843" spans="1:4" x14ac:dyDescent="0.25">
      <c r="A1843" t="str">
        <f>T("210120")</f>
        <v>210120</v>
      </c>
      <c r="B1843" t="str">
        <f>T("Extraits, essences et concentrés de thé ou de maté et préparations à base de ces extraits, essences et concentrés ou à base de thé ou de maté")</f>
        <v>Extraits, essences et concentrés de thé ou de maté et préparations à base de ces extraits, essences et concentrés ou à base de thé ou de maté</v>
      </c>
    </row>
    <row r="1844" spans="1:4" x14ac:dyDescent="0.25">
      <c r="A1844" t="str">
        <f>T("   ZZZ_Monde")</f>
        <v xml:space="preserve">   ZZZ_Monde</v>
      </c>
      <c r="B1844" t="str">
        <f>T("   ZZZ_Monde")</f>
        <v xml:space="preserve">   ZZZ_Monde</v>
      </c>
      <c r="C1844">
        <v>687272</v>
      </c>
      <c r="D1844">
        <v>2950</v>
      </c>
    </row>
    <row r="1845" spans="1:4" x14ac:dyDescent="0.25">
      <c r="A1845" t="str">
        <f>T("   CN")</f>
        <v xml:space="preserve">   CN</v>
      </c>
      <c r="B1845" t="str">
        <f>T("   Chine")</f>
        <v xml:space="preserve">   Chine</v>
      </c>
      <c r="C1845">
        <v>300000</v>
      </c>
      <c r="D1845">
        <v>850</v>
      </c>
    </row>
    <row r="1846" spans="1:4" x14ac:dyDescent="0.25">
      <c r="A1846" t="str">
        <f>T("   GH")</f>
        <v xml:space="preserve">   GH</v>
      </c>
      <c r="B1846" t="str">
        <f>T("   Ghana")</f>
        <v xml:space="preserve">   Ghana</v>
      </c>
      <c r="C1846">
        <v>300000</v>
      </c>
      <c r="D1846">
        <v>850</v>
      </c>
    </row>
    <row r="1847" spans="1:4" x14ac:dyDescent="0.25">
      <c r="A1847" t="str">
        <f>T("   TG")</f>
        <v xml:space="preserve">   TG</v>
      </c>
      <c r="B1847" t="str">
        <f>T("   Togo")</f>
        <v xml:space="preserve">   Togo</v>
      </c>
      <c r="C1847">
        <v>87272</v>
      </c>
      <c r="D1847">
        <v>1250</v>
      </c>
    </row>
    <row r="1848" spans="1:4" x14ac:dyDescent="0.25">
      <c r="A1848" t="str">
        <f>T("210130")</f>
        <v>210130</v>
      </c>
      <c r="B1848" t="str">
        <f>T("Chicorée torréfiée et autres succédanés torréfiés du café et leurs extraits, essences et concentrés")</f>
        <v>Chicorée torréfiée et autres succédanés torréfiés du café et leurs extraits, essences et concentrés</v>
      </c>
    </row>
    <row r="1849" spans="1:4" x14ac:dyDescent="0.25">
      <c r="A1849" t="str">
        <f>T("   ZZZ_Monde")</f>
        <v xml:space="preserve">   ZZZ_Monde</v>
      </c>
      <c r="B1849" t="str">
        <f>T("   ZZZ_Monde")</f>
        <v xml:space="preserve">   ZZZ_Monde</v>
      </c>
      <c r="C1849">
        <v>8537172</v>
      </c>
      <c r="D1849">
        <v>24705</v>
      </c>
    </row>
    <row r="1850" spans="1:4" x14ac:dyDescent="0.25">
      <c r="A1850" t="str">
        <f>T("   FR")</f>
        <v xml:space="preserve">   FR</v>
      </c>
      <c r="B1850" t="str">
        <f>T("   France")</f>
        <v xml:space="preserve">   France</v>
      </c>
      <c r="C1850">
        <v>8537172</v>
      </c>
      <c r="D1850">
        <v>24705</v>
      </c>
    </row>
    <row r="1851" spans="1:4" x14ac:dyDescent="0.25">
      <c r="A1851" t="str">
        <f>T("210210")</f>
        <v>210210</v>
      </c>
      <c r="B1851" t="str">
        <f>T("Levures vivantes")</f>
        <v>Levures vivantes</v>
      </c>
    </row>
    <row r="1852" spans="1:4" x14ac:dyDescent="0.25">
      <c r="A1852" t="str">
        <f>T("   ZZZ_Monde")</f>
        <v xml:space="preserve">   ZZZ_Monde</v>
      </c>
      <c r="B1852" t="str">
        <f>T("   ZZZ_Monde")</f>
        <v xml:space="preserve">   ZZZ_Monde</v>
      </c>
      <c r="C1852">
        <v>265744655</v>
      </c>
      <c r="D1852">
        <v>239759</v>
      </c>
    </row>
    <row r="1853" spans="1:4" x14ac:dyDescent="0.25">
      <c r="A1853" t="str">
        <f>T("   CN")</f>
        <v xml:space="preserve">   CN</v>
      </c>
      <c r="B1853" t="str">
        <f>T("   Chine")</f>
        <v xml:space="preserve">   Chine</v>
      </c>
      <c r="C1853">
        <v>28934393</v>
      </c>
      <c r="D1853">
        <v>62680</v>
      </c>
    </row>
    <row r="1854" spans="1:4" x14ac:dyDescent="0.25">
      <c r="A1854" t="str">
        <f>T("   DE")</f>
        <v xml:space="preserve">   DE</v>
      </c>
      <c r="B1854" t="str">
        <f>T("   Allemagne")</f>
        <v xml:space="preserve">   Allemagne</v>
      </c>
      <c r="C1854">
        <v>394569</v>
      </c>
      <c r="D1854">
        <v>115</v>
      </c>
    </row>
    <row r="1855" spans="1:4" x14ac:dyDescent="0.25">
      <c r="A1855" t="str">
        <f>T("   FR")</f>
        <v xml:space="preserve">   FR</v>
      </c>
      <c r="B1855" t="str">
        <f>T("   France")</f>
        <v xml:space="preserve">   France</v>
      </c>
      <c r="C1855">
        <v>1247118</v>
      </c>
      <c r="D1855">
        <v>182</v>
      </c>
    </row>
    <row r="1856" spans="1:4" x14ac:dyDescent="0.25">
      <c r="A1856" t="str">
        <f>T("   NG")</f>
        <v xml:space="preserve">   NG</v>
      </c>
      <c r="B1856" t="str">
        <f>T("   Nigéria")</f>
        <v xml:space="preserve">   Nigéria</v>
      </c>
      <c r="C1856">
        <v>123080</v>
      </c>
      <c r="D1856">
        <v>181</v>
      </c>
    </row>
    <row r="1857" spans="1:4" x14ac:dyDescent="0.25">
      <c r="A1857" t="str">
        <f>T("   TG")</f>
        <v xml:space="preserve">   TG</v>
      </c>
      <c r="B1857" t="str">
        <f>T("   Togo")</f>
        <v xml:space="preserve">   Togo</v>
      </c>
      <c r="C1857">
        <v>1375901</v>
      </c>
      <c r="D1857">
        <v>6863</v>
      </c>
    </row>
    <row r="1858" spans="1:4" x14ac:dyDescent="0.25">
      <c r="A1858" t="str">
        <f>T("   TR")</f>
        <v xml:space="preserve">   TR</v>
      </c>
      <c r="B1858" t="str">
        <f>T("   Turquie")</f>
        <v xml:space="preserve">   Turquie</v>
      </c>
      <c r="C1858">
        <v>233669594</v>
      </c>
      <c r="D1858">
        <v>169738</v>
      </c>
    </row>
    <row r="1859" spans="1:4" x14ac:dyDescent="0.25">
      <c r="A1859" t="str">
        <f>T("210220")</f>
        <v>210220</v>
      </c>
      <c r="B1859" t="str">
        <f>T("Levures mortes; autres micro-organismes monocellulaires morts (à l'excl. des micro-organismes monocellulaires conditionnés comme médicaments)")</f>
        <v>Levures mortes; autres micro-organismes monocellulaires morts (à l'excl. des micro-organismes monocellulaires conditionnés comme médicaments)</v>
      </c>
    </row>
    <row r="1860" spans="1:4" x14ac:dyDescent="0.25">
      <c r="A1860" t="str">
        <f>T("   ZZZ_Monde")</f>
        <v xml:space="preserve">   ZZZ_Monde</v>
      </c>
      <c r="B1860" t="str">
        <f>T("   ZZZ_Monde")</f>
        <v xml:space="preserve">   ZZZ_Monde</v>
      </c>
      <c r="C1860">
        <v>104993673</v>
      </c>
      <c r="D1860">
        <v>119218</v>
      </c>
    </row>
    <row r="1861" spans="1:4" x14ac:dyDescent="0.25">
      <c r="A1861" t="str">
        <f>T("   CN")</f>
        <v xml:space="preserve">   CN</v>
      </c>
      <c r="B1861" t="str">
        <f>T("   Chine")</f>
        <v xml:space="preserve">   Chine</v>
      </c>
      <c r="C1861">
        <v>24262532</v>
      </c>
      <c r="D1861">
        <v>35387</v>
      </c>
    </row>
    <row r="1862" spans="1:4" x14ac:dyDescent="0.25">
      <c r="A1862" t="str">
        <f>T("   FR")</f>
        <v xml:space="preserve">   FR</v>
      </c>
      <c r="B1862" t="str">
        <f>T("   France")</f>
        <v xml:space="preserve">   France</v>
      </c>
      <c r="C1862">
        <v>64730737</v>
      </c>
      <c r="D1862">
        <v>46421</v>
      </c>
    </row>
    <row r="1863" spans="1:4" x14ac:dyDescent="0.25">
      <c r="A1863" t="str">
        <f>T("   TG")</f>
        <v xml:space="preserve">   TG</v>
      </c>
      <c r="B1863" t="str">
        <f>T("   Togo")</f>
        <v xml:space="preserve">   Togo</v>
      </c>
      <c r="C1863">
        <v>16000404</v>
      </c>
      <c r="D1863">
        <v>37410</v>
      </c>
    </row>
    <row r="1864" spans="1:4" x14ac:dyDescent="0.25">
      <c r="A1864" t="str">
        <f>T("210230")</f>
        <v>210230</v>
      </c>
      <c r="B1864" t="str">
        <f>T("Poudres à lever préparées")</f>
        <v>Poudres à lever préparées</v>
      </c>
    </row>
    <row r="1865" spans="1:4" x14ac:dyDescent="0.25">
      <c r="A1865" t="str">
        <f>T("   ZZZ_Monde")</f>
        <v xml:space="preserve">   ZZZ_Monde</v>
      </c>
      <c r="B1865" t="str">
        <f>T("   ZZZ_Monde")</f>
        <v xml:space="preserve">   ZZZ_Monde</v>
      </c>
      <c r="C1865">
        <v>178940036</v>
      </c>
      <c r="D1865">
        <v>338130</v>
      </c>
    </row>
    <row r="1866" spans="1:4" x14ac:dyDescent="0.25">
      <c r="A1866" t="str">
        <f>T("   BE")</f>
        <v xml:space="preserve">   BE</v>
      </c>
      <c r="B1866" t="str">
        <f>T("   Belgique")</f>
        <v xml:space="preserve">   Belgique</v>
      </c>
      <c r="C1866">
        <v>42232148</v>
      </c>
      <c r="D1866">
        <v>53163</v>
      </c>
    </row>
    <row r="1867" spans="1:4" x14ac:dyDescent="0.25">
      <c r="A1867" t="str">
        <f>T("   CN")</f>
        <v xml:space="preserve">   CN</v>
      </c>
      <c r="B1867" t="str">
        <f>T("   Chine")</f>
        <v xml:space="preserve">   Chine</v>
      </c>
      <c r="C1867">
        <v>12000000</v>
      </c>
      <c r="D1867">
        <v>56600</v>
      </c>
    </row>
    <row r="1868" spans="1:4" x14ac:dyDescent="0.25">
      <c r="A1868" t="str">
        <f>T("   FR")</f>
        <v xml:space="preserve">   FR</v>
      </c>
      <c r="B1868" t="str">
        <f>T("   France")</f>
        <v xml:space="preserve">   France</v>
      </c>
      <c r="C1868">
        <v>112707888</v>
      </c>
      <c r="D1868">
        <v>159007</v>
      </c>
    </row>
    <row r="1869" spans="1:4" x14ac:dyDescent="0.25">
      <c r="A1869" t="str">
        <f>T("   TG")</f>
        <v xml:space="preserve">   TG</v>
      </c>
      <c r="B1869" t="str">
        <f>T("   Togo")</f>
        <v xml:space="preserve">   Togo</v>
      </c>
      <c r="C1869">
        <v>12000000</v>
      </c>
      <c r="D1869">
        <v>69360</v>
      </c>
    </row>
    <row r="1870" spans="1:4" x14ac:dyDescent="0.25">
      <c r="A1870" t="str">
        <f>T("210310")</f>
        <v>210310</v>
      </c>
      <c r="B1870" t="str">
        <f>T("SAUCE DE SOJA")</f>
        <v>SAUCE DE SOJA</v>
      </c>
    </row>
    <row r="1871" spans="1:4" x14ac:dyDescent="0.25">
      <c r="A1871" t="str">
        <f>T("   ZZZ_Monde")</f>
        <v xml:space="preserve">   ZZZ_Monde</v>
      </c>
      <c r="B1871" t="str">
        <f>T("   ZZZ_Monde")</f>
        <v xml:space="preserve">   ZZZ_Monde</v>
      </c>
      <c r="C1871">
        <v>2788871</v>
      </c>
      <c r="D1871">
        <v>6090</v>
      </c>
    </row>
    <row r="1872" spans="1:4" x14ac:dyDescent="0.25">
      <c r="A1872" t="str">
        <f>T("   NG")</f>
        <v xml:space="preserve">   NG</v>
      </c>
      <c r="B1872" t="str">
        <f>T("   Nigéria")</f>
        <v xml:space="preserve">   Nigéria</v>
      </c>
      <c r="C1872">
        <v>97800</v>
      </c>
      <c r="D1872">
        <v>250</v>
      </c>
    </row>
    <row r="1873" spans="1:4" x14ac:dyDescent="0.25">
      <c r="A1873" t="str">
        <f>T("   VN")</f>
        <v xml:space="preserve">   VN</v>
      </c>
      <c r="B1873" t="str">
        <f>T("   Vietnam")</f>
        <v xml:space="preserve">   Vietnam</v>
      </c>
      <c r="C1873">
        <v>2691071</v>
      </c>
      <c r="D1873">
        <v>5840</v>
      </c>
    </row>
    <row r="1874" spans="1:4" x14ac:dyDescent="0.25">
      <c r="A1874" t="str">
        <f>T("210320")</f>
        <v>210320</v>
      </c>
      <c r="B1874" t="str">
        <f>T("Tomato ketchup et autres sauces tomates")</f>
        <v>Tomato ketchup et autres sauces tomates</v>
      </c>
    </row>
    <row r="1875" spans="1:4" x14ac:dyDescent="0.25">
      <c r="A1875" t="str">
        <f>T("   ZZZ_Monde")</f>
        <v xml:space="preserve">   ZZZ_Monde</v>
      </c>
      <c r="B1875" t="str">
        <f>T("   ZZZ_Monde")</f>
        <v xml:space="preserve">   ZZZ_Monde</v>
      </c>
      <c r="C1875">
        <v>137956158</v>
      </c>
      <c r="D1875">
        <v>431410.6</v>
      </c>
    </row>
    <row r="1876" spans="1:4" x14ac:dyDescent="0.25">
      <c r="A1876" t="str">
        <f>T("   AE")</f>
        <v xml:space="preserve">   AE</v>
      </c>
      <c r="B1876" t="str">
        <f>T("   Emirats Arabes Unis")</f>
        <v xml:space="preserve">   Emirats Arabes Unis</v>
      </c>
      <c r="C1876">
        <v>800035</v>
      </c>
      <c r="D1876">
        <v>1550</v>
      </c>
    </row>
    <row r="1877" spans="1:4" x14ac:dyDescent="0.25">
      <c r="A1877" t="str">
        <f>T("   AL")</f>
        <v xml:space="preserve">   AL</v>
      </c>
      <c r="B1877" t="str">
        <f>T("   Albanie")</f>
        <v xml:space="preserve">   Albanie</v>
      </c>
      <c r="C1877">
        <v>150071</v>
      </c>
      <c r="D1877">
        <v>4735.6000000000004</v>
      </c>
    </row>
    <row r="1878" spans="1:4" x14ac:dyDescent="0.25">
      <c r="A1878" t="str">
        <f>T("   CN")</f>
        <v xml:space="preserve">   CN</v>
      </c>
      <c r="B1878" t="str">
        <f>T("   Chine")</f>
        <v xml:space="preserve">   Chine</v>
      </c>
      <c r="C1878">
        <v>92879878</v>
      </c>
      <c r="D1878">
        <v>311221</v>
      </c>
    </row>
    <row r="1879" spans="1:4" x14ac:dyDescent="0.25">
      <c r="A1879" t="str">
        <f>T("   FR")</f>
        <v xml:space="preserve">   FR</v>
      </c>
      <c r="B1879" t="str">
        <f>T("   France")</f>
        <v xml:space="preserve">   France</v>
      </c>
      <c r="C1879">
        <v>9047658</v>
      </c>
      <c r="D1879">
        <v>16068</v>
      </c>
    </row>
    <row r="1880" spans="1:4" x14ac:dyDescent="0.25">
      <c r="A1880" t="str">
        <f>T("   LB")</f>
        <v xml:space="preserve">   LB</v>
      </c>
      <c r="B1880" t="str">
        <f>T("   Liban")</f>
        <v xml:space="preserve">   Liban</v>
      </c>
      <c r="C1880">
        <v>2488590</v>
      </c>
      <c r="D1880">
        <v>8863</v>
      </c>
    </row>
    <row r="1881" spans="1:4" x14ac:dyDescent="0.25">
      <c r="A1881" t="str">
        <f>T("   SG")</f>
        <v xml:space="preserve">   SG</v>
      </c>
      <c r="B1881" t="str">
        <f>T("   Singapour")</f>
        <v xml:space="preserve">   Singapour</v>
      </c>
      <c r="C1881">
        <v>12960000</v>
      </c>
      <c r="D1881">
        <v>42940</v>
      </c>
    </row>
    <row r="1882" spans="1:4" x14ac:dyDescent="0.25">
      <c r="A1882" t="str">
        <f>T("   SN")</f>
        <v xml:space="preserve">   SN</v>
      </c>
      <c r="B1882" t="str">
        <f>T("   Sénégal")</f>
        <v xml:space="preserve">   Sénégal</v>
      </c>
      <c r="C1882">
        <v>150000</v>
      </c>
      <c r="D1882">
        <v>408</v>
      </c>
    </row>
    <row r="1883" spans="1:4" x14ac:dyDescent="0.25">
      <c r="A1883" t="str">
        <f>T("   TG")</f>
        <v xml:space="preserve">   TG</v>
      </c>
      <c r="B1883" t="str">
        <f>T("   Togo")</f>
        <v xml:space="preserve">   Togo</v>
      </c>
      <c r="C1883">
        <v>75632</v>
      </c>
      <c r="D1883">
        <v>596</v>
      </c>
    </row>
    <row r="1884" spans="1:4" x14ac:dyDescent="0.25">
      <c r="A1884" t="str">
        <f>T("   TH")</f>
        <v xml:space="preserve">   TH</v>
      </c>
      <c r="B1884" t="str">
        <f>T("   Thaïlande")</f>
        <v xml:space="preserve">   Thaïlande</v>
      </c>
      <c r="C1884">
        <v>18277836</v>
      </c>
      <c r="D1884">
        <v>43264</v>
      </c>
    </row>
    <row r="1885" spans="1:4" x14ac:dyDescent="0.25">
      <c r="A1885" t="str">
        <f>T("   US")</f>
        <v xml:space="preserve">   US</v>
      </c>
      <c r="B1885" t="str">
        <f>T("   Etats-Unis")</f>
        <v xml:space="preserve">   Etats-Unis</v>
      </c>
      <c r="C1885">
        <v>1126458</v>
      </c>
      <c r="D1885">
        <v>1765</v>
      </c>
    </row>
    <row r="1886" spans="1:4" x14ac:dyDescent="0.25">
      <c r="A1886" t="str">
        <f>T("210330")</f>
        <v>210330</v>
      </c>
      <c r="B1886" t="str">
        <f>T("Farine de moutarde et moutarde préparée")</f>
        <v>Farine de moutarde et moutarde préparée</v>
      </c>
    </row>
    <row r="1887" spans="1:4" x14ac:dyDescent="0.25">
      <c r="A1887" t="str">
        <f>T("   ZZZ_Monde")</f>
        <v xml:space="preserve">   ZZZ_Monde</v>
      </c>
      <c r="B1887" t="str">
        <f>T("   ZZZ_Monde")</f>
        <v xml:space="preserve">   ZZZ_Monde</v>
      </c>
      <c r="C1887">
        <v>59586539</v>
      </c>
      <c r="D1887">
        <v>169023</v>
      </c>
    </row>
    <row r="1888" spans="1:4" x14ac:dyDescent="0.25">
      <c r="A1888" t="str">
        <f>T("   FR")</f>
        <v xml:space="preserve">   FR</v>
      </c>
      <c r="B1888" t="str">
        <f>T("   France")</f>
        <v xml:space="preserve">   France</v>
      </c>
      <c r="C1888">
        <v>17849261</v>
      </c>
      <c r="D1888">
        <v>40935</v>
      </c>
    </row>
    <row r="1889" spans="1:4" x14ac:dyDescent="0.25">
      <c r="A1889" t="str">
        <f>T("   SN")</f>
        <v xml:space="preserve">   SN</v>
      </c>
      <c r="B1889" t="str">
        <f>T("   Sénégal")</f>
        <v xml:space="preserve">   Sénégal</v>
      </c>
      <c r="C1889">
        <v>40770273</v>
      </c>
      <c r="D1889">
        <v>121269</v>
      </c>
    </row>
    <row r="1890" spans="1:4" x14ac:dyDescent="0.25">
      <c r="A1890" t="str">
        <f>T("   TG")</f>
        <v xml:space="preserve">   TG</v>
      </c>
      <c r="B1890" t="str">
        <f>T("   Togo")</f>
        <v xml:space="preserve">   Togo</v>
      </c>
      <c r="C1890">
        <v>859368</v>
      </c>
      <c r="D1890">
        <v>6650</v>
      </c>
    </row>
    <row r="1891" spans="1:4" x14ac:dyDescent="0.25">
      <c r="A1891" t="str">
        <f>T("   US")</f>
        <v xml:space="preserve">   US</v>
      </c>
      <c r="B1891" t="str">
        <f>T("   Etats-Unis")</f>
        <v xml:space="preserve">   Etats-Unis</v>
      </c>
      <c r="C1891">
        <v>107637</v>
      </c>
      <c r="D1891">
        <v>169</v>
      </c>
    </row>
    <row r="1892" spans="1:4" x14ac:dyDescent="0.25">
      <c r="A1892" t="str">
        <f>T("210390")</f>
        <v>210390</v>
      </c>
      <c r="B1892" t="str">
        <f>T("Préparations pour sauces et sauces préparées; condiments et assaisonnements, composés (à l'excl. de la sauce de soja, du tomato ketchup et autres sauces tomates, de la farine de moutarde et de la moutarde préparée)")</f>
        <v>Préparations pour sauces et sauces préparées; condiments et assaisonnements, composés (à l'excl. de la sauce de soja, du tomato ketchup et autres sauces tomates, de la farine de moutarde et de la moutarde préparée)</v>
      </c>
    </row>
    <row r="1893" spans="1:4" x14ac:dyDescent="0.25">
      <c r="A1893" t="str">
        <f>T("   ZZZ_Monde")</f>
        <v xml:space="preserve">   ZZZ_Monde</v>
      </c>
      <c r="B1893" t="str">
        <f>T("   ZZZ_Monde")</f>
        <v xml:space="preserve">   ZZZ_Monde</v>
      </c>
      <c r="C1893">
        <v>1399683019</v>
      </c>
      <c r="D1893">
        <v>2547527.12</v>
      </c>
    </row>
    <row r="1894" spans="1:4" x14ac:dyDescent="0.25">
      <c r="A1894" t="str">
        <f>T("   AE")</f>
        <v xml:space="preserve">   AE</v>
      </c>
      <c r="B1894" t="str">
        <f>T("   Emirats Arabes Unis")</f>
        <v xml:space="preserve">   Emirats Arabes Unis</v>
      </c>
      <c r="C1894">
        <v>28712275</v>
      </c>
      <c r="D1894">
        <v>70572</v>
      </c>
    </row>
    <row r="1895" spans="1:4" x14ac:dyDescent="0.25">
      <c r="A1895" t="str">
        <f>T("   AL")</f>
        <v xml:space="preserve">   AL</v>
      </c>
      <c r="B1895" t="str">
        <f>T("   Albanie")</f>
        <v xml:space="preserve">   Albanie</v>
      </c>
      <c r="C1895">
        <v>984819</v>
      </c>
      <c r="D1895">
        <v>4735.6000000000004</v>
      </c>
    </row>
    <row r="1896" spans="1:4" x14ac:dyDescent="0.25">
      <c r="A1896" t="str">
        <f>T("   BE")</f>
        <v xml:space="preserve">   BE</v>
      </c>
      <c r="B1896" t="str">
        <f>T("   Belgique")</f>
        <v xml:space="preserve">   Belgique</v>
      </c>
      <c r="C1896">
        <v>7860008</v>
      </c>
      <c r="D1896">
        <v>12891</v>
      </c>
    </row>
    <row r="1897" spans="1:4" x14ac:dyDescent="0.25">
      <c r="A1897" t="str">
        <f>T("   CA")</f>
        <v xml:space="preserve">   CA</v>
      </c>
      <c r="B1897" t="str">
        <f>T("   Canada")</f>
        <v xml:space="preserve">   Canada</v>
      </c>
      <c r="C1897">
        <v>6445340</v>
      </c>
      <c r="D1897">
        <v>17077</v>
      </c>
    </row>
    <row r="1898" spans="1:4" x14ac:dyDescent="0.25">
      <c r="A1898" t="str">
        <f>T("   CI")</f>
        <v xml:space="preserve">   CI</v>
      </c>
      <c r="B1898" t="str">
        <f>T("   Côte d'Ivoire")</f>
        <v xml:space="preserve">   Côte d'Ivoire</v>
      </c>
      <c r="C1898">
        <v>3707925</v>
      </c>
      <c r="D1898">
        <v>1692</v>
      </c>
    </row>
    <row r="1899" spans="1:4" x14ac:dyDescent="0.25">
      <c r="A1899" t="str">
        <f>T("   CN")</f>
        <v xml:space="preserve">   CN</v>
      </c>
      <c r="B1899" t="str">
        <f>T("   Chine")</f>
        <v xml:space="preserve">   Chine</v>
      </c>
      <c r="C1899">
        <v>318519966</v>
      </c>
      <c r="D1899">
        <v>692854</v>
      </c>
    </row>
    <row r="1900" spans="1:4" x14ac:dyDescent="0.25">
      <c r="A1900" t="str">
        <f>T("   ES")</f>
        <v xml:space="preserve">   ES</v>
      </c>
      <c r="B1900" t="str">
        <f>T("   Espagne")</f>
        <v xml:space="preserve">   Espagne</v>
      </c>
      <c r="C1900">
        <v>3187310</v>
      </c>
      <c r="D1900">
        <v>2000</v>
      </c>
    </row>
    <row r="1901" spans="1:4" x14ac:dyDescent="0.25">
      <c r="A1901" t="str">
        <f>T("   FR")</f>
        <v xml:space="preserve">   FR</v>
      </c>
      <c r="B1901" t="str">
        <f>T("   France")</f>
        <v xml:space="preserve">   France</v>
      </c>
      <c r="C1901">
        <v>467856581</v>
      </c>
      <c r="D1901">
        <v>525135.52</v>
      </c>
    </row>
    <row r="1902" spans="1:4" x14ac:dyDescent="0.25">
      <c r="A1902" t="str">
        <f>T("   GH")</f>
        <v xml:space="preserve">   GH</v>
      </c>
      <c r="B1902" t="str">
        <f>T("   Ghana")</f>
        <v xml:space="preserve">   Ghana</v>
      </c>
      <c r="C1902">
        <v>8041433</v>
      </c>
      <c r="D1902">
        <v>9684</v>
      </c>
    </row>
    <row r="1903" spans="1:4" x14ac:dyDescent="0.25">
      <c r="A1903" t="str">
        <f>T("   HK")</f>
        <v xml:space="preserve">   HK</v>
      </c>
      <c r="B1903" t="str">
        <f>T("   Hong-Kong")</f>
        <v xml:space="preserve">   Hong-Kong</v>
      </c>
      <c r="C1903">
        <v>406673320</v>
      </c>
      <c r="D1903">
        <v>832631</v>
      </c>
    </row>
    <row r="1904" spans="1:4" x14ac:dyDescent="0.25">
      <c r="A1904" t="str">
        <f>T("   IN")</f>
        <v xml:space="preserve">   IN</v>
      </c>
      <c r="B1904" t="str">
        <f>T("   Inde")</f>
        <v xml:space="preserve">   Inde</v>
      </c>
      <c r="C1904">
        <v>1664457</v>
      </c>
      <c r="D1904">
        <v>3712</v>
      </c>
    </row>
    <row r="1905" spans="1:4" x14ac:dyDescent="0.25">
      <c r="A1905" t="str">
        <f>T("   IT")</f>
        <v xml:space="preserve">   IT</v>
      </c>
      <c r="B1905" t="str">
        <f>T("   Italie")</f>
        <v xml:space="preserve">   Italie</v>
      </c>
      <c r="C1905">
        <v>3577606</v>
      </c>
      <c r="D1905">
        <v>6108</v>
      </c>
    </row>
    <row r="1906" spans="1:4" x14ac:dyDescent="0.25">
      <c r="A1906" t="str">
        <f>T("   LB")</f>
        <v xml:space="preserve">   LB</v>
      </c>
      <c r="B1906" t="str">
        <f>T("   Liban")</f>
        <v xml:space="preserve">   Liban</v>
      </c>
      <c r="C1906">
        <v>2715541</v>
      </c>
      <c r="D1906">
        <v>3312</v>
      </c>
    </row>
    <row r="1907" spans="1:4" x14ac:dyDescent="0.25">
      <c r="A1907" t="str">
        <f>T("   NG")</f>
        <v xml:space="preserve">   NG</v>
      </c>
      <c r="B1907" t="str">
        <f>T("   Nigéria")</f>
        <v xml:space="preserve">   Nigéria</v>
      </c>
      <c r="C1907">
        <v>5041850</v>
      </c>
      <c r="D1907">
        <v>12780</v>
      </c>
    </row>
    <row r="1908" spans="1:4" x14ac:dyDescent="0.25">
      <c r="A1908" t="str">
        <f>T("   OM")</f>
        <v xml:space="preserve">   OM</v>
      </c>
      <c r="B1908" t="str">
        <f>T("   Oman")</f>
        <v xml:space="preserve">   Oman</v>
      </c>
      <c r="C1908">
        <v>7515129</v>
      </c>
      <c r="D1908">
        <v>20642</v>
      </c>
    </row>
    <row r="1909" spans="1:4" x14ac:dyDescent="0.25">
      <c r="A1909" t="str">
        <f>T("   SG")</f>
        <v xml:space="preserve">   SG</v>
      </c>
      <c r="B1909" t="str">
        <f>T("   Singapour")</f>
        <v xml:space="preserve">   Singapour</v>
      </c>
      <c r="C1909">
        <v>9713000</v>
      </c>
      <c r="D1909">
        <v>20230</v>
      </c>
    </row>
    <row r="1910" spans="1:4" x14ac:dyDescent="0.25">
      <c r="A1910" t="str">
        <f>T("   TG")</f>
        <v xml:space="preserve">   TG</v>
      </c>
      <c r="B1910" t="str">
        <f>T("   Togo")</f>
        <v xml:space="preserve">   Togo</v>
      </c>
      <c r="C1910">
        <v>42735073</v>
      </c>
      <c r="D1910">
        <v>150933</v>
      </c>
    </row>
    <row r="1911" spans="1:4" x14ac:dyDescent="0.25">
      <c r="A1911" t="str">
        <f>T("   TH")</f>
        <v xml:space="preserve">   TH</v>
      </c>
      <c r="B1911" t="str">
        <f>T("   Thaïlande")</f>
        <v xml:space="preserve">   Thaïlande</v>
      </c>
      <c r="C1911">
        <v>567405</v>
      </c>
      <c r="D1911">
        <v>1240</v>
      </c>
    </row>
    <row r="1912" spans="1:4" x14ac:dyDescent="0.25">
      <c r="A1912" t="str">
        <f>T("   US")</f>
        <v xml:space="preserve">   US</v>
      </c>
      <c r="B1912" t="str">
        <f>T("   Etats-Unis")</f>
        <v xml:space="preserve">   Etats-Unis</v>
      </c>
      <c r="C1912">
        <v>73475223</v>
      </c>
      <c r="D1912">
        <v>158072</v>
      </c>
    </row>
    <row r="1913" spans="1:4" x14ac:dyDescent="0.25">
      <c r="A1913" t="str">
        <f>T("   ZA")</f>
        <v xml:space="preserve">   ZA</v>
      </c>
      <c r="B1913" t="str">
        <f>T("   Afrique du Sud")</f>
        <v xml:space="preserve">   Afrique du Sud</v>
      </c>
      <c r="C1913">
        <v>688758</v>
      </c>
      <c r="D1913">
        <v>1226</v>
      </c>
    </row>
    <row r="1914" spans="1:4" x14ac:dyDescent="0.25">
      <c r="A1914" t="str">
        <f>T("210410")</f>
        <v>210410</v>
      </c>
      <c r="B1914" t="str">
        <f>T("Préparations pour soupes, potages ou bouillons; soupes, potages ou bouillons préparés")</f>
        <v>Préparations pour soupes, potages ou bouillons; soupes, potages ou bouillons préparés</v>
      </c>
    </row>
    <row r="1915" spans="1:4" x14ac:dyDescent="0.25">
      <c r="A1915" t="str">
        <f>T("   ZZZ_Monde")</f>
        <v xml:space="preserve">   ZZZ_Monde</v>
      </c>
      <c r="B1915" t="str">
        <f>T("   ZZZ_Monde")</f>
        <v xml:space="preserve">   ZZZ_Monde</v>
      </c>
      <c r="C1915">
        <v>3391213751</v>
      </c>
      <c r="D1915">
        <v>6115031.2000000002</v>
      </c>
    </row>
    <row r="1916" spans="1:4" x14ac:dyDescent="0.25">
      <c r="A1916" t="str">
        <f>T("   AE")</f>
        <v xml:space="preserve">   AE</v>
      </c>
      <c r="B1916" t="str">
        <f>T("   Emirats Arabes Unis")</f>
        <v xml:space="preserve">   Emirats Arabes Unis</v>
      </c>
      <c r="C1916">
        <v>19199886</v>
      </c>
      <c r="D1916">
        <v>36453</v>
      </c>
    </row>
    <row r="1917" spans="1:4" x14ac:dyDescent="0.25">
      <c r="A1917" t="str">
        <f>T("   CG")</f>
        <v xml:space="preserve">   CG</v>
      </c>
      <c r="B1917" t="str">
        <f>T("   Congo (Brazzaville)")</f>
        <v xml:space="preserve">   Congo (Brazzaville)</v>
      </c>
      <c r="C1917">
        <v>8643990</v>
      </c>
      <c r="D1917">
        <v>11078</v>
      </c>
    </row>
    <row r="1918" spans="1:4" x14ac:dyDescent="0.25">
      <c r="A1918" t="str">
        <f>T("   CI")</f>
        <v xml:space="preserve">   CI</v>
      </c>
      <c r="B1918" t="str">
        <f>T("   Côte d'Ivoire")</f>
        <v xml:space="preserve">   Côte d'Ivoire</v>
      </c>
      <c r="C1918">
        <v>120288950</v>
      </c>
      <c r="D1918">
        <v>87302</v>
      </c>
    </row>
    <row r="1919" spans="1:4" x14ac:dyDescent="0.25">
      <c r="A1919" t="str">
        <f>T("   CN")</f>
        <v xml:space="preserve">   CN</v>
      </c>
      <c r="B1919" t="str">
        <f>T("   Chine")</f>
        <v xml:space="preserve">   Chine</v>
      </c>
      <c r="C1919">
        <v>1436504089</v>
      </c>
      <c r="D1919">
        <v>4002973</v>
      </c>
    </row>
    <row r="1920" spans="1:4" x14ac:dyDescent="0.25">
      <c r="A1920" t="str">
        <f>T("   FR")</f>
        <v xml:space="preserve">   FR</v>
      </c>
      <c r="B1920" t="str">
        <f>T("   France")</f>
        <v xml:space="preserve">   France</v>
      </c>
      <c r="C1920">
        <v>2751753</v>
      </c>
      <c r="D1920">
        <v>3689</v>
      </c>
    </row>
    <row r="1921" spans="1:4" x14ac:dyDescent="0.25">
      <c r="A1921" t="str">
        <f>T("   GH")</f>
        <v xml:space="preserve">   GH</v>
      </c>
      <c r="B1921" t="str">
        <f>T("   Ghana")</f>
        <v xml:space="preserve">   Ghana</v>
      </c>
      <c r="C1921">
        <v>4459406</v>
      </c>
      <c r="D1921">
        <v>14450</v>
      </c>
    </row>
    <row r="1922" spans="1:4" x14ac:dyDescent="0.25">
      <c r="A1922" t="str">
        <f>T("   HK")</f>
        <v xml:space="preserve">   HK</v>
      </c>
      <c r="B1922" t="str">
        <f>T("   Hong-Kong")</f>
        <v xml:space="preserve">   Hong-Kong</v>
      </c>
      <c r="C1922">
        <v>1094662</v>
      </c>
      <c r="D1922">
        <v>1325</v>
      </c>
    </row>
    <row r="1923" spans="1:4" x14ac:dyDescent="0.25">
      <c r="A1923" t="str">
        <f>T("   IN")</f>
        <v xml:space="preserve">   IN</v>
      </c>
      <c r="B1923" t="str">
        <f>T("   Inde")</f>
        <v xml:space="preserve">   Inde</v>
      </c>
      <c r="C1923">
        <v>22424</v>
      </c>
      <c r="D1923">
        <v>300</v>
      </c>
    </row>
    <row r="1924" spans="1:4" x14ac:dyDescent="0.25">
      <c r="A1924" t="str">
        <f>T("   NG")</f>
        <v xml:space="preserve">   NG</v>
      </c>
      <c r="B1924" t="str">
        <f>T("   Nigéria")</f>
        <v xml:space="preserve">   Nigéria</v>
      </c>
      <c r="C1924">
        <v>562986539</v>
      </c>
      <c r="D1924">
        <v>440625.2</v>
      </c>
    </row>
    <row r="1925" spans="1:4" x14ac:dyDescent="0.25">
      <c r="A1925" t="str">
        <f>T("   SN")</f>
        <v xml:space="preserve">   SN</v>
      </c>
      <c r="B1925" t="str">
        <f>T("   Sénégal")</f>
        <v xml:space="preserve">   Sénégal</v>
      </c>
      <c r="C1925">
        <v>488799541</v>
      </c>
      <c r="D1925">
        <v>303660</v>
      </c>
    </row>
    <row r="1926" spans="1:4" x14ac:dyDescent="0.25">
      <c r="A1926" t="str">
        <f>T("   TG")</f>
        <v xml:space="preserve">   TG</v>
      </c>
      <c r="B1926" t="str">
        <f>T("   Togo")</f>
        <v xml:space="preserve">   Togo</v>
      </c>
      <c r="C1926">
        <v>725059569</v>
      </c>
      <c r="D1926">
        <v>1162518</v>
      </c>
    </row>
    <row r="1927" spans="1:4" x14ac:dyDescent="0.25">
      <c r="A1927" t="str">
        <f>T("   TR")</f>
        <v xml:space="preserve">   TR</v>
      </c>
      <c r="B1927" t="str">
        <f>T("   Turquie")</f>
        <v xml:space="preserve">   Turquie</v>
      </c>
      <c r="C1927">
        <v>21136514</v>
      </c>
      <c r="D1927">
        <v>50240</v>
      </c>
    </row>
    <row r="1928" spans="1:4" x14ac:dyDescent="0.25">
      <c r="A1928" t="str">
        <f>T("   US")</f>
        <v xml:space="preserve">   US</v>
      </c>
      <c r="B1928" t="str">
        <f>T("   Etats-Unis")</f>
        <v xml:space="preserve">   Etats-Unis</v>
      </c>
      <c r="C1928">
        <v>266428</v>
      </c>
      <c r="D1928">
        <v>418</v>
      </c>
    </row>
    <row r="1929" spans="1:4" x14ac:dyDescent="0.25">
      <c r="A1929" t="str">
        <f>T("210420")</f>
        <v>210420</v>
      </c>
      <c r="B1929" t="str">
        <f>T("Préparations alimentaires composites homogénéisées consistant en un mélange finement homogénéisé de plusieurs substances de base, telles que viande, poisson, légumes, fruits, conditionnées pour la vente au détail comme aliments pour enfants ou pour usages")</f>
        <v>Préparations alimentaires composites homogénéisées consistant en un mélange finement homogénéisé de plusieurs substances de base, telles que viande, poisson, légumes, fruits, conditionnées pour la vente au détail comme aliments pour enfants ou pour usages</v>
      </c>
    </row>
    <row r="1930" spans="1:4" x14ac:dyDescent="0.25">
      <c r="A1930" t="str">
        <f>T("   ZZZ_Monde")</f>
        <v xml:space="preserve">   ZZZ_Monde</v>
      </c>
      <c r="B1930" t="str">
        <f>T("   ZZZ_Monde")</f>
        <v xml:space="preserve">   ZZZ_Monde</v>
      </c>
      <c r="C1930">
        <v>15501192</v>
      </c>
      <c r="D1930">
        <v>6112</v>
      </c>
    </row>
    <row r="1931" spans="1:4" x14ac:dyDescent="0.25">
      <c r="A1931" t="str">
        <f>T("   CM")</f>
        <v xml:space="preserve">   CM</v>
      </c>
      <c r="B1931" t="str">
        <f>T("   Cameroun")</f>
        <v xml:space="preserve">   Cameroun</v>
      </c>
      <c r="C1931">
        <v>100000</v>
      </c>
      <c r="D1931">
        <v>23</v>
      </c>
    </row>
    <row r="1932" spans="1:4" x14ac:dyDescent="0.25">
      <c r="A1932" t="str">
        <f>T("   CN")</f>
        <v xml:space="preserve">   CN</v>
      </c>
      <c r="B1932" t="str">
        <f>T("   Chine")</f>
        <v xml:space="preserve">   Chine</v>
      </c>
      <c r="C1932">
        <v>100000</v>
      </c>
      <c r="D1932">
        <v>40</v>
      </c>
    </row>
    <row r="1933" spans="1:4" x14ac:dyDescent="0.25">
      <c r="A1933" t="str">
        <f>T("   FR")</f>
        <v xml:space="preserve">   FR</v>
      </c>
      <c r="B1933" t="str">
        <f>T("   France")</f>
        <v xml:space="preserve">   France</v>
      </c>
      <c r="C1933">
        <v>15301192</v>
      </c>
      <c r="D1933">
        <v>6049</v>
      </c>
    </row>
    <row r="1934" spans="1:4" x14ac:dyDescent="0.25">
      <c r="A1934" t="str">
        <f>T("210500")</f>
        <v>210500</v>
      </c>
      <c r="B1934" t="str">
        <f>T("Glaces de consommation, même contenant du cacao")</f>
        <v>Glaces de consommation, même contenant du cacao</v>
      </c>
    </row>
    <row r="1935" spans="1:4" x14ac:dyDescent="0.25">
      <c r="A1935" t="str">
        <f>T("   ZZZ_Monde")</f>
        <v xml:space="preserve">   ZZZ_Monde</v>
      </c>
      <c r="B1935" t="str">
        <f>T("   ZZZ_Monde")</f>
        <v xml:space="preserve">   ZZZ_Monde</v>
      </c>
      <c r="C1935">
        <v>1749540425</v>
      </c>
      <c r="D1935">
        <v>4718382</v>
      </c>
    </row>
    <row r="1936" spans="1:4" x14ac:dyDescent="0.25">
      <c r="A1936" t="str">
        <f>T("   BE")</f>
        <v xml:space="preserve">   BE</v>
      </c>
      <c r="B1936" t="str">
        <f>T("   Belgique")</f>
        <v xml:space="preserve">   Belgique</v>
      </c>
      <c r="C1936">
        <v>5618895</v>
      </c>
      <c r="D1936">
        <v>7174</v>
      </c>
    </row>
    <row r="1937" spans="1:4" x14ac:dyDescent="0.25">
      <c r="A1937" t="str">
        <f>T("   FR")</f>
        <v xml:space="preserve">   FR</v>
      </c>
      <c r="B1937" t="str">
        <f>T("   France")</f>
        <v xml:space="preserve">   France</v>
      </c>
      <c r="C1937">
        <v>81545955</v>
      </c>
      <c r="D1937">
        <v>106739</v>
      </c>
    </row>
    <row r="1938" spans="1:4" x14ac:dyDescent="0.25">
      <c r="A1938" t="str">
        <f>T("   LB")</f>
        <v xml:space="preserve">   LB</v>
      </c>
      <c r="B1938" t="str">
        <f>T("   Liban")</f>
        <v xml:space="preserve">   Liban</v>
      </c>
      <c r="C1938">
        <v>3896225</v>
      </c>
      <c r="D1938">
        <v>8053</v>
      </c>
    </row>
    <row r="1939" spans="1:4" x14ac:dyDescent="0.25">
      <c r="A1939" t="str">
        <f>T("   TG")</f>
        <v xml:space="preserve">   TG</v>
      </c>
      <c r="B1939" t="str">
        <f>T("   Togo")</f>
        <v xml:space="preserve">   Togo</v>
      </c>
      <c r="C1939">
        <v>1658479350</v>
      </c>
      <c r="D1939">
        <v>4596416</v>
      </c>
    </row>
    <row r="1940" spans="1:4" x14ac:dyDescent="0.25">
      <c r="A1940" t="str">
        <f>T("210610")</f>
        <v>210610</v>
      </c>
      <c r="B1940" t="str">
        <f>T("Concentrats de protéines et substances protéiques texturées")</f>
        <v>Concentrats de protéines et substances protéiques texturées</v>
      </c>
    </row>
    <row r="1941" spans="1:4" x14ac:dyDescent="0.25">
      <c r="A1941" t="str">
        <f>T("   ZZZ_Monde")</f>
        <v xml:space="preserve">   ZZZ_Monde</v>
      </c>
      <c r="B1941" t="str">
        <f>T("   ZZZ_Monde")</f>
        <v xml:space="preserve">   ZZZ_Monde</v>
      </c>
      <c r="C1941">
        <v>7716562</v>
      </c>
      <c r="D1941">
        <v>19028</v>
      </c>
    </row>
    <row r="1942" spans="1:4" x14ac:dyDescent="0.25">
      <c r="A1942" t="str">
        <f>T("   CN")</f>
        <v xml:space="preserve">   CN</v>
      </c>
      <c r="B1942" t="str">
        <f>T("   Chine")</f>
        <v xml:space="preserve">   Chine</v>
      </c>
      <c r="C1942">
        <v>2585135</v>
      </c>
      <c r="D1942">
        <v>3620</v>
      </c>
    </row>
    <row r="1943" spans="1:4" x14ac:dyDescent="0.25">
      <c r="A1943" t="str">
        <f>T("   IN")</f>
        <v xml:space="preserve">   IN</v>
      </c>
      <c r="B1943" t="str">
        <f>T("   Inde")</f>
        <v xml:space="preserve">   Inde</v>
      </c>
      <c r="C1943">
        <v>100000</v>
      </c>
      <c r="D1943">
        <v>43</v>
      </c>
    </row>
    <row r="1944" spans="1:4" x14ac:dyDescent="0.25">
      <c r="A1944" t="str">
        <f>T("   NG")</f>
        <v xml:space="preserve">   NG</v>
      </c>
      <c r="B1944" t="str">
        <f>T("   Nigéria")</f>
        <v xml:space="preserve">   Nigéria</v>
      </c>
      <c r="C1944">
        <v>368000</v>
      </c>
      <c r="D1944">
        <v>300</v>
      </c>
    </row>
    <row r="1945" spans="1:4" x14ac:dyDescent="0.25">
      <c r="A1945" t="str">
        <f>T("   TG")</f>
        <v xml:space="preserve">   TG</v>
      </c>
      <c r="B1945" t="str">
        <f>T("   Togo")</f>
        <v xml:space="preserve">   Togo</v>
      </c>
      <c r="C1945">
        <v>4663427</v>
      </c>
      <c r="D1945">
        <v>15065</v>
      </c>
    </row>
    <row r="1946" spans="1:4" x14ac:dyDescent="0.25">
      <c r="A1946" t="str">
        <f>T("210690")</f>
        <v>210690</v>
      </c>
      <c r="B1946" t="str">
        <f>T("Préparations alimentaires, n.d.a.")</f>
        <v>Préparations alimentaires, n.d.a.</v>
      </c>
    </row>
    <row r="1947" spans="1:4" x14ac:dyDescent="0.25">
      <c r="A1947" t="str">
        <f>T("   ZZZ_Monde")</f>
        <v xml:space="preserve">   ZZZ_Monde</v>
      </c>
      <c r="B1947" t="str">
        <f>T("   ZZZ_Monde")</f>
        <v xml:space="preserve">   ZZZ_Monde</v>
      </c>
      <c r="C1947">
        <v>2795557460</v>
      </c>
      <c r="D1947">
        <v>1669103</v>
      </c>
    </row>
    <row r="1948" spans="1:4" x14ac:dyDescent="0.25">
      <c r="A1948" t="str">
        <f>T("   AE")</f>
        <v xml:space="preserve">   AE</v>
      </c>
      <c r="B1948" t="str">
        <f>T("   Emirats Arabes Unis")</f>
        <v xml:space="preserve">   Emirats Arabes Unis</v>
      </c>
      <c r="C1948">
        <v>909327</v>
      </c>
      <c r="D1948">
        <v>2362</v>
      </c>
    </row>
    <row r="1949" spans="1:4" x14ac:dyDescent="0.25">
      <c r="A1949" t="str">
        <f>T("   BE")</f>
        <v xml:space="preserve">   BE</v>
      </c>
      <c r="B1949" t="str">
        <f>T("   Belgique")</f>
        <v xml:space="preserve">   Belgique</v>
      </c>
      <c r="C1949">
        <v>29237616</v>
      </c>
      <c r="D1949">
        <v>52120</v>
      </c>
    </row>
    <row r="1950" spans="1:4" x14ac:dyDescent="0.25">
      <c r="A1950" t="str">
        <f>T("   CI")</f>
        <v xml:space="preserve">   CI</v>
      </c>
      <c r="B1950" t="str">
        <f>T("   Côte d'Ivoire")</f>
        <v xml:space="preserve">   Côte d'Ivoire</v>
      </c>
      <c r="C1950">
        <v>196788</v>
      </c>
      <c r="D1950">
        <v>350</v>
      </c>
    </row>
    <row r="1951" spans="1:4" x14ac:dyDescent="0.25">
      <c r="A1951" t="str">
        <f>T("   CN")</f>
        <v xml:space="preserve">   CN</v>
      </c>
      <c r="B1951" t="str">
        <f>T("   Chine")</f>
        <v xml:space="preserve">   Chine</v>
      </c>
      <c r="C1951">
        <v>132032993</v>
      </c>
      <c r="D1951">
        <v>321171</v>
      </c>
    </row>
    <row r="1952" spans="1:4" x14ac:dyDescent="0.25">
      <c r="A1952" t="str">
        <f>T("   DE")</f>
        <v xml:space="preserve">   DE</v>
      </c>
      <c r="B1952" t="str">
        <f>T("   Allemagne")</f>
        <v xml:space="preserve">   Allemagne</v>
      </c>
      <c r="C1952">
        <v>154403465</v>
      </c>
      <c r="D1952">
        <v>58761</v>
      </c>
    </row>
    <row r="1953" spans="1:4" x14ac:dyDescent="0.25">
      <c r="A1953" t="str">
        <f>T("   EG")</f>
        <v xml:space="preserve">   EG</v>
      </c>
      <c r="B1953" t="str">
        <f>T("   Egypte")</f>
        <v xml:space="preserve">   Egypte</v>
      </c>
      <c r="C1953">
        <v>1181268512</v>
      </c>
      <c r="D1953">
        <v>50119</v>
      </c>
    </row>
    <row r="1954" spans="1:4" x14ac:dyDescent="0.25">
      <c r="A1954" t="str">
        <f>T("   ES")</f>
        <v xml:space="preserve">   ES</v>
      </c>
      <c r="B1954" t="str">
        <f>T("   Espagne")</f>
        <v xml:space="preserve">   Espagne</v>
      </c>
      <c r="C1954">
        <v>5219474</v>
      </c>
      <c r="D1954">
        <v>25641</v>
      </c>
    </row>
    <row r="1955" spans="1:4" x14ac:dyDescent="0.25">
      <c r="A1955" t="str">
        <f>T("   FR")</f>
        <v xml:space="preserve">   FR</v>
      </c>
      <c r="B1955" t="str">
        <f>T("   France")</f>
        <v xml:space="preserve">   France</v>
      </c>
      <c r="C1955">
        <v>962014719</v>
      </c>
      <c r="D1955">
        <v>809319</v>
      </c>
    </row>
    <row r="1956" spans="1:4" x14ac:dyDescent="0.25">
      <c r="A1956" t="str">
        <f>T("   GB")</f>
        <v xml:space="preserve">   GB</v>
      </c>
      <c r="B1956" t="str">
        <f>T("   Royaume-Uni")</f>
        <v xml:space="preserve">   Royaume-Uni</v>
      </c>
      <c r="C1956">
        <v>12447591</v>
      </c>
      <c r="D1956">
        <v>18928</v>
      </c>
    </row>
    <row r="1957" spans="1:4" x14ac:dyDescent="0.25">
      <c r="A1957" t="str">
        <f>T("   HK")</f>
        <v xml:space="preserve">   HK</v>
      </c>
      <c r="B1957" t="str">
        <f>T("   Hong-Kong")</f>
        <v xml:space="preserve">   Hong-Kong</v>
      </c>
      <c r="C1957">
        <v>12127851</v>
      </c>
      <c r="D1957">
        <v>13346</v>
      </c>
    </row>
    <row r="1958" spans="1:4" x14ac:dyDescent="0.25">
      <c r="A1958" t="str">
        <f>T("   ID")</f>
        <v xml:space="preserve">   ID</v>
      </c>
      <c r="B1958" t="str">
        <f>T("   Indonésie")</f>
        <v xml:space="preserve">   Indonésie</v>
      </c>
      <c r="C1958">
        <v>1713676</v>
      </c>
      <c r="D1958">
        <v>2220</v>
      </c>
    </row>
    <row r="1959" spans="1:4" x14ac:dyDescent="0.25">
      <c r="A1959" t="str">
        <f>T("   IE")</f>
        <v xml:space="preserve">   IE</v>
      </c>
      <c r="B1959" t="str">
        <f>T("   Irlande")</f>
        <v xml:space="preserve">   Irlande</v>
      </c>
      <c r="C1959">
        <v>177424042</v>
      </c>
      <c r="D1959">
        <v>37874</v>
      </c>
    </row>
    <row r="1960" spans="1:4" x14ac:dyDescent="0.25">
      <c r="A1960" t="str">
        <f>T("   IN")</f>
        <v xml:space="preserve">   IN</v>
      </c>
      <c r="B1960" t="str">
        <f>T("   Inde")</f>
        <v xml:space="preserve">   Inde</v>
      </c>
      <c r="C1960">
        <v>3475095</v>
      </c>
      <c r="D1960">
        <v>3889</v>
      </c>
    </row>
    <row r="1961" spans="1:4" x14ac:dyDescent="0.25">
      <c r="A1961" t="str">
        <f>T("   IT")</f>
        <v xml:space="preserve">   IT</v>
      </c>
      <c r="B1961" t="str">
        <f>T("   Italie")</f>
        <v xml:space="preserve">   Italie</v>
      </c>
      <c r="C1961">
        <v>2013633</v>
      </c>
      <c r="D1961">
        <v>9587</v>
      </c>
    </row>
    <row r="1962" spans="1:4" x14ac:dyDescent="0.25">
      <c r="A1962" t="str">
        <f>T("   LB")</f>
        <v xml:space="preserve">   LB</v>
      </c>
      <c r="B1962" t="str">
        <f>T("   Liban")</f>
        <v xml:space="preserve">   Liban</v>
      </c>
      <c r="C1962">
        <v>4968820</v>
      </c>
      <c r="D1962">
        <v>17385</v>
      </c>
    </row>
    <row r="1963" spans="1:4" x14ac:dyDescent="0.25">
      <c r="A1963" t="str">
        <f>T("   NG")</f>
        <v xml:space="preserve">   NG</v>
      </c>
      <c r="B1963" t="str">
        <f>T("   Nigéria")</f>
        <v xml:space="preserve">   Nigéria</v>
      </c>
      <c r="C1963">
        <v>1216000</v>
      </c>
      <c r="D1963">
        <v>2905</v>
      </c>
    </row>
    <row r="1964" spans="1:4" x14ac:dyDescent="0.25">
      <c r="A1964" t="str">
        <f>T("   NL")</f>
        <v xml:space="preserve">   NL</v>
      </c>
      <c r="B1964" t="str">
        <f>T("   Pays-bas")</f>
        <v xml:space="preserve">   Pays-bas</v>
      </c>
      <c r="C1964">
        <v>62003510</v>
      </c>
      <c r="D1964">
        <v>9235</v>
      </c>
    </row>
    <row r="1965" spans="1:4" x14ac:dyDescent="0.25">
      <c r="A1965" t="str">
        <f>T("   SN")</f>
        <v xml:space="preserve">   SN</v>
      </c>
      <c r="B1965" t="str">
        <f>T("   Sénégal")</f>
        <v xml:space="preserve">   Sénégal</v>
      </c>
      <c r="C1965">
        <v>888946</v>
      </c>
      <c r="D1965">
        <v>200</v>
      </c>
    </row>
    <row r="1966" spans="1:4" x14ac:dyDescent="0.25">
      <c r="A1966" t="str">
        <f>T("   SY")</f>
        <v xml:space="preserve">   SY</v>
      </c>
      <c r="B1966" t="str">
        <f>T("   Syrienne, République arabe")</f>
        <v xml:space="preserve">   Syrienne, République arabe</v>
      </c>
      <c r="C1966">
        <v>172566</v>
      </c>
      <c r="D1966">
        <v>30</v>
      </c>
    </row>
    <row r="1967" spans="1:4" x14ac:dyDescent="0.25">
      <c r="A1967" t="str">
        <f>T("   TG")</f>
        <v xml:space="preserve">   TG</v>
      </c>
      <c r="B1967" t="str">
        <f>T("   Togo")</f>
        <v xml:space="preserve">   Togo</v>
      </c>
      <c r="C1967">
        <v>19873275</v>
      </c>
      <c r="D1967">
        <v>209222</v>
      </c>
    </row>
    <row r="1968" spans="1:4" x14ac:dyDescent="0.25">
      <c r="A1968" t="str">
        <f>T("   TH")</f>
        <v xml:space="preserve">   TH</v>
      </c>
      <c r="B1968" t="str">
        <f>T("   Thaïlande")</f>
        <v xml:space="preserve">   Thaïlande</v>
      </c>
      <c r="C1968">
        <v>657272</v>
      </c>
      <c r="D1968">
        <v>2685</v>
      </c>
    </row>
    <row r="1969" spans="1:4" x14ac:dyDescent="0.25">
      <c r="A1969" t="str">
        <f>T("   TR")</f>
        <v xml:space="preserve">   TR</v>
      </c>
      <c r="B1969" t="str">
        <f>T("   Turquie")</f>
        <v xml:space="preserve">   Turquie</v>
      </c>
      <c r="C1969">
        <v>30021415</v>
      </c>
      <c r="D1969">
        <v>20846</v>
      </c>
    </row>
    <row r="1970" spans="1:4" x14ac:dyDescent="0.25">
      <c r="A1970" t="str">
        <f>T("   US")</f>
        <v xml:space="preserve">   US</v>
      </c>
      <c r="B1970" t="str">
        <f>T("   Etats-Unis")</f>
        <v xml:space="preserve">   Etats-Unis</v>
      </c>
      <c r="C1970">
        <v>218714</v>
      </c>
      <c r="D1970">
        <v>314</v>
      </c>
    </row>
    <row r="1971" spans="1:4" x14ac:dyDescent="0.25">
      <c r="A1971" t="str">
        <f>T("   ZA")</f>
        <v xml:space="preserve">   ZA</v>
      </c>
      <c r="B1971" t="str">
        <f>T("   Afrique du Sud")</f>
        <v xml:space="preserve">   Afrique du Sud</v>
      </c>
      <c r="C1971">
        <v>1052160</v>
      </c>
      <c r="D1971">
        <v>594</v>
      </c>
    </row>
    <row r="1972" spans="1:4" x14ac:dyDescent="0.25">
      <c r="A1972" t="str">
        <f>T("220110")</f>
        <v>220110</v>
      </c>
      <c r="B1972" t="str">
        <f>T("Eaux minérales et eaux gazéifiées, non additionnées de sucre ou d'autres édulcorants ni aromatisées")</f>
        <v>Eaux minérales et eaux gazéifiées, non additionnées de sucre ou d'autres édulcorants ni aromatisées</v>
      </c>
    </row>
    <row r="1973" spans="1:4" x14ac:dyDescent="0.25">
      <c r="A1973" t="str">
        <f>T("   ZZZ_Monde")</f>
        <v xml:space="preserve">   ZZZ_Monde</v>
      </c>
      <c r="B1973" t="str">
        <f>T("   ZZZ_Monde")</f>
        <v xml:space="preserve">   ZZZ_Monde</v>
      </c>
      <c r="C1973">
        <v>116892853</v>
      </c>
      <c r="D1973">
        <v>999985</v>
      </c>
    </row>
    <row r="1974" spans="1:4" x14ac:dyDescent="0.25">
      <c r="A1974" t="str">
        <f>T("   CN")</f>
        <v xml:space="preserve">   CN</v>
      </c>
      <c r="B1974" t="str">
        <f>T("   Chine")</f>
        <v xml:space="preserve">   Chine</v>
      </c>
      <c r="C1974">
        <v>2530450</v>
      </c>
      <c r="D1974">
        <v>27590</v>
      </c>
    </row>
    <row r="1975" spans="1:4" x14ac:dyDescent="0.25">
      <c r="A1975" t="str">
        <f>T("   ES")</f>
        <v xml:space="preserve">   ES</v>
      </c>
      <c r="B1975" t="str">
        <f>T("   Espagne")</f>
        <v xml:space="preserve">   Espagne</v>
      </c>
      <c r="C1975">
        <v>7677993</v>
      </c>
      <c r="D1975">
        <v>99185</v>
      </c>
    </row>
    <row r="1976" spans="1:4" x14ac:dyDescent="0.25">
      <c r="A1976" t="str">
        <f>T("   FR")</f>
        <v xml:space="preserve">   FR</v>
      </c>
      <c r="B1976" t="str">
        <f>T("   France")</f>
        <v xml:space="preserve">   France</v>
      </c>
      <c r="C1976">
        <v>47415088</v>
      </c>
      <c r="D1976">
        <v>213461</v>
      </c>
    </row>
    <row r="1977" spans="1:4" x14ac:dyDescent="0.25">
      <c r="A1977" t="str">
        <f>T("   GB")</f>
        <v xml:space="preserve">   GB</v>
      </c>
      <c r="B1977" t="str">
        <f>T("   Royaume-Uni")</f>
        <v xml:space="preserve">   Royaume-Uni</v>
      </c>
      <c r="C1977">
        <v>41143</v>
      </c>
      <c r="D1977">
        <v>37</v>
      </c>
    </row>
    <row r="1978" spans="1:4" x14ac:dyDescent="0.25">
      <c r="A1978" t="str">
        <f>T("   GH")</f>
        <v xml:space="preserve">   GH</v>
      </c>
      <c r="B1978" t="str">
        <f>T("   Ghana")</f>
        <v xml:space="preserve">   Ghana</v>
      </c>
      <c r="C1978">
        <v>8775573</v>
      </c>
      <c r="D1978">
        <v>54840</v>
      </c>
    </row>
    <row r="1979" spans="1:4" x14ac:dyDescent="0.25">
      <c r="A1979" t="str">
        <f>T("   LB")</f>
        <v xml:space="preserve">   LB</v>
      </c>
      <c r="B1979" t="str">
        <f>T("   Liban")</f>
        <v xml:space="preserve">   Liban</v>
      </c>
      <c r="C1979">
        <v>37117847</v>
      </c>
      <c r="D1979">
        <v>449386</v>
      </c>
    </row>
    <row r="1980" spans="1:4" x14ac:dyDescent="0.25">
      <c r="A1980" t="str">
        <f>T("   SA")</f>
        <v xml:space="preserve">   SA</v>
      </c>
      <c r="B1980" t="str">
        <f>T("   Arabie Saoudite")</f>
        <v xml:space="preserve">   Arabie Saoudite</v>
      </c>
      <c r="C1980">
        <v>500000</v>
      </c>
      <c r="D1980">
        <v>1000</v>
      </c>
    </row>
    <row r="1981" spans="1:4" x14ac:dyDescent="0.25">
      <c r="A1981" t="str">
        <f>T("   TG")</f>
        <v xml:space="preserve">   TG</v>
      </c>
      <c r="B1981" t="str">
        <f>T("   Togo")</f>
        <v xml:space="preserve">   Togo</v>
      </c>
      <c r="C1981">
        <v>10250407</v>
      </c>
      <c r="D1981">
        <v>129384</v>
      </c>
    </row>
    <row r="1982" spans="1:4" x14ac:dyDescent="0.25">
      <c r="A1982" t="str">
        <f>T("   TR")</f>
        <v xml:space="preserve">   TR</v>
      </c>
      <c r="B1982" t="str">
        <f>T("   Turquie")</f>
        <v xml:space="preserve">   Turquie</v>
      </c>
      <c r="C1982">
        <v>2584352</v>
      </c>
      <c r="D1982">
        <v>25102</v>
      </c>
    </row>
    <row r="1983" spans="1:4" x14ac:dyDescent="0.25">
      <c r="A1983" t="str">
        <f>T("220190")</f>
        <v>220190</v>
      </c>
      <c r="B1983" t="str">
        <f>T("Eaux, non additionnées de sucre ou d'autres édulcorants ni aromatisées (à l'excl. des eaux minérales, des eaux gazéifiées, de l'eau de mer ainsi que des eaux distillées, de conductibilité ou de même degré de pureté); glace et neige")</f>
        <v>Eaux, non additionnées de sucre ou d'autres édulcorants ni aromatisées (à l'excl. des eaux minérales, des eaux gazéifiées, de l'eau de mer ainsi que des eaux distillées, de conductibilité ou de même degré de pureté); glace et neige</v>
      </c>
    </row>
    <row r="1984" spans="1:4" x14ac:dyDescent="0.25">
      <c r="A1984" t="str">
        <f>T("   ZZZ_Monde")</f>
        <v xml:space="preserve">   ZZZ_Monde</v>
      </c>
      <c r="B1984" t="str">
        <f>T("   ZZZ_Monde")</f>
        <v xml:space="preserve">   ZZZ_Monde</v>
      </c>
      <c r="C1984">
        <v>53075749</v>
      </c>
      <c r="D1984">
        <v>244816</v>
      </c>
    </row>
    <row r="1985" spans="1:4" x14ac:dyDescent="0.25">
      <c r="A1985" t="str">
        <f>T("   BE")</f>
        <v xml:space="preserve">   BE</v>
      </c>
      <c r="B1985" t="str">
        <f>T("   Belgique")</f>
        <v xml:space="preserve">   Belgique</v>
      </c>
      <c r="C1985">
        <v>2589074</v>
      </c>
      <c r="D1985">
        <v>14429</v>
      </c>
    </row>
    <row r="1986" spans="1:4" x14ac:dyDescent="0.25">
      <c r="A1986" t="str">
        <f>T("   ES")</f>
        <v xml:space="preserve">   ES</v>
      </c>
      <c r="B1986" t="str">
        <f>T("   Espagne")</f>
        <v xml:space="preserve">   Espagne</v>
      </c>
      <c r="C1986">
        <v>2969532</v>
      </c>
      <c r="D1986">
        <v>38801</v>
      </c>
    </row>
    <row r="1987" spans="1:4" x14ac:dyDescent="0.25">
      <c r="A1987" t="str">
        <f>T("   FR")</f>
        <v xml:space="preserve">   FR</v>
      </c>
      <c r="B1987" t="str">
        <f>T("   France")</f>
        <v xml:space="preserve">   France</v>
      </c>
      <c r="C1987">
        <v>46375321</v>
      </c>
      <c r="D1987">
        <v>181416</v>
      </c>
    </row>
    <row r="1988" spans="1:4" x14ac:dyDescent="0.25">
      <c r="A1988" t="str">
        <f>T("   GB")</f>
        <v xml:space="preserve">   GB</v>
      </c>
      <c r="B1988" t="str">
        <f>T("   Royaume-Uni")</f>
        <v xml:space="preserve">   Royaume-Uni</v>
      </c>
      <c r="C1988">
        <v>150037</v>
      </c>
      <c r="D1988">
        <v>540</v>
      </c>
    </row>
    <row r="1989" spans="1:4" x14ac:dyDescent="0.25">
      <c r="A1989" t="str">
        <f>T("   LB")</f>
        <v xml:space="preserve">   LB</v>
      </c>
      <c r="B1989" t="str">
        <f>T("   Liban")</f>
        <v xml:space="preserve">   Liban</v>
      </c>
      <c r="C1989">
        <v>926956</v>
      </c>
      <c r="D1989">
        <v>6000</v>
      </c>
    </row>
    <row r="1990" spans="1:4" x14ac:dyDescent="0.25">
      <c r="A1990" t="str">
        <f>T("   TG")</f>
        <v xml:space="preserve">   TG</v>
      </c>
      <c r="B1990" t="str">
        <f>T("   Togo")</f>
        <v xml:space="preserve">   Togo</v>
      </c>
      <c r="C1990">
        <v>64829</v>
      </c>
      <c r="D1990">
        <v>3630</v>
      </c>
    </row>
    <row r="1991" spans="1:4" x14ac:dyDescent="0.25">
      <c r="A1991" t="str">
        <f>T("220210")</f>
        <v>220210</v>
      </c>
      <c r="B1991" t="str">
        <f>T("Eaux, y.c. les eaux minérales et les eaux gazéifiées, additionnées de sucre ou d'autres édulcorants ou aromatisées, directement consommables en l'état en tant que boissons")</f>
        <v>Eaux, y.c. les eaux minérales et les eaux gazéifiées, additionnées de sucre ou d'autres édulcorants ou aromatisées, directement consommables en l'état en tant que boissons</v>
      </c>
    </row>
    <row r="1992" spans="1:4" x14ac:dyDescent="0.25">
      <c r="A1992" t="str">
        <f>T("   ZZZ_Monde")</f>
        <v xml:space="preserve">   ZZZ_Monde</v>
      </c>
      <c r="B1992" t="str">
        <f>T("   ZZZ_Monde")</f>
        <v xml:space="preserve">   ZZZ_Monde</v>
      </c>
      <c r="C1992">
        <v>2668000047</v>
      </c>
      <c r="D1992">
        <v>7193411.5499999998</v>
      </c>
    </row>
    <row r="1993" spans="1:4" x14ac:dyDescent="0.25">
      <c r="A1993" t="str">
        <f>T("   AE")</f>
        <v xml:space="preserve">   AE</v>
      </c>
      <c r="B1993" t="str">
        <f>T("   Emirats Arabes Unis")</f>
        <v xml:space="preserve">   Emirats Arabes Unis</v>
      </c>
      <c r="C1993">
        <v>3176839</v>
      </c>
      <c r="D1993">
        <v>17500</v>
      </c>
    </row>
    <row r="1994" spans="1:4" x14ac:dyDescent="0.25">
      <c r="A1994" t="str">
        <f>T("   BE")</f>
        <v xml:space="preserve">   BE</v>
      </c>
      <c r="B1994" t="str">
        <f>T("   Belgique")</f>
        <v xml:space="preserve">   Belgique</v>
      </c>
      <c r="C1994">
        <v>52547945</v>
      </c>
      <c r="D1994">
        <v>93192</v>
      </c>
    </row>
    <row r="1995" spans="1:4" x14ac:dyDescent="0.25">
      <c r="A1995" t="str">
        <f>T("   CN")</f>
        <v xml:space="preserve">   CN</v>
      </c>
      <c r="B1995" t="str">
        <f>T("   Chine")</f>
        <v xml:space="preserve">   Chine</v>
      </c>
      <c r="C1995">
        <v>3055003</v>
      </c>
      <c r="D1995">
        <v>16961</v>
      </c>
    </row>
    <row r="1996" spans="1:4" x14ac:dyDescent="0.25">
      <c r="A1996" t="str">
        <f>T("   EG")</f>
        <v xml:space="preserve">   EG</v>
      </c>
      <c r="B1996" t="str">
        <f>T("   Egypte")</f>
        <v xml:space="preserve">   Egypte</v>
      </c>
      <c r="C1996">
        <v>12841115</v>
      </c>
      <c r="D1996">
        <v>45540</v>
      </c>
    </row>
    <row r="1997" spans="1:4" x14ac:dyDescent="0.25">
      <c r="A1997" t="str">
        <f>T("   ES")</f>
        <v xml:space="preserve">   ES</v>
      </c>
      <c r="B1997" t="str">
        <f>T("   Espagne")</f>
        <v xml:space="preserve">   Espagne</v>
      </c>
      <c r="C1997">
        <v>70596520</v>
      </c>
      <c r="D1997">
        <v>266495</v>
      </c>
    </row>
    <row r="1998" spans="1:4" x14ac:dyDescent="0.25">
      <c r="A1998" t="str">
        <f>T("   FR")</f>
        <v xml:space="preserve">   FR</v>
      </c>
      <c r="B1998" t="str">
        <f>T("   France")</f>
        <v xml:space="preserve">   France</v>
      </c>
      <c r="C1998">
        <v>49688114</v>
      </c>
      <c r="D1998">
        <v>145448</v>
      </c>
    </row>
    <row r="1999" spans="1:4" x14ac:dyDescent="0.25">
      <c r="A1999" t="str">
        <f>T("   GB")</f>
        <v xml:space="preserve">   GB</v>
      </c>
      <c r="B1999" t="str">
        <f>T("   Royaume-Uni")</f>
        <v xml:space="preserve">   Royaume-Uni</v>
      </c>
      <c r="C1999">
        <v>3063719</v>
      </c>
      <c r="D1999">
        <v>4034</v>
      </c>
    </row>
    <row r="2000" spans="1:4" x14ac:dyDescent="0.25">
      <c r="A2000" t="str">
        <f>T("   GH")</f>
        <v xml:space="preserve">   GH</v>
      </c>
      <c r="B2000" t="str">
        <f>T("   Ghana")</f>
        <v xml:space="preserve">   Ghana</v>
      </c>
      <c r="C2000">
        <v>1500000</v>
      </c>
      <c r="D2000">
        <v>10000</v>
      </c>
    </row>
    <row r="2001" spans="1:4" x14ac:dyDescent="0.25">
      <c r="A2001" t="str">
        <f>T("   JO")</f>
        <v xml:space="preserve">   JO</v>
      </c>
      <c r="B2001" t="str">
        <f>T("   Jordanie")</f>
        <v xml:space="preserve">   Jordanie</v>
      </c>
      <c r="C2001">
        <v>4500138</v>
      </c>
      <c r="D2001">
        <v>21250</v>
      </c>
    </row>
    <row r="2002" spans="1:4" x14ac:dyDescent="0.25">
      <c r="A2002" t="str">
        <f>T("   LB")</f>
        <v xml:space="preserve">   LB</v>
      </c>
      <c r="B2002" t="str">
        <f>T("   Liban")</f>
        <v xml:space="preserve">   Liban</v>
      </c>
      <c r="C2002">
        <v>11537917</v>
      </c>
      <c r="D2002">
        <v>41754</v>
      </c>
    </row>
    <row r="2003" spans="1:4" x14ac:dyDescent="0.25">
      <c r="A2003" t="str">
        <f>T("   NG")</f>
        <v xml:space="preserve">   NG</v>
      </c>
      <c r="B2003" t="str">
        <f>T("   Nigéria")</f>
        <v xml:space="preserve">   Nigéria</v>
      </c>
      <c r="C2003">
        <v>2815702</v>
      </c>
      <c r="D2003">
        <v>45000</v>
      </c>
    </row>
    <row r="2004" spans="1:4" x14ac:dyDescent="0.25">
      <c r="A2004" t="str">
        <f>T("   NL")</f>
        <v xml:space="preserve">   NL</v>
      </c>
      <c r="B2004" t="str">
        <f>T("   Pays-bas")</f>
        <v xml:space="preserve">   Pays-bas</v>
      </c>
      <c r="C2004">
        <v>34445141</v>
      </c>
      <c r="D2004">
        <v>31526</v>
      </c>
    </row>
    <row r="2005" spans="1:4" x14ac:dyDescent="0.25">
      <c r="A2005" t="str">
        <f>T("   TG")</f>
        <v xml:space="preserve">   TG</v>
      </c>
      <c r="B2005" t="str">
        <f>T("   Togo")</f>
        <v xml:space="preserve">   Togo</v>
      </c>
      <c r="C2005">
        <v>2410089131</v>
      </c>
      <c r="D2005">
        <v>6422089</v>
      </c>
    </row>
    <row r="2006" spans="1:4" x14ac:dyDescent="0.25">
      <c r="A2006" t="str">
        <f>T("   TN")</f>
        <v xml:space="preserve">   TN</v>
      </c>
      <c r="B2006" t="str">
        <f>T("   Tunisie")</f>
        <v xml:space="preserve">   Tunisie</v>
      </c>
      <c r="C2006">
        <v>4108277</v>
      </c>
      <c r="D2006">
        <v>14052</v>
      </c>
    </row>
    <row r="2007" spans="1:4" x14ac:dyDescent="0.25">
      <c r="A2007" t="str">
        <f>T("   TR")</f>
        <v xml:space="preserve">   TR</v>
      </c>
      <c r="B2007" t="str">
        <f>T("   Turquie")</f>
        <v xml:space="preserve">   Turquie</v>
      </c>
      <c r="C2007">
        <v>3762898</v>
      </c>
      <c r="D2007">
        <v>18380</v>
      </c>
    </row>
    <row r="2008" spans="1:4" x14ac:dyDescent="0.25">
      <c r="A2008" t="str">
        <f>T("   ZA")</f>
        <v xml:space="preserve">   ZA</v>
      </c>
      <c r="B2008" t="str">
        <f>T("   Afrique du Sud")</f>
        <v xml:space="preserve">   Afrique du Sud</v>
      </c>
      <c r="C2008">
        <v>271588</v>
      </c>
      <c r="D2008">
        <v>190.55</v>
      </c>
    </row>
    <row r="2009" spans="1:4" x14ac:dyDescent="0.25">
      <c r="A2009" t="str">
        <f>T("220290")</f>
        <v>220290</v>
      </c>
      <c r="B2009" t="str">
        <f>T("BOISSONS NON-ALCOOLIQUES (À L'EXCL. DES EAUX, DES JUS DE FRUITS OU DE LÉGUMES AINSI QUE DU LAIT)")</f>
        <v>BOISSONS NON-ALCOOLIQUES (À L'EXCL. DES EAUX, DES JUS DE FRUITS OU DE LÉGUMES AINSI QUE DU LAIT)</v>
      </c>
    </row>
    <row r="2010" spans="1:4" x14ac:dyDescent="0.25">
      <c r="A2010" t="str">
        <f>T("   ZZZ_Monde")</f>
        <v xml:space="preserve">   ZZZ_Monde</v>
      </c>
      <c r="B2010" t="str">
        <f>T("   ZZZ_Monde")</f>
        <v xml:space="preserve">   ZZZ_Monde</v>
      </c>
      <c r="C2010">
        <v>1608927474</v>
      </c>
      <c r="D2010">
        <v>7020156</v>
      </c>
    </row>
    <row r="2011" spans="1:4" x14ac:dyDescent="0.25">
      <c r="A2011" t="str">
        <f>T("   AE")</f>
        <v xml:space="preserve">   AE</v>
      </c>
      <c r="B2011" t="str">
        <f>T("   Emirats Arabes Unis")</f>
        <v xml:space="preserve">   Emirats Arabes Unis</v>
      </c>
      <c r="C2011">
        <v>21348283</v>
      </c>
      <c r="D2011">
        <v>101711</v>
      </c>
    </row>
    <row r="2012" spans="1:4" x14ac:dyDescent="0.25">
      <c r="A2012" t="str">
        <f>T("   AT")</f>
        <v xml:space="preserve">   AT</v>
      </c>
      <c r="B2012" t="str">
        <f>T("   Autriche")</f>
        <v xml:space="preserve">   Autriche</v>
      </c>
      <c r="C2012">
        <v>25091126</v>
      </c>
      <c r="D2012">
        <v>42390</v>
      </c>
    </row>
    <row r="2013" spans="1:4" x14ac:dyDescent="0.25">
      <c r="A2013" t="str">
        <f>T("   BE")</f>
        <v xml:space="preserve">   BE</v>
      </c>
      <c r="B2013" t="str">
        <f>T("   Belgique")</f>
        <v xml:space="preserve">   Belgique</v>
      </c>
      <c r="C2013">
        <v>555402025</v>
      </c>
      <c r="D2013">
        <v>1699993</v>
      </c>
    </row>
    <row r="2014" spans="1:4" x14ac:dyDescent="0.25">
      <c r="A2014" t="str">
        <f>T("   BG")</f>
        <v xml:space="preserve">   BG</v>
      </c>
      <c r="B2014" t="str">
        <f>T("   Bulgarie")</f>
        <v xml:space="preserve">   Bulgarie</v>
      </c>
      <c r="C2014">
        <v>4029018</v>
      </c>
      <c r="D2014">
        <v>24782</v>
      </c>
    </row>
    <row r="2015" spans="1:4" x14ac:dyDescent="0.25">
      <c r="A2015" t="str">
        <f>T("   CA")</f>
        <v xml:space="preserve">   CA</v>
      </c>
      <c r="B2015" t="str">
        <f>T("   Canada")</f>
        <v xml:space="preserve">   Canada</v>
      </c>
      <c r="C2015">
        <v>235361</v>
      </c>
      <c r="D2015">
        <v>1026</v>
      </c>
    </row>
    <row r="2016" spans="1:4" x14ac:dyDescent="0.25">
      <c r="A2016" t="str">
        <f>T("   CN")</f>
        <v xml:space="preserve">   CN</v>
      </c>
      <c r="B2016" t="str">
        <f>T("   Chine")</f>
        <v xml:space="preserve">   Chine</v>
      </c>
      <c r="C2016">
        <v>61846673</v>
      </c>
      <c r="D2016">
        <v>338238</v>
      </c>
    </row>
    <row r="2017" spans="1:4" x14ac:dyDescent="0.25">
      <c r="A2017" t="str">
        <f>T("   DE")</f>
        <v xml:space="preserve">   DE</v>
      </c>
      <c r="B2017" t="str">
        <f>T("   Allemagne")</f>
        <v xml:space="preserve">   Allemagne</v>
      </c>
      <c r="C2017">
        <v>113866137</v>
      </c>
      <c r="D2017">
        <v>517745</v>
      </c>
    </row>
    <row r="2018" spans="1:4" x14ac:dyDescent="0.25">
      <c r="A2018" t="str">
        <f>T("   DK")</f>
        <v xml:space="preserve">   DK</v>
      </c>
      <c r="B2018" t="str">
        <f>T("   Danemark")</f>
        <v xml:space="preserve">   Danemark</v>
      </c>
      <c r="C2018">
        <v>11420429</v>
      </c>
      <c r="D2018">
        <v>60869</v>
      </c>
    </row>
    <row r="2019" spans="1:4" x14ac:dyDescent="0.25">
      <c r="A2019" t="str">
        <f>T("   EG")</f>
        <v xml:space="preserve">   EG</v>
      </c>
      <c r="B2019" t="str">
        <f>T("   Egypte")</f>
        <v xml:space="preserve">   Egypte</v>
      </c>
      <c r="C2019">
        <v>8267349</v>
      </c>
      <c r="D2019">
        <v>40592</v>
      </c>
    </row>
    <row r="2020" spans="1:4" x14ac:dyDescent="0.25">
      <c r="A2020" t="str">
        <f>T("   ES")</f>
        <v xml:space="preserve">   ES</v>
      </c>
      <c r="B2020" t="str">
        <f>T("   Espagne")</f>
        <v xml:space="preserve">   Espagne</v>
      </c>
      <c r="C2020">
        <v>85107474</v>
      </c>
      <c r="D2020">
        <v>334531</v>
      </c>
    </row>
    <row r="2021" spans="1:4" x14ac:dyDescent="0.25">
      <c r="A2021" t="str">
        <f>T("   FR")</f>
        <v xml:space="preserve">   FR</v>
      </c>
      <c r="B2021" t="str">
        <f>T("   France")</f>
        <v xml:space="preserve">   France</v>
      </c>
      <c r="C2021">
        <v>103051302</v>
      </c>
      <c r="D2021">
        <v>285032</v>
      </c>
    </row>
    <row r="2022" spans="1:4" x14ac:dyDescent="0.25">
      <c r="A2022" t="str">
        <f>T("   GB")</f>
        <v xml:space="preserve">   GB</v>
      </c>
      <c r="B2022" t="str">
        <f>T("   Royaume-Uni")</f>
        <v xml:space="preserve">   Royaume-Uni</v>
      </c>
      <c r="C2022">
        <v>18722284</v>
      </c>
      <c r="D2022">
        <v>64602</v>
      </c>
    </row>
    <row r="2023" spans="1:4" x14ac:dyDescent="0.25">
      <c r="A2023" t="str">
        <f>T("   HK")</f>
        <v xml:space="preserve">   HK</v>
      </c>
      <c r="B2023" t="str">
        <f>T("   Hong-Kong")</f>
        <v xml:space="preserve">   Hong-Kong</v>
      </c>
      <c r="C2023">
        <v>17168653</v>
      </c>
      <c r="D2023">
        <v>23978</v>
      </c>
    </row>
    <row r="2024" spans="1:4" x14ac:dyDescent="0.25">
      <c r="A2024" t="str">
        <f>T("   ID")</f>
        <v xml:space="preserve">   ID</v>
      </c>
      <c r="B2024" t="str">
        <f>T("   Indonésie")</f>
        <v xml:space="preserve">   Indonésie</v>
      </c>
      <c r="C2024">
        <v>1226177</v>
      </c>
      <c r="D2024">
        <v>1290</v>
      </c>
    </row>
    <row r="2025" spans="1:4" x14ac:dyDescent="0.25">
      <c r="A2025" t="str">
        <f>T("   IN")</f>
        <v xml:space="preserve">   IN</v>
      </c>
      <c r="B2025" t="str">
        <f>T("   Inde")</f>
        <v xml:space="preserve">   Inde</v>
      </c>
      <c r="C2025">
        <v>992220</v>
      </c>
      <c r="D2025">
        <v>1519</v>
      </c>
    </row>
    <row r="2026" spans="1:4" x14ac:dyDescent="0.25">
      <c r="A2026" t="str">
        <f>T("   IT")</f>
        <v xml:space="preserve">   IT</v>
      </c>
      <c r="B2026" t="str">
        <f>T("   Italie")</f>
        <v xml:space="preserve">   Italie</v>
      </c>
      <c r="C2026">
        <v>10639914</v>
      </c>
      <c r="D2026">
        <v>35250</v>
      </c>
    </row>
    <row r="2027" spans="1:4" x14ac:dyDescent="0.25">
      <c r="A2027" t="str">
        <f>T("   LB")</f>
        <v xml:space="preserve">   LB</v>
      </c>
      <c r="B2027" t="str">
        <f>T("   Liban")</f>
        <v xml:space="preserve">   Liban</v>
      </c>
      <c r="C2027">
        <v>60749956</v>
      </c>
      <c r="D2027">
        <v>317192</v>
      </c>
    </row>
    <row r="2028" spans="1:4" x14ac:dyDescent="0.25">
      <c r="A2028" t="str">
        <f>T("   MA")</f>
        <v xml:space="preserve">   MA</v>
      </c>
      <c r="B2028" t="str">
        <f>T("   Maroc")</f>
        <v xml:space="preserve">   Maroc</v>
      </c>
      <c r="C2028">
        <v>5797978</v>
      </c>
      <c r="D2028">
        <v>18316</v>
      </c>
    </row>
    <row r="2029" spans="1:4" x14ac:dyDescent="0.25">
      <c r="A2029" t="str">
        <f>T("   NG")</f>
        <v xml:space="preserve">   NG</v>
      </c>
      <c r="B2029" t="str">
        <f>T("   Nigéria")</f>
        <v xml:space="preserve">   Nigéria</v>
      </c>
      <c r="C2029">
        <v>165189953</v>
      </c>
      <c r="D2029">
        <v>1709574</v>
      </c>
    </row>
    <row r="2030" spans="1:4" x14ac:dyDescent="0.25">
      <c r="A2030" t="str">
        <f>T("   NL")</f>
        <v xml:space="preserve">   NL</v>
      </c>
      <c r="B2030" t="str">
        <f>T("   Pays-bas")</f>
        <v xml:space="preserve">   Pays-bas</v>
      </c>
      <c r="C2030">
        <v>51832845</v>
      </c>
      <c r="D2030">
        <v>68285</v>
      </c>
    </row>
    <row r="2031" spans="1:4" x14ac:dyDescent="0.25">
      <c r="A2031" t="str">
        <f>T("   PL")</f>
        <v xml:space="preserve">   PL</v>
      </c>
      <c r="B2031" t="str">
        <f>T("   Pologne")</f>
        <v xml:space="preserve">   Pologne</v>
      </c>
      <c r="C2031">
        <v>143445990</v>
      </c>
      <c r="D2031">
        <v>587482</v>
      </c>
    </row>
    <row r="2032" spans="1:4" x14ac:dyDescent="0.25">
      <c r="A2032" t="str">
        <f>T("   PT")</f>
        <v xml:space="preserve">   PT</v>
      </c>
      <c r="B2032" t="str">
        <f>T("   Portugal")</f>
        <v xml:space="preserve">   Portugal</v>
      </c>
      <c r="C2032">
        <v>8300159</v>
      </c>
      <c r="D2032">
        <v>31016</v>
      </c>
    </row>
    <row r="2033" spans="1:4" x14ac:dyDescent="0.25">
      <c r="A2033" t="str">
        <f>T("   SA")</f>
        <v xml:space="preserve">   SA</v>
      </c>
      <c r="B2033" t="str">
        <f>T("   Arabie Saoudite")</f>
        <v xml:space="preserve">   Arabie Saoudite</v>
      </c>
      <c r="C2033">
        <v>13761283</v>
      </c>
      <c r="D2033">
        <v>54076</v>
      </c>
    </row>
    <row r="2034" spans="1:4" x14ac:dyDescent="0.25">
      <c r="A2034" t="str">
        <f>T("   TG")</f>
        <v xml:space="preserve">   TG</v>
      </c>
      <c r="B2034" t="str">
        <f>T("   Togo")</f>
        <v xml:space="preserve">   Togo</v>
      </c>
      <c r="C2034">
        <v>82328823</v>
      </c>
      <c r="D2034">
        <v>509237</v>
      </c>
    </row>
    <row r="2035" spans="1:4" x14ac:dyDescent="0.25">
      <c r="A2035" t="str">
        <f>T("   TH")</f>
        <v xml:space="preserve">   TH</v>
      </c>
      <c r="B2035" t="str">
        <f>T("   Thaïlande")</f>
        <v xml:space="preserve">   Thaïlande</v>
      </c>
      <c r="C2035">
        <v>6721925</v>
      </c>
      <c r="D2035">
        <v>18690</v>
      </c>
    </row>
    <row r="2036" spans="1:4" x14ac:dyDescent="0.25">
      <c r="A2036" t="str">
        <f>T("   TR")</f>
        <v xml:space="preserve">   TR</v>
      </c>
      <c r="B2036" t="str">
        <f>T("   Turquie")</f>
        <v xml:space="preserve">   Turquie</v>
      </c>
      <c r="C2036">
        <v>16564614</v>
      </c>
      <c r="D2036">
        <v>68202</v>
      </c>
    </row>
    <row r="2037" spans="1:4" x14ac:dyDescent="0.25">
      <c r="A2037" t="str">
        <f>T("   TW")</f>
        <v xml:space="preserve">   TW</v>
      </c>
      <c r="B2037" t="str">
        <f>T("   Taïwan, Province de Chine")</f>
        <v xml:space="preserve">   Taïwan, Province de Chine</v>
      </c>
      <c r="C2037">
        <v>12193399</v>
      </c>
      <c r="D2037">
        <v>45823</v>
      </c>
    </row>
    <row r="2038" spans="1:4" x14ac:dyDescent="0.25">
      <c r="A2038" t="str">
        <f>T("   US")</f>
        <v xml:space="preserve">   US</v>
      </c>
      <c r="B2038" t="str">
        <f>T("   Etats-Unis")</f>
        <v xml:space="preserve">   Etats-Unis</v>
      </c>
      <c r="C2038">
        <v>885201</v>
      </c>
      <c r="D2038">
        <v>1527</v>
      </c>
    </row>
    <row r="2039" spans="1:4" x14ac:dyDescent="0.25">
      <c r="A2039" t="str">
        <f>T("   ZA")</f>
        <v xml:space="preserve">   ZA</v>
      </c>
      <c r="B2039" t="str">
        <f>T("   Afrique du Sud")</f>
        <v xml:space="preserve">   Afrique du Sud</v>
      </c>
      <c r="C2039">
        <v>2740923</v>
      </c>
      <c r="D2039">
        <v>17188</v>
      </c>
    </row>
    <row r="2040" spans="1:4" x14ac:dyDescent="0.25">
      <c r="A2040" t="str">
        <f>T("220300")</f>
        <v>220300</v>
      </c>
      <c r="B2040" t="str">
        <f>T("Bières de malt")</f>
        <v>Bières de malt</v>
      </c>
    </row>
    <row r="2041" spans="1:4" x14ac:dyDescent="0.25">
      <c r="A2041" t="str">
        <f>T("   ZZZ_Monde")</f>
        <v xml:space="preserve">   ZZZ_Monde</v>
      </c>
      <c r="B2041" t="str">
        <f>T("   ZZZ_Monde")</f>
        <v xml:space="preserve">   ZZZ_Monde</v>
      </c>
      <c r="C2041">
        <v>2590452105</v>
      </c>
      <c r="D2041">
        <v>10169156</v>
      </c>
    </row>
    <row r="2042" spans="1:4" x14ac:dyDescent="0.25">
      <c r="A2042" t="str">
        <f>T("   AE")</f>
        <v xml:space="preserve">   AE</v>
      </c>
      <c r="B2042" t="str">
        <f>T("   Emirats Arabes Unis")</f>
        <v xml:space="preserve">   Emirats Arabes Unis</v>
      </c>
      <c r="C2042">
        <v>22592307</v>
      </c>
      <c r="D2042">
        <v>110440</v>
      </c>
    </row>
    <row r="2043" spans="1:4" x14ac:dyDescent="0.25">
      <c r="A2043" t="str">
        <f>T("   BE")</f>
        <v xml:space="preserve">   BE</v>
      </c>
      <c r="B2043" t="str">
        <f>T("   Belgique")</f>
        <v xml:space="preserve">   Belgique</v>
      </c>
      <c r="C2043">
        <v>52822225</v>
      </c>
      <c r="D2043">
        <v>219778</v>
      </c>
    </row>
    <row r="2044" spans="1:4" x14ac:dyDescent="0.25">
      <c r="A2044" t="str">
        <f>T("   CI")</f>
        <v xml:space="preserve">   CI</v>
      </c>
      <c r="B2044" t="str">
        <f>T("   Côte d'Ivoire")</f>
        <v xml:space="preserve">   Côte d'Ivoire</v>
      </c>
      <c r="C2044">
        <v>5847324</v>
      </c>
      <c r="D2044">
        <v>33700</v>
      </c>
    </row>
    <row r="2045" spans="1:4" x14ac:dyDescent="0.25">
      <c r="A2045" t="str">
        <f>T("   CN")</f>
        <v xml:space="preserve">   CN</v>
      </c>
      <c r="B2045" t="str">
        <f>T("   Chine")</f>
        <v xml:space="preserve">   Chine</v>
      </c>
      <c r="C2045">
        <v>146497</v>
      </c>
      <c r="D2045">
        <v>25</v>
      </c>
    </row>
    <row r="2046" spans="1:4" x14ac:dyDescent="0.25">
      <c r="A2046" t="str">
        <f>T("   DE")</f>
        <v xml:space="preserve">   DE</v>
      </c>
      <c r="B2046" t="str">
        <f>T("   Allemagne")</f>
        <v xml:space="preserve">   Allemagne</v>
      </c>
      <c r="C2046">
        <v>119753796</v>
      </c>
      <c r="D2046">
        <v>469365</v>
      </c>
    </row>
    <row r="2047" spans="1:4" x14ac:dyDescent="0.25">
      <c r="A2047" t="str">
        <f>T("   DK")</f>
        <v xml:space="preserve">   DK</v>
      </c>
      <c r="B2047" t="str">
        <f>T("   Danemark")</f>
        <v xml:space="preserve">   Danemark</v>
      </c>
      <c r="C2047">
        <v>27598794</v>
      </c>
      <c r="D2047">
        <v>107379</v>
      </c>
    </row>
    <row r="2048" spans="1:4" x14ac:dyDescent="0.25">
      <c r="A2048" t="str">
        <f>T("   ES")</f>
        <v xml:space="preserve">   ES</v>
      </c>
      <c r="B2048" t="str">
        <f>T("   Espagne")</f>
        <v xml:space="preserve">   Espagne</v>
      </c>
      <c r="C2048">
        <v>47527740</v>
      </c>
      <c r="D2048">
        <v>166574</v>
      </c>
    </row>
    <row r="2049" spans="1:4" x14ac:dyDescent="0.25">
      <c r="A2049" t="str">
        <f>T("   FR")</f>
        <v xml:space="preserve">   FR</v>
      </c>
      <c r="B2049" t="str">
        <f>T("   France")</f>
        <v xml:space="preserve">   France</v>
      </c>
      <c r="C2049">
        <v>127666307</v>
      </c>
      <c r="D2049">
        <v>356213</v>
      </c>
    </row>
    <row r="2050" spans="1:4" x14ac:dyDescent="0.25">
      <c r="A2050" t="str">
        <f>T("   GH")</f>
        <v xml:space="preserve">   GH</v>
      </c>
      <c r="B2050" t="str">
        <f>T("   Ghana")</f>
        <v xml:space="preserve">   Ghana</v>
      </c>
      <c r="C2050">
        <v>26082911</v>
      </c>
      <c r="D2050">
        <v>98541</v>
      </c>
    </row>
    <row r="2051" spans="1:4" x14ac:dyDescent="0.25">
      <c r="A2051" t="str">
        <f>T("   ID")</f>
        <v xml:space="preserve">   ID</v>
      </c>
      <c r="B2051" t="str">
        <f>T("   Indonésie")</f>
        <v xml:space="preserve">   Indonésie</v>
      </c>
      <c r="C2051">
        <v>3676706</v>
      </c>
      <c r="D2051">
        <v>16226</v>
      </c>
    </row>
    <row r="2052" spans="1:4" x14ac:dyDescent="0.25">
      <c r="A2052" t="str">
        <f>T("   LB")</f>
        <v xml:space="preserve">   LB</v>
      </c>
      <c r="B2052" t="str">
        <f>T("   Liban")</f>
        <v xml:space="preserve">   Liban</v>
      </c>
      <c r="C2052">
        <v>5007258</v>
      </c>
      <c r="D2052">
        <v>19557</v>
      </c>
    </row>
    <row r="2053" spans="1:4" x14ac:dyDescent="0.25">
      <c r="A2053" t="str">
        <f>T("   MU")</f>
        <v xml:space="preserve">   MU</v>
      </c>
      <c r="B2053" t="str">
        <f>T("   Maurice, île")</f>
        <v xml:space="preserve">   Maurice, île</v>
      </c>
      <c r="C2053">
        <v>34405600</v>
      </c>
      <c r="D2053">
        <v>116501</v>
      </c>
    </row>
    <row r="2054" spans="1:4" x14ac:dyDescent="0.25">
      <c r="A2054" t="str">
        <f>T("   NG")</f>
        <v xml:space="preserve">   NG</v>
      </c>
      <c r="B2054" t="str">
        <f>T("   Nigéria")</f>
        <v xml:space="preserve">   Nigéria</v>
      </c>
      <c r="C2054">
        <v>432778804</v>
      </c>
      <c r="D2054">
        <v>1958524</v>
      </c>
    </row>
    <row r="2055" spans="1:4" x14ac:dyDescent="0.25">
      <c r="A2055" t="str">
        <f>T("   NL")</f>
        <v xml:space="preserve">   NL</v>
      </c>
      <c r="B2055" t="str">
        <f>T("   Pays-bas")</f>
        <v xml:space="preserve">   Pays-bas</v>
      </c>
      <c r="C2055">
        <v>366981886</v>
      </c>
      <c r="D2055">
        <v>939709</v>
      </c>
    </row>
    <row r="2056" spans="1:4" x14ac:dyDescent="0.25">
      <c r="A2056" t="str">
        <f>T("   PL")</f>
        <v xml:space="preserve">   PL</v>
      </c>
      <c r="B2056" t="str">
        <f>T("   Pologne")</f>
        <v xml:space="preserve">   Pologne</v>
      </c>
      <c r="C2056">
        <v>83146211</v>
      </c>
      <c r="D2056">
        <v>438506</v>
      </c>
    </row>
    <row r="2057" spans="1:4" x14ac:dyDescent="0.25">
      <c r="A2057" t="str">
        <f>T("   PT")</f>
        <v xml:space="preserve">   PT</v>
      </c>
      <c r="B2057" t="str">
        <f>T("   Portugal")</f>
        <v xml:space="preserve">   Portugal</v>
      </c>
      <c r="C2057">
        <v>28348670</v>
      </c>
      <c r="D2057">
        <v>102217</v>
      </c>
    </row>
    <row r="2058" spans="1:4" x14ac:dyDescent="0.25">
      <c r="A2058" t="str">
        <f>T("   TG")</f>
        <v xml:space="preserve">   TG</v>
      </c>
      <c r="B2058" t="str">
        <f>T("   Togo")</f>
        <v xml:space="preserve">   Togo</v>
      </c>
      <c r="C2058">
        <v>794527418</v>
      </c>
      <c r="D2058">
        <v>3202556</v>
      </c>
    </row>
    <row r="2059" spans="1:4" x14ac:dyDescent="0.25">
      <c r="A2059" t="str">
        <f>T("   TR")</f>
        <v xml:space="preserve">   TR</v>
      </c>
      <c r="B2059" t="str">
        <f>T("   Turquie")</f>
        <v xml:space="preserve">   Turquie</v>
      </c>
      <c r="C2059">
        <v>402791651</v>
      </c>
      <c r="D2059">
        <v>1540815</v>
      </c>
    </row>
    <row r="2060" spans="1:4" x14ac:dyDescent="0.25">
      <c r="A2060" t="str">
        <f>T("   Z2")</f>
        <v xml:space="preserve">   Z2</v>
      </c>
      <c r="B2060" t="str">
        <f>T("   Pays non défini")</f>
        <v xml:space="preserve">   Pays non défini</v>
      </c>
      <c r="C2060">
        <v>8750000</v>
      </c>
      <c r="D2060">
        <v>272530</v>
      </c>
    </row>
    <row r="2061" spans="1:4" x14ac:dyDescent="0.25">
      <c r="A2061" t="str">
        <f>T("220410")</f>
        <v>220410</v>
      </c>
      <c r="B2061" t="str">
        <f>T("Vins mousseux produits à partir de raisins frais")</f>
        <v>Vins mousseux produits à partir de raisins frais</v>
      </c>
    </row>
    <row r="2062" spans="1:4" x14ac:dyDescent="0.25">
      <c r="A2062" t="str">
        <f>T("   ZZZ_Monde")</f>
        <v xml:space="preserve">   ZZZ_Monde</v>
      </c>
      <c r="B2062" t="str">
        <f>T("   ZZZ_Monde")</f>
        <v xml:space="preserve">   ZZZ_Monde</v>
      </c>
      <c r="C2062">
        <v>135285510</v>
      </c>
      <c r="D2062">
        <v>172992</v>
      </c>
    </row>
    <row r="2063" spans="1:4" x14ac:dyDescent="0.25">
      <c r="A2063" t="str">
        <f>T("   BE")</f>
        <v xml:space="preserve">   BE</v>
      </c>
      <c r="B2063" t="str">
        <f>T("   Belgique")</f>
        <v xml:space="preserve">   Belgique</v>
      </c>
      <c r="C2063">
        <v>11466837</v>
      </c>
      <c r="D2063">
        <v>3252</v>
      </c>
    </row>
    <row r="2064" spans="1:4" x14ac:dyDescent="0.25">
      <c r="A2064" t="str">
        <f>T("   BG")</f>
        <v xml:space="preserve">   BG</v>
      </c>
      <c r="B2064" t="str">
        <f>T("   Bulgarie")</f>
        <v xml:space="preserve">   Bulgarie</v>
      </c>
      <c r="C2064">
        <v>2421857</v>
      </c>
      <c r="D2064">
        <v>3672</v>
      </c>
    </row>
    <row r="2065" spans="1:4" x14ac:dyDescent="0.25">
      <c r="A2065" t="str">
        <f>T("   CN")</f>
        <v xml:space="preserve">   CN</v>
      </c>
      <c r="B2065" t="str">
        <f>T("   Chine")</f>
        <v xml:space="preserve">   Chine</v>
      </c>
      <c r="C2065">
        <v>1000000</v>
      </c>
      <c r="D2065">
        <v>13000</v>
      </c>
    </row>
    <row r="2066" spans="1:4" x14ac:dyDescent="0.25">
      <c r="A2066" t="str">
        <f>T("   ES")</f>
        <v xml:space="preserve">   ES</v>
      </c>
      <c r="B2066" t="str">
        <f>T("   Espagne")</f>
        <v xml:space="preserve">   Espagne</v>
      </c>
      <c r="C2066">
        <v>13300541</v>
      </c>
      <c r="D2066">
        <v>40885</v>
      </c>
    </row>
    <row r="2067" spans="1:4" x14ac:dyDescent="0.25">
      <c r="A2067" t="str">
        <f>T("   FR")</f>
        <v xml:space="preserve">   FR</v>
      </c>
      <c r="B2067" t="str">
        <f>T("   France")</f>
        <v xml:space="preserve">   France</v>
      </c>
      <c r="C2067">
        <v>101331200</v>
      </c>
      <c r="D2067">
        <v>69351</v>
      </c>
    </row>
    <row r="2068" spans="1:4" x14ac:dyDescent="0.25">
      <c r="A2068" t="str">
        <f>T("   IT")</f>
        <v xml:space="preserve">   IT</v>
      </c>
      <c r="B2068" t="str">
        <f>T("   Italie")</f>
        <v xml:space="preserve">   Italie</v>
      </c>
      <c r="C2068">
        <v>7957</v>
      </c>
      <c r="D2068">
        <v>15</v>
      </c>
    </row>
    <row r="2069" spans="1:4" x14ac:dyDescent="0.25">
      <c r="A2069" t="str">
        <f>T("   TG")</f>
        <v xml:space="preserve">   TG</v>
      </c>
      <c r="B2069" t="str">
        <f>T("   Togo")</f>
        <v xml:space="preserve">   Togo</v>
      </c>
      <c r="C2069">
        <v>4663501</v>
      </c>
      <c r="D2069">
        <v>40685</v>
      </c>
    </row>
    <row r="2070" spans="1:4" x14ac:dyDescent="0.25">
      <c r="A2070" t="str">
        <f>T("   ZA")</f>
        <v xml:space="preserve">   ZA</v>
      </c>
      <c r="B2070" t="str">
        <f>T("   Afrique du Sud")</f>
        <v xml:space="preserve">   Afrique du Sud</v>
      </c>
      <c r="C2070">
        <v>1093617</v>
      </c>
      <c r="D2070">
        <v>2132</v>
      </c>
    </row>
    <row r="2071" spans="1:4" x14ac:dyDescent="0.25">
      <c r="A2071" t="str">
        <f>T("220421")</f>
        <v>220421</v>
      </c>
      <c r="B2071" t="str">
        <f>T("Vins de raisins frais, y.c. les vins enrichis en alcool (à l'excl. des vins mousseux); moûts de raisins dont la fermentation a été empêchée ou arrêtée par addition d'alcool, en récipients d'une contenance &lt;= 2 l")</f>
        <v>Vins de raisins frais, y.c. les vins enrichis en alcool (à l'excl. des vins mousseux); moûts de raisins dont la fermentation a été empêchée ou arrêtée par addition d'alcool, en récipients d'une contenance &lt;= 2 l</v>
      </c>
    </row>
    <row r="2072" spans="1:4" x14ac:dyDescent="0.25">
      <c r="A2072" t="str">
        <f>T("   ZZZ_Monde")</f>
        <v xml:space="preserve">   ZZZ_Monde</v>
      </c>
      <c r="B2072" t="str">
        <f>T("   ZZZ_Monde")</f>
        <v xml:space="preserve">   ZZZ_Monde</v>
      </c>
      <c r="C2072">
        <v>1442058469</v>
      </c>
      <c r="D2072">
        <v>5325836</v>
      </c>
    </row>
    <row r="2073" spans="1:4" x14ac:dyDescent="0.25">
      <c r="A2073" t="str">
        <f>T("   BE")</f>
        <v xml:space="preserve">   BE</v>
      </c>
      <c r="B2073" t="str">
        <f>T("   Belgique")</f>
        <v xml:space="preserve">   Belgique</v>
      </c>
      <c r="C2073">
        <v>6850408</v>
      </c>
      <c r="D2073">
        <v>14041</v>
      </c>
    </row>
    <row r="2074" spans="1:4" x14ac:dyDescent="0.25">
      <c r="A2074" t="str">
        <f>T("   BG")</f>
        <v xml:space="preserve">   BG</v>
      </c>
      <c r="B2074" t="str">
        <f>T("   Bulgarie")</f>
        <v xml:space="preserve">   Bulgarie</v>
      </c>
      <c r="C2074">
        <v>5956701</v>
      </c>
      <c r="D2074">
        <v>10742</v>
      </c>
    </row>
    <row r="2075" spans="1:4" x14ac:dyDescent="0.25">
      <c r="A2075" t="str">
        <f>T("   CA")</f>
        <v xml:space="preserve">   CA</v>
      </c>
      <c r="B2075" t="str">
        <f>T("   Canada")</f>
        <v xml:space="preserve">   Canada</v>
      </c>
      <c r="C2075">
        <v>150000</v>
      </c>
      <c r="D2075">
        <v>45</v>
      </c>
    </row>
    <row r="2076" spans="1:4" x14ac:dyDescent="0.25">
      <c r="A2076" t="str">
        <f>T("   CN")</f>
        <v xml:space="preserve">   CN</v>
      </c>
      <c r="B2076" t="str">
        <f>T("   Chine")</f>
        <v xml:space="preserve">   Chine</v>
      </c>
      <c r="C2076">
        <v>12000000</v>
      </c>
      <c r="D2076">
        <v>81883</v>
      </c>
    </row>
    <row r="2077" spans="1:4" x14ac:dyDescent="0.25">
      <c r="A2077" t="str">
        <f>T("   ES")</f>
        <v xml:space="preserve">   ES</v>
      </c>
      <c r="B2077" t="str">
        <f>T("   Espagne")</f>
        <v xml:space="preserve">   Espagne</v>
      </c>
      <c r="C2077">
        <v>862791118</v>
      </c>
      <c r="D2077">
        <v>4084138</v>
      </c>
    </row>
    <row r="2078" spans="1:4" x14ac:dyDescent="0.25">
      <c r="A2078" t="str">
        <f>T("   FR")</f>
        <v xml:space="preserve">   FR</v>
      </c>
      <c r="B2078" t="str">
        <f>T("   France")</f>
        <v xml:space="preserve">   France</v>
      </c>
      <c r="C2078">
        <v>473632986</v>
      </c>
      <c r="D2078">
        <v>680236</v>
      </c>
    </row>
    <row r="2079" spans="1:4" x14ac:dyDescent="0.25">
      <c r="A2079" t="str">
        <f>T("   IT")</f>
        <v xml:space="preserve">   IT</v>
      </c>
      <c r="B2079" t="str">
        <f>T("   Italie")</f>
        <v xml:space="preserve">   Italie</v>
      </c>
      <c r="C2079">
        <v>90044</v>
      </c>
      <c r="D2079">
        <v>165</v>
      </c>
    </row>
    <row r="2080" spans="1:4" x14ac:dyDescent="0.25">
      <c r="A2080" t="str">
        <f>T("   NG")</f>
        <v xml:space="preserve">   NG</v>
      </c>
      <c r="B2080" t="str">
        <f>T("   Nigéria")</f>
        <v xml:space="preserve">   Nigéria</v>
      </c>
      <c r="C2080">
        <v>507100</v>
      </c>
      <c r="D2080">
        <v>500</v>
      </c>
    </row>
    <row r="2081" spans="1:4" x14ac:dyDescent="0.25">
      <c r="A2081" t="str">
        <f>T("   PT")</f>
        <v xml:space="preserve">   PT</v>
      </c>
      <c r="B2081" t="str">
        <f>T("   Portugal")</f>
        <v xml:space="preserve">   Portugal</v>
      </c>
      <c r="C2081">
        <v>14442271</v>
      </c>
      <c r="D2081">
        <v>48168</v>
      </c>
    </row>
    <row r="2082" spans="1:4" x14ac:dyDescent="0.25">
      <c r="A2082" t="str">
        <f>T("   TG")</f>
        <v xml:space="preserve">   TG</v>
      </c>
      <c r="B2082" t="str">
        <f>T("   Togo")</f>
        <v xml:space="preserve">   Togo</v>
      </c>
      <c r="C2082">
        <v>57195411</v>
      </c>
      <c r="D2082">
        <v>381143</v>
      </c>
    </row>
    <row r="2083" spans="1:4" x14ac:dyDescent="0.25">
      <c r="A2083" t="str">
        <f>T("   ZA")</f>
        <v xml:space="preserve">   ZA</v>
      </c>
      <c r="B2083" t="str">
        <f>T("   Afrique du Sud")</f>
        <v xml:space="preserve">   Afrique du Sud</v>
      </c>
      <c r="C2083">
        <v>8442430</v>
      </c>
      <c r="D2083">
        <v>24775</v>
      </c>
    </row>
    <row r="2084" spans="1:4" x14ac:dyDescent="0.25">
      <c r="A2084" t="str">
        <f>T("220429")</f>
        <v>220429</v>
      </c>
      <c r="B2084" t="str">
        <f>T("VINS DE RAISINS FRAIS, Y.C. LES VINS ENRICHIS EN ALCOOL, ET MOÛTS DE RAISINS DONT LA FERMENTATION A ÉTÉ EMPÊCHÉE OU ARRÊTÉE PAR ADDITION D'ALCOOL, EN RÉCIPIENTS D'UNE CONTENANCE &gt; 2 L (À L'EXCL. DES VINS MOUSSEUX)")</f>
        <v>VINS DE RAISINS FRAIS, Y.C. LES VINS ENRICHIS EN ALCOOL, ET MOÛTS DE RAISINS DONT LA FERMENTATION A ÉTÉ EMPÊCHÉE OU ARRÊTÉE PAR ADDITION D'ALCOOL, EN RÉCIPIENTS D'UNE CONTENANCE &gt; 2 L (À L'EXCL. DES VINS MOUSSEUX)</v>
      </c>
    </row>
    <row r="2085" spans="1:4" x14ac:dyDescent="0.25">
      <c r="A2085" t="str">
        <f>T("   ZZZ_Monde")</f>
        <v xml:space="preserve">   ZZZ_Monde</v>
      </c>
      <c r="B2085" t="str">
        <f>T("   ZZZ_Monde")</f>
        <v xml:space="preserve">   ZZZ_Monde</v>
      </c>
      <c r="C2085">
        <v>194113982</v>
      </c>
      <c r="D2085">
        <v>663073</v>
      </c>
    </row>
    <row r="2086" spans="1:4" x14ac:dyDescent="0.25">
      <c r="A2086" t="str">
        <f>T("   BE")</f>
        <v xml:space="preserve">   BE</v>
      </c>
      <c r="B2086" t="str">
        <f>T("   Belgique")</f>
        <v xml:space="preserve">   Belgique</v>
      </c>
      <c r="C2086">
        <v>77477</v>
      </c>
      <c r="D2086">
        <v>960</v>
      </c>
    </row>
    <row r="2087" spans="1:4" x14ac:dyDescent="0.25">
      <c r="A2087" t="str">
        <f>T("   BG")</f>
        <v xml:space="preserve">   BG</v>
      </c>
      <c r="B2087" t="str">
        <f>T("   Bulgarie")</f>
        <v xml:space="preserve">   Bulgarie</v>
      </c>
      <c r="C2087">
        <v>4395955</v>
      </c>
      <c r="D2087">
        <v>14512</v>
      </c>
    </row>
    <row r="2088" spans="1:4" x14ac:dyDescent="0.25">
      <c r="A2088" t="str">
        <f>T("   CN")</f>
        <v xml:space="preserve">   CN</v>
      </c>
      <c r="B2088" t="str">
        <f>T("   Chine")</f>
        <v xml:space="preserve">   Chine</v>
      </c>
      <c r="C2088">
        <v>5000000</v>
      </c>
      <c r="D2088">
        <v>44870</v>
      </c>
    </row>
    <row r="2089" spans="1:4" x14ac:dyDescent="0.25">
      <c r="A2089" t="str">
        <f>T("   DE")</f>
        <v xml:space="preserve">   DE</v>
      </c>
      <c r="B2089" t="str">
        <f>T("   Allemagne")</f>
        <v xml:space="preserve">   Allemagne</v>
      </c>
      <c r="C2089">
        <v>3542184</v>
      </c>
      <c r="D2089">
        <v>7998</v>
      </c>
    </row>
    <row r="2090" spans="1:4" x14ac:dyDescent="0.25">
      <c r="A2090" t="str">
        <f>T("   ES")</f>
        <v xml:space="preserve">   ES</v>
      </c>
      <c r="B2090" t="str">
        <f>T("   Espagne")</f>
        <v xml:space="preserve">   Espagne</v>
      </c>
      <c r="C2090">
        <v>41745803</v>
      </c>
      <c r="D2090">
        <v>208642</v>
      </c>
    </row>
    <row r="2091" spans="1:4" x14ac:dyDescent="0.25">
      <c r="A2091" t="str">
        <f>T("   FR")</f>
        <v xml:space="preserve">   FR</v>
      </c>
      <c r="B2091" t="str">
        <f>T("   France")</f>
        <v xml:space="preserve">   France</v>
      </c>
      <c r="C2091">
        <v>84664507</v>
      </c>
      <c r="D2091">
        <v>217763</v>
      </c>
    </row>
    <row r="2092" spans="1:4" x14ac:dyDescent="0.25">
      <c r="A2092" t="str">
        <f>T("   GB")</f>
        <v xml:space="preserve">   GB</v>
      </c>
      <c r="B2092" t="str">
        <f>T("   Royaume-Uni")</f>
        <v xml:space="preserve">   Royaume-Uni</v>
      </c>
      <c r="C2092">
        <v>5902249</v>
      </c>
      <c r="D2092">
        <v>35733</v>
      </c>
    </row>
    <row r="2093" spans="1:4" x14ac:dyDescent="0.25">
      <c r="A2093" t="str">
        <f>T("   IT")</f>
        <v xml:space="preserve">   IT</v>
      </c>
      <c r="B2093" t="str">
        <f>T("   Italie")</f>
        <v xml:space="preserve">   Italie</v>
      </c>
      <c r="C2093">
        <v>13274663</v>
      </c>
      <c r="D2093">
        <v>14466</v>
      </c>
    </row>
    <row r="2094" spans="1:4" x14ac:dyDescent="0.25">
      <c r="A2094" t="str">
        <f>T("   MG")</f>
        <v xml:space="preserve">   MG</v>
      </c>
      <c r="B2094" t="str">
        <f>T("   Madagascar")</f>
        <v xml:space="preserve">   Madagascar</v>
      </c>
      <c r="C2094">
        <v>3663167</v>
      </c>
      <c r="D2094">
        <v>19942</v>
      </c>
    </row>
    <row r="2095" spans="1:4" x14ac:dyDescent="0.25">
      <c r="A2095" t="str">
        <f>T("   TG")</f>
        <v xml:space="preserve">   TG</v>
      </c>
      <c r="B2095" t="str">
        <f>T("   Togo")</f>
        <v xml:space="preserve">   Togo</v>
      </c>
      <c r="C2095">
        <v>10887000</v>
      </c>
      <c r="D2095">
        <v>40350</v>
      </c>
    </row>
    <row r="2096" spans="1:4" x14ac:dyDescent="0.25">
      <c r="A2096" t="str">
        <f>T("   ZA")</f>
        <v xml:space="preserve">   ZA</v>
      </c>
      <c r="B2096" t="str">
        <f>T("   Afrique du Sud")</f>
        <v xml:space="preserve">   Afrique du Sud</v>
      </c>
      <c r="C2096">
        <v>20960977</v>
      </c>
      <c r="D2096">
        <v>57837</v>
      </c>
    </row>
    <row r="2097" spans="1:4" x14ac:dyDescent="0.25">
      <c r="A2097" t="str">
        <f>T("220510")</f>
        <v>220510</v>
      </c>
      <c r="B2097" t="str">
        <f>T("Vermouths et autres vins de raisins frais préparés à l'aide de plantes ou de substances aromatiques, en récipients d'une contenance &lt;= 2 l")</f>
        <v>Vermouths et autres vins de raisins frais préparés à l'aide de plantes ou de substances aromatiques, en récipients d'une contenance &lt;= 2 l</v>
      </c>
    </row>
    <row r="2098" spans="1:4" x14ac:dyDescent="0.25">
      <c r="A2098" t="str">
        <f>T("   ZZZ_Monde")</f>
        <v xml:space="preserve">   ZZZ_Monde</v>
      </c>
      <c r="B2098" t="str">
        <f>T("   ZZZ_Monde")</f>
        <v xml:space="preserve">   ZZZ_Monde</v>
      </c>
      <c r="C2098">
        <v>290074328</v>
      </c>
      <c r="D2098">
        <v>1126171</v>
      </c>
    </row>
    <row r="2099" spans="1:4" x14ac:dyDescent="0.25">
      <c r="A2099" t="str">
        <f>T("   BG")</f>
        <v xml:space="preserve">   BG</v>
      </c>
      <c r="B2099" t="str">
        <f>T("   Bulgarie")</f>
        <v xml:space="preserve">   Bulgarie</v>
      </c>
      <c r="C2099">
        <v>952224</v>
      </c>
      <c r="D2099">
        <v>2015</v>
      </c>
    </row>
    <row r="2100" spans="1:4" x14ac:dyDescent="0.25">
      <c r="A2100" t="str">
        <f>T("   ES")</f>
        <v xml:space="preserve">   ES</v>
      </c>
      <c r="B2100" t="str">
        <f>T("   Espagne")</f>
        <v xml:space="preserve">   Espagne</v>
      </c>
      <c r="C2100">
        <v>191206489</v>
      </c>
      <c r="D2100">
        <v>927249</v>
      </c>
    </row>
    <row r="2101" spans="1:4" x14ac:dyDescent="0.25">
      <c r="A2101" t="str">
        <f>T("   FR")</f>
        <v xml:space="preserve">   FR</v>
      </c>
      <c r="B2101" t="str">
        <f>T("   France")</f>
        <v xml:space="preserve">   France</v>
      </c>
      <c r="C2101">
        <v>28546042</v>
      </c>
      <c r="D2101">
        <v>62445</v>
      </c>
    </row>
    <row r="2102" spans="1:4" x14ac:dyDescent="0.25">
      <c r="A2102" t="str">
        <f>T("   IT")</f>
        <v xml:space="preserve">   IT</v>
      </c>
      <c r="B2102" t="str">
        <f>T("   Italie")</f>
        <v xml:space="preserve">   Italie</v>
      </c>
      <c r="C2102">
        <v>52869573</v>
      </c>
      <c r="D2102">
        <v>99862</v>
      </c>
    </row>
    <row r="2103" spans="1:4" x14ac:dyDescent="0.25">
      <c r="A2103" t="str">
        <f>T("   TG")</f>
        <v xml:space="preserve">   TG</v>
      </c>
      <c r="B2103" t="str">
        <f>T("   Togo")</f>
        <v xml:space="preserve">   Togo</v>
      </c>
      <c r="C2103">
        <v>16500000</v>
      </c>
      <c r="D2103">
        <v>34600</v>
      </c>
    </row>
    <row r="2104" spans="1:4" x14ac:dyDescent="0.25">
      <c r="A2104" t="str">
        <f>T("220590")</f>
        <v>220590</v>
      </c>
      <c r="B2104" t="str">
        <f>T("Vermouths et autres vins de raisins frais préparés à l'aide de plantes ou de substances aromatiques, en récipients d'une contenance &gt; 2 l")</f>
        <v>Vermouths et autres vins de raisins frais préparés à l'aide de plantes ou de substances aromatiques, en récipients d'une contenance &gt; 2 l</v>
      </c>
    </row>
    <row r="2105" spans="1:4" x14ac:dyDescent="0.25">
      <c r="A2105" t="str">
        <f>T("   ZZZ_Monde")</f>
        <v xml:space="preserve">   ZZZ_Monde</v>
      </c>
      <c r="B2105" t="str">
        <f>T("   ZZZ_Monde")</f>
        <v xml:space="preserve">   ZZZ_Monde</v>
      </c>
      <c r="C2105">
        <v>7100000</v>
      </c>
      <c r="D2105">
        <v>4050</v>
      </c>
    </row>
    <row r="2106" spans="1:4" x14ac:dyDescent="0.25">
      <c r="A2106" t="str">
        <f>T("   CN")</f>
        <v xml:space="preserve">   CN</v>
      </c>
      <c r="B2106" t="str">
        <f>T("   Chine")</f>
        <v xml:space="preserve">   Chine</v>
      </c>
      <c r="C2106">
        <v>7000000</v>
      </c>
      <c r="D2106">
        <v>4000</v>
      </c>
    </row>
    <row r="2107" spans="1:4" x14ac:dyDescent="0.25">
      <c r="A2107" t="str">
        <f>T("   FR")</f>
        <v xml:space="preserve">   FR</v>
      </c>
      <c r="B2107" t="str">
        <f>T("   France")</f>
        <v xml:space="preserve">   France</v>
      </c>
      <c r="C2107">
        <v>100000</v>
      </c>
      <c r="D2107">
        <v>50</v>
      </c>
    </row>
    <row r="2108" spans="1:4" x14ac:dyDescent="0.25">
      <c r="A2108" t="str">
        <f>T("220600")</f>
        <v>220600</v>
      </c>
      <c r="B2108" t="str">
        <f>T("CIDRE, POIRÉ, HYDROMEL ET AUTRES BOISSONS FERMENTÉES; MÉLANGES DE BOISSONS FERMENTÉES ET MÉLANGES DE BOISSONS FERMENTÉES ET DE BOISSONS NON-ALCOOLIQUES, N.D.A. (À L'EXCL. DE LA BIÈRE, DES VINS DE RAISINS FRAIS, DES MOÛTS DE RAISINS AINSI QUE DES VERMOUTHS")</f>
        <v>CIDRE, POIRÉ, HYDROMEL ET AUTRES BOISSONS FERMENTÉES; MÉLANGES DE BOISSONS FERMENTÉES ET MÉLANGES DE BOISSONS FERMENTÉES ET DE BOISSONS NON-ALCOOLIQUES, N.D.A. (À L'EXCL. DE LA BIÈRE, DES VINS DE RAISINS FRAIS, DES MOÛTS DE RAISINS AINSI QUE DES VERMOUTHS</v>
      </c>
    </row>
    <row r="2109" spans="1:4" x14ac:dyDescent="0.25">
      <c r="A2109" t="str">
        <f>T("   ZZZ_Monde")</f>
        <v xml:space="preserve">   ZZZ_Monde</v>
      </c>
      <c r="B2109" t="str">
        <f>T("   ZZZ_Monde")</f>
        <v xml:space="preserve">   ZZZ_Monde</v>
      </c>
      <c r="C2109">
        <v>169466244</v>
      </c>
      <c r="D2109">
        <v>697411</v>
      </c>
    </row>
    <row r="2110" spans="1:4" x14ac:dyDescent="0.25">
      <c r="A2110" t="str">
        <f>T("   BE")</f>
        <v xml:space="preserve">   BE</v>
      </c>
      <c r="B2110" t="str">
        <f>T("   Belgique")</f>
        <v xml:space="preserve">   Belgique</v>
      </c>
      <c r="C2110">
        <v>21075414</v>
      </c>
      <c r="D2110">
        <v>96518</v>
      </c>
    </row>
    <row r="2111" spans="1:4" x14ac:dyDescent="0.25">
      <c r="A2111" t="str">
        <f>T("   DE")</f>
        <v xml:space="preserve">   DE</v>
      </c>
      <c r="B2111" t="str">
        <f>T("   Allemagne")</f>
        <v xml:space="preserve">   Allemagne</v>
      </c>
      <c r="C2111">
        <v>15201890</v>
      </c>
      <c r="D2111">
        <v>78724</v>
      </c>
    </row>
    <row r="2112" spans="1:4" x14ac:dyDescent="0.25">
      <c r="A2112" t="str">
        <f>T("   DK")</f>
        <v xml:space="preserve">   DK</v>
      </c>
      <c r="B2112" t="str">
        <f>T("   Danemark")</f>
        <v xml:space="preserve">   Danemark</v>
      </c>
      <c r="C2112">
        <v>9000000</v>
      </c>
      <c r="D2112">
        <v>19368</v>
      </c>
    </row>
    <row r="2113" spans="1:4" x14ac:dyDescent="0.25">
      <c r="A2113" t="str">
        <f>T("   ES")</f>
        <v xml:space="preserve">   ES</v>
      </c>
      <c r="B2113" t="str">
        <f>T("   Espagne")</f>
        <v xml:space="preserve">   Espagne</v>
      </c>
      <c r="C2113">
        <v>49391164</v>
      </c>
      <c r="D2113">
        <v>173312</v>
      </c>
    </row>
    <row r="2114" spans="1:4" x14ac:dyDescent="0.25">
      <c r="A2114" t="str">
        <f>T("   FR")</f>
        <v xml:space="preserve">   FR</v>
      </c>
      <c r="B2114" t="str">
        <f>T("   France")</f>
        <v xml:space="preserve">   France</v>
      </c>
      <c r="C2114">
        <v>62683549</v>
      </c>
      <c r="D2114">
        <v>272679</v>
      </c>
    </row>
    <row r="2115" spans="1:4" x14ac:dyDescent="0.25">
      <c r="A2115" t="str">
        <f>T("   GH")</f>
        <v xml:space="preserve">   GH</v>
      </c>
      <c r="B2115" t="str">
        <f>T("   Ghana")</f>
        <v xml:space="preserve">   Ghana</v>
      </c>
      <c r="C2115">
        <v>472000</v>
      </c>
      <c r="D2115">
        <v>1749</v>
      </c>
    </row>
    <row r="2116" spans="1:4" x14ac:dyDescent="0.25">
      <c r="A2116" t="str">
        <f>T("   JP")</f>
        <v xml:space="preserve">   JP</v>
      </c>
      <c r="B2116" t="str">
        <f>T("   Japon")</f>
        <v xml:space="preserve">   Japon</v>
      </c>
      <c r="C2116">
        <v>4000000</v>
      </c>
      <c r="D2116">
        <v>28571</v>
      </c>
    </row>
    <row r="2117" spans="1:4" x14ac:dyDescent="0.25">
      <c r="A2117" t="str">
        <f>T("   LB")</f>
        <v xml:space="preserve">   LB</v>
      </c>
      <c r="B2117" t="str">
        <f>T("   Liban")</f>
        <v xml:space="preserve">   Liban</v>
      </c>
      <c r="C2117">
        <v>1887382</v>
      </c>
      <c r="D2117">
        <v>7236</v>
      </c>
    </row>
    <row r="2118" spans="1:4" x14ac:dyDescent="0.25">
      <c r="A2118" t="str">
        <f>T("   SG")</f>
        <v xml:space="preserve">   SG</v>
      </c>
      <c r="B2118" t="str">
        <f>T("   Singapour")</f>
        <v xml:space="preserve">   Singapour</v>
      </c>
      <c r="C2118">
        <v>5754845</v>
      </c>
      <c r="D2118">
        <v>19254</v>
      </c>
    </row>
    <row r="2119" spans="1:4" x14ac:dyDescent="0.25">
      <c r="A2119" t="str">
        <f>T("220710")</f>
        <v>220710</v>
      </c>
      <c r="B2119" t="str">
        <f>T("Alcool éthylique non dénaturé d'un titre alcoométrique volumique &gt;= 80% vol")</f>
        <v>Alcool éthylique non dénaturé d'un titre alcoométrique volumique &gt;= 80% vol</v>
      </c>
    </row>
    <row r="2120" spans="1:4" x14ac:dyDescent="0.25">
      <c r="A2120" t="str">
        <f>T("   ZZZ_Monde")</f>
        <v xml:space="preserve">   ZZZ_Monde</v>
      </c>
      <c r="B2120" t="str">
        <f>T("   ZZZ_Monde")</f>
        <v xml:space="preserve">   ZZZ_Monde</v>
      </c>
      <c r="C2120">
        <v>194077529</v>
      </c>
      <c r="D2120">
        <v>637537.19999999995</v>
      </c>
    </row>
    <row r="2121" spans="1:4" x14ac:dyDescent="0.25">
      <c r="A2121" t="str">
        <f>T("   CH")</f>
        <v xml:space="preserve">   CH</v>
      </c>
      <c r="B2121" t="str">
        <f>T("   Suisse")</f>
        <v xml:space="preserve">   Suisse</v>
      </c>
      <c r="C2121">
        <v>680591</v>
      </c>
      <c r="D2121">
        <v>26</v>
      </c>
    </row>
    <row r="2122" spans="1:4" x14ac:dyDescent="0.25">
      <c r="A2122" t="str">
        <f>T("   CN")</f>
        <v xml:space="preserve">   CN</v>
      </c>
      <c r="B2122" t="str">
        <f>T("   Chine")</f>
        <v xml:space="preserve">   Chine</v>
      </c>
      <c r="C2122">
        <v>131192000</v>
      </c>
      <c r="D2122">
        <v>423400</v>
      </c>
    </row>
    <row r="2123" spans="1:4" x14ac:dyDescent="0.25">
      <c r="A2123" t="str">
        <f>T("   GH")</f>
        <v xml:space="preserve">   GH</v>
      </c>
      <c r="B2123" t="str">
        <f>T("   Ghana")</f>
        <v xml:space="preserve">   Ghana</v>
      </c>
      <c r="C2123">
        <v>1150000</v>
      </c>
      <c r="D2123">
        <v>7210</v>
      </c>
    </row>
    <row r="2124" spans="1:4" x14ac:dyDescent="0.25">
      <c r="A2124" t="str">
        <f>T("   IN")</f>
        <v xml:space="preserve">   IN</v>
      </c>
      <c r="B2124" t="str">
        <f>T("   Inde")</f>
        <v xml:space="preserve">   Inde</v>
      </c>
      <c r="C2124">
        <v>8040329</v>
      </c>
      <c r="D2124">
        <v>33600</v>
      </c>
    </row>
    <row r="2125" spans="1:4" x14ac:dyDescent="0.25">
      <c r="A2125" t="str">
        <f>T("   LB")</f>
        <v xml:space="preserve">   LB</v>
      </c>
      <c r="B2125" t="str">
        <f>T("   Liban")</f>
        <v xml:space="preserve">   Liban</v>
      </c>
      <c r="C2125">
        <v>36005</v>
      </c>
      <c r="D2125">
        <v>70.2</v>
      </c>
    </row>
    <row r="2126" spans="1:4" x14ac:dyDescent="0.25">
      <c r="A2126" t="str">
        <f>T("   MG")</f>
        <v xml:space="preserve">   MG</v>
      </c>
      <c r="B2126" t="str">
        <f>T("   Madagascar")</f>
        <v xml:space="preserve">   Madagascar</v>
      </c>
      <c r="C2126">
        <v>52589625</v>
      </c>
      <c r="D2126">
        <v>169011</v>
      </c>
    </row>
    <row r="2127" spans="1:4" x14ac:dyDescent="0.25">
      <c r="A2127" t="str">
        <f>T("   TG")</f>
        <v xml:space="preserve">   TG</v>
      </c>
      <c r="B2127" t="str">
        <f>T("   Togo")</f>
        <v xml:space="preserve">   Togo</v>
      </c>
      <c r="C2127">
        <v>388979</v>
      </c>
      <c r="D2127">
        <v>4220</v>
      </c>
    </row>
    <row r="2128" spans="1:4" x14ac:dyDescent="0.25">
      <c r="A2128" t="str">
        <f>T("220720")</f>
        <v>220720</v>
      </c>
      <c r="B2128" t="str">
        <f>T("Alcool éthylique et eaux-de-vie dénaturés de tous titres")</f>
        <v>Alcool éthylique et eaux-de-vie dénaturés de tous titres</v>
      </c>
    </row>
    <row r="2129" spans="1:4" x14ac:dyDescent="0.25">
      <c r="A2129" t="str">
        <f>T("   ZZZ_Monde")</f>
        <v xml:space="preserve">   ZZZ_Monde</v>
      </c>
      <c r="B2129" t="str">
        <f>T("   ZZZ_Monde")</f>
        <v xml:space="preserve">   ZZZ_Monde</v>
      </c>
      <c r="C2129">
        <v>347116</v>
      </c>
      <c r="D2129">
        <v>374</v>
      </c>
    </row>
    <row r="2130" spans="1:4" x14ac:dyDescent="0.25">
      <c r="A2130" t="str">
        <f>T("   BE")</f>
        <v xml:space="preserve">   BE</v>
      </c>
      <c r="B2130" t="str">
        <f>T("   Belgique")</f>
        <v xml:space="preserve">   Belgique</v>
      </c>
      <c r="C2130">
        <v>206628</v>
      </c>
      <c r="D2130">
        <v>168</v>
      </c>
    </row>
    <row r="2131" spans="1:4" x14ac:dyDescent="0.25">
      <c r="A2131" t="str">
        <f>T("   FR")</f>
        <v xml:space="preserve">   FR</v>
      </c>
      <c r="B2131" t="str">
        <f>T("   France")</f>
        <v xml:space="preserve">   France</v>
      </c>
      <c r="C2131">
        <v>33454</v>
      </c>
      <c r="D2131">
        <v>6</v>
      </c>
    </row>
    <row r="2132" spans="1:4" x14ac:dyDescent="0.25">
      <c r="A2132" t="str">
        <f>T("   LB")</f>
        <v xml:space="preserve">   LB</v>
      </c>
      <c r="B2132" t="str">
        <f>T("   Liban")</f>
        <v xml:space="preserve">   Liban</v>
      </c>
      <c r="C2132">
        <v>107034</v>
      </c>
      <c r="D2132">
        <v>200</v>
      </c>
    </row>
    <row r="2133" spans="1:4" x14ac:dyDescent="0.25">
      <c r="A2133" t="str">
        <f>T("220820")</f>
        <v>220820</v>
      </c>
      <c r="B2133" t="str">
        <f>T("Eaux-de-vie de vin ou de marc de raisins")</f>
        <v>Eaux-de-vie de vin ou de marc de raisins</v>
      </c>
    </row>
    <row r="2134" spans="1:4" x14ac:dyDescent="0.25">
      <c r="A2134" t="str">
        <f>T("   ZZZ_Monde")</f>
        <v xml:space="preserve">   ZZZ_Monde</v>
      </c>
      <c r="B2134" t="str">
        <f>T("   ZZZ_Monde")</f>
        <v xml:space="preserve">   ZZZ_Monde</v>
      </c>
      <c r="C2134">
        <v>9934407</v>
      </c>
      <c r="D2134">
        <v>7579</v>
      </c>
    </row>
    <row r="2135" spans="1:4" x14ac:dyDescent="0.25">
      <c r="A2135" t="str">
        <f>T("   BG")</f>
        <v xml:space="preserve">   BG</v>
      </c>
      <c r="B2135" t="str">
        <f>T("   Bulgarie")</f>
        <v xml:space="preserve">   Bulgarie</v>
      </c>
      <c r="C2135">
        <v>177292</v>
      </c>
      <c r="D2135">
        <v>285</v>
      </c>
    </row>
    <row r="2136" spans="1:4" x14ac:dyDescent="0.25">
      <c r="A2136" t="str">
        <f>T("   CY")</f>
        <v xml:space="preserve">   CY</v>
      </c>
      <c r="B2136" t="str">
        <f>T("   Chypre")</f>
        <v xml:space="preserve">   Chypre</v>
      </c>
      <c r="C2136">
        <v>4340422</v>
      </c>
      <c r="D2136">
        <v>2410</v>
      </c>
    </row>
    <row r="2137" spans="1:4" x14ac:dyDescent="0.25">
      <c r="A2137" t="str">
        <f>T("   FR")</f>
        <v xml:space="preserve">   FR</v>
      </c>
      <c r="B2137" t="str">
        <f>T("   France")</f>
        <v xml:space="preserve">   France</v>
      </c>
      <c r="C2137">
        <v>4315816</v>
      </c>
      <c r="D2137">
        <v>1703</v>
      </c>
    </row>
    <row r="2138" spans="1:4" x14ac:dyDescent="0.25">
      <c r="A2138" t="str">
        <f>T("   IN")</f>
        <v xml:space="preserve">   IN</v>
      </c>
      <c r="B2138" t="str">
        <f>T("   Inde")</f>
        <v xml:space="preserve">   Inde</v>
      </c>
      <c r="C2138">
        <v>1069430</v>
      </c>
      <c r="D2138">
        <v>3124</v>
      </c>
    </row>
    <row r="2139" spans="1:4" x14ac:dyDescent="0.25">
      <c r="A2139" t="str">
        <f>T("   IT")</f>
        <v xml:space="preserve">   IT</v>
      </c>
      <c r="B2139" t="str">
        <f>T("   Italie")</f>
        <v xml:space="preserve">   Italie</v>
      </c>
      <c r="C2139">
        <v>31447</v>
      </c>
      <c r="D2139">
        <v>57</v>
      </c>
    </row>
    <row r="2140" spans="1:4" x14ac:dyDescent="0.25">
      <c r="A2140" t="str">
        <f>T("220830")</f>
        <v>220830</v>
      </c>
      <c r="B2140" t="str">
        <f>T("Whiskies")</f>
        <v>Whiskies</v>
      </c>
    </row>
    <row r="2141" spans="1:4" x14ac:dyDescent="0.25">
      <c r="A2141" t="str">
        <f>T("   ZZZ_Monde")</f>
        <v xml:space="preserve">   ZZZ_Monde</v>
      </c>
      <c r="B2141" t="str">
        <f>T("   ZZZ_Monde")</f>
        <v xml:space="preserve">   ZZZ_Monde</v>
      </c>
      <c r="C2141">
        <v>227284499</v>
      </c>
      <c r="D2141">
        <v>511473</v>
      </c>
    </row>
    <row r="2142" spans="1:4" x14ac:dyDescent="0.25">
      <c r="A2142" t="str">
        <f>T("   AE")</f>
        <v xml:space="preserve">   AE</v>
      </c>
      <c r="B2142" t="str">
        <f>T("   Emirats Arabes Unis")</f>
        <v xml:space="preserve">   Emirats Arabes Unis</v>
      </c>
      <c r="C2142">
        <v>4608950</v>
      </c>
      <c r="D2142">
        <v>10400</v>
      </c>
    </row>
    <row r="2143" spans="1:4" x14ac:dyDescent="0.25">
      <c r="A2143" t="str">
        <f>T("   BE")</f>
        <v xml:space="preserve">   BE</v>
      </c>
      <c r="B2143" t="str">
        <f>T("   Belgique")</f>
        <v xml:space="preserve">   Belgique</v>
      </c>
      <c r="C2143">
        <v>26980965</v>
      </c>
      <c r="D2143">
        <v>82414</v>
      </c>
    </row>
    <row r="2144" spans="1:4" x14ac:dyDescent="0.25">
      <c r="A2144" t="str">
        <f>T("   CN")</f>
        <v xml:space="preserve">   CN</v>
      </c>
      <c r="B2144" t="str">
        <f>T("   Chine")</f>
        <v xml:space="preserve">   Chine</v>
      </c>
      <c r="C2144">
        <v>7400000</v>
      </c>
      <c r="D2144">
        <v>13200</v>
      </c>
    </row>
    <row r="2145" spans="1:4" x14ac:dyDescent="0.25">
      <c r="A2145" t="str">
        <f>T("   CY")</f>
        <v xml:space="preserve">   CY</v>
      </c>
      <c r="B2145" t="str">
        <f>T("   Chypre")</f>
        <v xml:space="preserve">   Chypre</v>
      </c>
      <c r="C2145">
        <v>2424769</v>
      </c>
      <c r="D2145">
        <v>1205</v>
      </c>
    </row>
    <row r="2146" spans="1:4" x14ac:dyDescent="0.25">
      <c r="A2146" t="str">
        <f>T("   FR")</f>
        <v xml:space="preserve">   FR</v>
      </c>
      <c r="B2146" t="str">
        <f>T("   France")</f>
        <v xml:space="preserve">   France</v>
      </c>
      <c r="C2146">
        <v>67415102</v>
      </c>
      <c r="D2146">
        <v>63425</v>
      </c>
    </row>
    <row r="2147" spans="1:4" x14ac:dyDescent="0.25">
      <c r="A2147" t="str">
        <f>T("   IN")</f>
        <v xml:space="preserve">   IN</v>
      </c>
      <c r="B2147" t="str">
        <f>T("   Inde")</f>
        <v xml:space="preserve">   Inde</v>
      </c>
      <c r="C2147">
        <v>55154552</v>
      </c>
      <c r="D2147">
        <v>163905</v>
      </c>
    </row>
    <row r="2148" spans="1:4" x14ac:dyDescent="0.25">
      <c r="A2148" t="str">
        <f>T("   LB")</f>
        <v xml:space="preserve">   LB</v>
      </c>
      <c r="B2148" t="str">
        <f>T("   Liban")</f>
        <v xml:space="preserve">   Liban</v>
      </c>
      <c r="C2148">
        <v>684991</v>
      </c>
      <c r="D2148">
        <v>1600</v>
      </c>
    </row>
    <row r="2149" spans="1:4" x14ac:dyDescent="0.25">
      <c r="A2149" t="str">
        <f>T("   SG")</f>
        <v xml:space="preserve">   SG</v>
      </c>
      <c r="B2149" t="str">
        <f>T("   Singapour")</f>
        <v xml:space="preserve">   Singapour</v>
      </c>
      <c r="C2149">
        <v>4815420</v>
      </c>
      <c r="D2149">
        <v>21519</v>
      </c>
    </row>
    <row r="2150" spans="1:4" x14ac:dyDescent="0.25">
      <c r="A2150" t="str">
        <f>T("   TG")</f>
        <v xml:space="preserve">   TG</v>
      </c>
      <c r="B2150" t="str">
        <f>T("   Togo")</f>
        <v xml:space="preserve">   Togo</v>
      </c>
      <c r="C2150">
        <v>44965262</v>
      </c>
      <c r="D2150">
        <v>100242</v>
      </c>
    </row>
    <row r="2151" spans="1:4" x14ac:dyDescent="0.25">
      <c r="A2151" t="str">
        <f>T("   Z2")</f>
        <v xml:space="preserve">   Z2</v>
      </c>
      <c r="B2151" t="str">
        <f>T("   Pays non défini")</f>
        <v xml:space="preserve">   Pays non défini</v>
      </c>
      <c r="C2151">
        <v>2175000</v>
      </c>
      <c r="D2151">
        <v>35963</v>
      </c>
    </row>
    <row r="2152" spans="1:4" x14ac:dyDescent="0.25">
      <c r="A2152" t="str">
        <f>T("   ZA")</f>
        <v xml:space="preserve">   ZA</v>
      </c>
      <c r="B2152" t="str">
        <f>T("   Afrique du Sud")</f>
        <v xml:space="preserve">   Afrique du Sud</v>
      </c>
      <c r="C2152">
        <v>10659488</v>
      </c>
      <c r="D2152">
        <v>17600</v>
      </c>
    </row>
    <row r="2153" spans="1:4" x14ac:dyDescent="0.25">
      <c r="A2153" t="str">
        <f>T("220840")</f>
        <v>220840</v>
      </c>
      <c r="B2153" t="str">
        <f>T("RHUM ET AUTRES EAUX-DE-VIE PROVENANT DE LA DISTILLATION, APRÈS FERMENTATION, DE PRODUITS DE CANNES À SUCRE")</f>
        <v>RHUM ET AUTRES EAUX-DE-VIE PROVENANT DE LA DISTILLATION, APRÈS FERMENTATION, DE PRODUITS DE CANNES À SUCRE</v>
      </c>
    </row>
    <row r="2154" spans="1:4" x14ac:dyDescent="0.25">
      <c r="A2154" t="str">
        <f>T("   ZZZ_Monde")</f>
        <v xml:space="preserve">   ZZZ_Monde</v>
      </c>
      <c r="B2154" t="str">
        <f>T("   ZZZ_Monde")</f>
        <v xml:space="preserve">   ZZZ_Monde</v>
      </c>
      <c r="C2154">
        <v>33977317</v>
      </c>
      <c r="D2154">
        <v>80410</v>
      </c>
    </row>
    <row r="2155" spans="1:4" x14ac:dyDescent="0.25">
      <c r="A2155" t="str">
        <f>T("   BG")</f>
        <v xml:space="preserve">   BG</v>
      </c>
      <c r="B2155" t="str">
        <f>T("   Bulgarie")</f>
        <v xml:space="preserve">   Bulgarie</v>
      </c>
      <c r="C2155">
        <v>72070</v>
      </c>
      <c r="D2155">
        <v>182</v>
      </c>
    </row>
    <row r="2156" spans="1:4" x14ac:dyDescent="0.25">
      <c r="A2156" t="str">
        <f>T("   CN")</f>
        <v xml:space="preserve">   CN</v>
      </c>
      <c r="B2156" t="str">
        <f>T("   Chine")</f>
        <v xml:space="preserve">   Chine</v>
      </c>
      <c r="C2156">
        <v>6000000</v>
      </c>
      <c r="D2156">
        <v>32140</v>
      </c>
    </row>
    <row r="2157" spans="1:4" x14ac:dyDescent="0.25">
      <c r="A2157" t="str">
        <f>T("   ES")</f>
        <v xml:space="preserve">   ES</v>
      </c>
      <c r="B2157" t="str">
        <f>T("   Espagne")</f>
        <v xml:space="preserve">   Espagne</v>
      </c>
      <c r="C2157">
        <v>14743094</v>
      </c>
      <c r="D2157">
        <v>21046</v>
      </c>
    </row>
    <row r="2158" spans="1:4" x14ac:dyDescent="0.25">
      <c r="A2158" t="str">
        <f>T("   FR")</f>
        <v xml:space="preserve">   FR</v>
      </c>
      <c r="B2158" t="str">
        <f>T("   France")</f>
        <v xml:space="preserve">   France</v>
      </c>
      <c r="C2158">
        <v>13162153</v>
      </c>
      <c r="D2158">
        <v>27042</v>
      </c>
    </row>
    <row r="2159" spans="1:4" x14ac:dyDescent="0.25">
      <c r="A2159" t="str">
        <f>T("220850")</f>
        <v>220850</v>
      </c>
      <c r="B2159" t="str">
        <f>T("Gin et genièvre")</f>
        <v>Gin et genièvre</v>
      </c>
    </row>
    <row r="2160" spans="1:4" x14ac:dyDescent="0.25">
      <c r="A2160" t="str">
        <f>T("   ZZZ_Monde")</f>
        <v xml:space="preserve">   ZZZ_Monde</v>
      </c>
      <c r="B2160" t="str">
        <f>T("   ZZZ_Monde")</f>
        <v xml:space="preserve">   ZZZ_Monde</v>
      </c>
      <c r="C2160">
        <v>136961469</v>
      </c>
      <c r="D2160">
        <v>529710</v>
      </c>
    </row>
    <row r="2161" spans="1:4" x14ac:dyDescent="0.25">
      <c r="A2161" t="str">
        <f>T("   BE")</f>
        <v xml:space="preserve">   BE</v>
      </c>
      <c r="B2161" t="str">
        <f>T("   Belgique")</f>
        <v xml:space="preserve">   Belgique</v>
      </c>
      <c r="C2161">
        <v>88013472</v>
      </c>
      <c r="D2161">
        <v>338850</v>
      </c>
    </row>
    <row r="2162" spans="1:4" x14ac:dyDescent="0.25">
      <c r="A2162" t="str">
        <f>T("   BG")</f>
        <v xml:space="preserve">   BG</v>
      </c>
      <c r="B2162" t="str">
        <f>T("   Bulgarie")</f>
        <v xml:space="preserve">   Bulgarie</v>
      </c>
      <c r="C2162">
        <v>526388</v>
      </c>
      <c r="D2162">
        <v>1037</v>
      </c>
    </row>
    <row r="2163" spans="1:4" x14ac:dyDescent="0.25">
      <c r="A2163" t="str">
        <f>T("   ES")</f>
        <v xml:space="preserve">   ES</v>
      </c>
      <c r="B2163" t="str">
        <f>T("   Espagne")</f>
        <v xml:space="preserve">   Espagne</v>
      </c>
      <c r="C2163">
        <v>9750203</v>
      </c>
      <c r="D2163">
        <v>40983</v>
      </c>
    </row>
    <row r="2164" spans="1:4" x14ac:dyDescent="0.25">
      <c r="A2164" t="str">
        <f>T("   FR")</f>
        <v xml:space="preserve">   FR</v>
      </c>
      <c r="B2164" t="str">
        <f>T("   France")</f>
        <v xml:space="preserve">   France</v>
      </c>
      <c r="C2164">
        <v>33132076</v>
      </c>
      <c r="D2164">
        <v>114140</v>
      </c>
    </row>
    <row r="2165" spans="1:4" x14ac:dyDescent="0.25">
      <c r="A2165" t="str">
        <f>T("   TG")</f>
        <v xml:space="preserve">   TG</v>
      </c>
      <c r="B2165" t="str">
        <f>T("   Togo")</f>
        <v xml:space="preserve">   Togo</v>
      </c>
      <c r="C2165">
        <v>5539330</v>
      </c>
      <c r="D2165">
        <v>34700</v>
      </c>
    </row>
    <row r="2166" spans="1:4" x14ac:dyDescent="0.25">
      <c r="A2166" t="str">
        <f>T("220860")</f>
        <v>220860</v>
      </c>
      <c r="B2166" t="str">
        <f>T("VODKA")</f>
        <v>VODKA</v>
      </c>
    </row>
    <row r="2167" spans="1:4" x14ac:dyDescent="0.25">
      <c r="A2167" t="str">
        <f>T("   ZZZ_Monde")</f>
        <v xml:space="preserve">   ZZZ_Monde</v>
      </c>
      <c r="B2167" t="str">
        <f>T("   ZZZ_Monde")</f>
        <v xml:space="preserve">   ZZZ_Monde</v>
      </c>
      <c r="C2167">
        <v>20059574</v>
      </c>
      <c r="D2167">
        <v>45742</v>
      </c>
    </row>
    <row r="2168" spans="1:4" x14ac:dyDescent="0.25">
      <c r="A2168" t="str">
        <f>T("   BE")</f>
        <v xml:space="preserve">   BE</v>
      </c>
      <c r="B2168" t="str">
        <f>T("   Belgique")</f>
        <v xml:space="preserve">   Belgique</v>
      </c>
      <c r="C2168">
        <v>4430598</v>
      </c>
      <c r="D2168">
        <v>12657</v>
      </c>
    </row>
    <row r="2169" spans="1:4" x14ac:dyDescent="0.25">
      <c r="A2169" t="str">
        <f>T("   BG")</f>
        <v xml:space="preserve">   BG</v>
      </c>
      <c r="B2169" t="str">
        <f>T("   Bulgarie")</f>
        <v xml:space="preserve">   Bulgarie</v>
      </c>
      <c r="C2169">
        <v>7060945</v>
      </c>
      <c r="D2169">
        <v>14067</v>
      </c>
    </row>
    <row r="2170" spans="1:4" x14ac:dyDescent="0.25">
      <c r="A2170" t="str">
        <f>T("   FR")</f>
        <v xml:space="preserve">   FR</v>
      </c>
      <c r="B2170" t="str">
        <f>T("   France")</f>
        <v xml:space="preserve">   France</v>
      </c>
      <c r="C2170">
        <v>2554106</v>
      </c>
      <c r="D2170">
        <v>2006</v>
      </c>
    </row>
    <row r="2171" spans="1:4" x14ac:dyDescent="0.25">
      <c r="A2171" t="str">
        <f>T("   IN")</f>
        <v xml:space="preserve">   IN</v>
      </c>
      <c r="B2171" t="str">
        <f>T("   Inde")</f>
        <v xml:space="preserve">   Inde</v>
      </c>
      <c r="C2171">
        <v>6013925</v>
      </c>
      <c r="D2171">
        <v>17012</v>
      </c>
    </row>
    <row r="2172" spans="1:4" x14ac:dyDescent="0.25">
      <c r="A2172" t="str">
        <f>T("220870")</f>
        <v>220870</v>
      </c>
      <c r="B2172" t="str">
        <f>T("LIQUEURS")</f>
        <v>LIQUEURS</v>
      </c>
    </row>
    <row r="2173" spans="1:4" x14ac:dyDescent="0.25">
      <c r="A2173" t="str">
        <f>T("   ZZZ_Monde")</f>
        <v xml:space="preserve">   ZZZ_Monde</v>
      </c>
      <c r="B2173" t="str">
        <f>T("   ZZZ_Monde")</f>
        <v xml:space="preserve">   ZZZ_Monde</v>
      </c>
      <c r="C2173">
        <v>125760617</v>
      </c>
      <c r="D2173">
        <v>275835.8</v>
      </c>
    </row>
    <row r="2174" spans="1:4" x14ac:dyDescent="0.25">
      <c r="A2174" t="str">
        <f>T("   BE")</f>
        <v xml:space="preserve">   BE</v>
      </c>
      <c r="B2174" t="str">
        <f>T("   Belgique")</f>
        <v xml:space="preserve">   Belgique</v>
      </c>
      <c r="C2174">
        <v>32312858</v>
      </c>
      <c r="D2174">
        <v>71583</v>
      </c>
    </row>
    <row r="2175" spans="1:4" x14ac:dyDescent="0.25">
      <c r="A2175" t="str">
        <f>T("   BG")</f>
        <v xml:space="preserve">   BG</v>
      </c>
      <c r="B2175" t="str">
        <f>T("   Bulgarie")</f>
        <v xml:space="preserve">   Bulgarie</v>
      </c>
      <c r="C2175">
        <v>334434</v>
      </c>
      <c r="D2175">
        <v>570</v>
      </c>
    </row>
    <row r="2176" spans="1:4" x14ac:dyDescent="0.25">
      <c r="A2176" t="str">
        <f>T("   CA")</f>
        <v xml:space="preserve">   CA</v>
      </c>
      <c r="B2176" t="str">
        <f>T("   Canada")</f>
        <v xml:space="preserve">   Canada</v>
      </c>
      <c r="C2176">
        <v>200000</v>
      </c>
      <c r="D2176">
        <v>45</v>
      </c>
    </row>
    <row r="2177" spans="1:4" x14ac:dyDescent="0.25">
      <c r="A2177" t="str">
        <f>T("   CN")</f>
        <v xml:space="preserve">   CN</v>
      </c>
      <c r="B2177" t="str">
        <f>T("   Chine")</f>
        <v xml:space="preserve">   Chine</v>
      </c>
      <c r="C2177">
        <v>5682393</v>
      </c>
      <c r="D2177">
        <v>10800</v>
      </c>
    </row>
    <row r="2178" spans="1:4" x14ac:dyDescent="0.25">
      <c r="A2178" t="str">
        <f>T("   ES")</f>
        <v xml:space="preserve">   ES</v>
      </c>
      <c r="B2178" t="str">
        <f>T("   Espagne")</f>
        <v xml:space="preserve">   Espagne</v>
      </c>
      <c r="C2178">
        <v>28603615</v>
      </c>
      <c r="D2178">
        <v>79576</v>
      </c>
    </row>
    <row r="2179" spans="1:4" x14ac:dyDescent="0.25">
      <c r="A2179" t="str">
        <f>T("   FR")</f>
        <v xml:space="preserve">   FR</v>
      </c>
      <c r="B2179" t="str">
        <f>T("   France")</f>
        <v xml:space="preserve">   France</v>
      </c>
      <c r="C2179">
        <v>35173604</v>
      </c>
      <c r="D2179">
        <v>57273.8</v>
      </c>
    </row>
    <row r="2180" spans="1:4" x14ac:dyDescent="0.25">
      <c r="A2180" t="str">
        <f>T("   HK")</f>
        <v xml:space="preserve">   HK</v>
      </c>
      <c r="B2180" t="str">
        <f>T("   Hong-Kong")</f>
        <v xml:space="preserve">   Hong-Kong</v>
      </c>
      <c r="C2180">
        <v>9000000</v>
      </c>
      <c r="D2180">
        <v>20285</v>
      </c>
    </row>
    <row r="2181" spans="1:4" x14ac:dyDescent="0.25">
      <c r="A2181" t="str">
        <f>T("   IN")</f>
        <v xml:space="preserve">   IN</v>
      </c>
      <c r="B2181" t="str">
        <f>T("   Inde")</f>
        <v xml:space="preserve">   Inde</v>
      </c>
      <c r="C2181">
        <v>2395710</v>
      </c>
      <c r="D2181">
        <v>7962</v>
      </c>
    </row>
    <row r="2182" spans="1:4" x14ac:dyDescent="0.25">
      <c r="A2182" t="str">
        <f>T("   IT")</f>
        <v xml:space="preserve">   IT</v>
      </c>
      <c r="B2182" t="str">
        <f>T("   Italie")</f>
        <v xml:space="preserve">   Italie</v>
      </c>
      <c r="C2182">
        <v>410893</v>
      </c>
      <c r="D2182">
        <v>615</v>
      </c>
    </row>
    <row r="2183" spans="1:4" x14ac:dyDescent="0.25">
      <c r="A2183" t="str">
        <f>T("   TG")</f>
        <v xml:space="preserve">   TG</v>
      </c>
      <c r="B2183" t="str">
        <f>T("   Togo")</f>
        <v xml:space="preserve">   Togo</v>
      </c>
      <c r="C2183">
        <v>6604694</v>
      </c>
      <c r="D2183">
        <v>21660</v>
      </c>
    </row>
    <row r="2184" spans="1:4" x14ac:dyDescent="0.25">
      <c r="A2184" t="str">
        <f>T("   ZA")</f>
        <v xml:space="preserve">   ZA</v>
      </c>
      <c r="B2184" t="str">
        <f>T("   Afrique du Sud")</f>
        <v xml:space="preserve">   Afrique du Sud</v>
      </c>
      <c r="C2184">
        <v>5042416</v>
      </c>
      <c r="D2184">
        <v>5466</v>
      </c>
    </row>
    <row r="2185" spans="1:4" x14ac:dyDescent="0.25">
      <c r="A2185" t="str">
        <f>T("220890")</f>
        <v>220890</v>
      </c>
      <c r="B2185" t="str">
        <f>T("ALCOOL ÉTHYLIQUE D'UN TITRE ALCOOMÉTRIQUE VOLUMIQUE &lt; 80% VOL, NON-DÉNATURÉ; EAUX-DE-VIE ET AUTRES BOISSONS SPIRITUEUSES (À L'EXCL. DES EAUX-DE-VIE DE VIN OU DE MARC DE RAISINS, DES WHISKIES, DU RHUM ET AUTRES EAUX-DE-VIE PROVENANT DE LA DISTILLATION APRÈ")</f>
        <v>ALCOOL ÉTHYLIQUE D'UN TITRE ALCOOMÉTRIQUE VOLUMIQUE &lt; 80% VOL, NON-DÉNATURÉ; EAUX-DE-VIE ET AUTRES BOISSONS SPIRITUEUSES (À L'EXCL. DES EAUX-DE-VIE DE VIN OU DE MARC DE RAISINS, DES WHISKIES, DU RHUM ET AUTRES EAUX-DE-VIE PROVENANT DE LA DISTILLATION APRÈ</v>
      </c>
    </row>
    <row r="2186" spans="1:4" x14ac:dyDescent="0.25">
      <c r="A2186" t="str">
        <f>T("   ZZZ_Monde")</f>
        <v xml:space="preserve">   ZZZ_Monde</v>
      </c>
      <c r="B2186" t="str">
        <f>T("   ZZZ_Monde")</f>
        <v xml:space="preserve">   ZZZ_Monde</v>
      </c>
      <c r="C2186">
        <v>281072782</v>
      </c>
      <c r="D2186">
        <v>900977</v>
      </c>
    </row>
    <row r="2187" spans="1:4" x14ac:dyDescent="0.25">
      <c r="A2187" t="str">
        <f>T("   BE")</f>
        <v xml:space="preserve">   BE</v>
      </c>
      <c r="B2187" t="str">
        <f>T("   Belgique")</f>
        <v xml:space="preserve">   Belgique</v>
      </c>
      <c r="C2187">
        <v>92423198</v>
      </c>
      <c r="D2187">
        <v>299353</v>
      </c>
    </row>
    <row r="2188" spans="1:4" x14ac:dyDescent="0.25">
      <c r="A2188" t="str">
        <f>T("   CA")</f>
        <v xml:space="preserve">   CA</v>
      </c>
      <c r="B2188" t="str">
        <f>T("   Canada")</f>
        <v xml:space="preserve">   Canada</v>
      </c>
      <c r="C2188">
        <v>3726946</v>
      </c>
      <c r="D2188">
        <v>1352</v>
      </c>
    </row>
    <row r="2189" spans="1:4" x14ac:dyDescent="0.25">
      <c r="A2189" t="str">
        <f>T("   CN")</f>
        <v xml:space="preserve">   CN</v>
      </c>
      <c r="B2189" t="str">
        <f>T("   Chine")</f>
        <v xml:space="preserve">   Chine</v>
      </c>
      <c r="C2189">
        <v>18422319</v>
      </c>
      <c r="D2189">
        <v>79615</v>
      </c>
    </row>
    <row r="2190" spans="1:4" x14ac:dyDescent="0.25">
      <c r="A2190" t="str">
        <f>T("   DE")</f>
        <v xml:space="preserve">   DE</v>
      </c>
      <c r="B2190" t="str">
        <f>T("   Allemagne")</f>
        <v xml:space="preserve">   Allemagne</v>
      </c>
      <c r="C2190">
        <v>1507285</v>
      </c>
      <c r="D2190">
        <v>2266</v>
      </c>
    </row>
    <row r="2191" spans="1:4" x14ac:dyDescent="0.25">
      <c r="A2191" t="str">
        <f>T("   ES")</f>
        <v xml:space="preserve">   ES</v>
      </c>
      <c r="B2191" t="str">
        <f>T("   Espagne")</f>
        <v xml:space="preserve">   Espagne</v>
      </c>
      <c r="C2191">
        <v>12399231</v>
      </c>
      <c r="D2191">
        <v>49419</v>
      </c>
    </row>
    <row r="2192" spans="1:4" x14ac:dyDescent="0.25">
      <c r="A2192" t="str">
        <f>T("   FR")</f>
        <v xml:space="preserve">   FR</v>
      </c>
      <c r="B2192" t="str">
        <f>T("   France")</f>
        <v xml:space="preserve">   France</v>
      </c>
      <c r="C2192">
        <v>86683143</v>
      </c>
      <c r="D2192">
        <v>215129</v>
      </c>
    </row>
    <row r="2193" spans="1:4" x14ac:dyDescent="0.25">
      <c r="A2193" t="str">
        <f>T("   GH")</f>
        <v xml:space="preserve">   GH</v>
      </c>
      <c r="B2193" t="str">
        <f>T("   Ghana")</f>
        <v xml:space="preserve">   Ghana</v>
      </c>
      <c r="C2193">
        <v>4200000</v>
      </c>
      <c r="D2193">
        <v>27460</v>
      </c>
    </row>
    <row r="2194" spans="1:4" x14ac:dyDescent="0.25">
      <c r="A2194" t="str">
        <f>T("   IN")</f>
        <v xml:space="preserve">   IN</v>
      </c>
      <c r="B2194" t="str">
        <f>T("   Inde")</f>
        <v xml:space="preserve">   Inde</v>
      </c>
      <c r="C2194">
        <v>4209093</v>
      </c>
      <c r="D2194">
        <v>16506</v>
      </c>
    </row>
    <row r="2195" spans="1:4" x14ac:dyDescent="0.25">
      <c r="A2195" t="str">
        <f>T("   IT")</f>
        <v xml:space="preserve">   IT</v>
      </c>
      <c r="B2195" t="str">
        <f>T("   Italie")</f>
        <v xml:space="preserve">   Italie</v>
      </c>
      <c r="C2195">
        <v>3007380</v>
      </c>
      <c r="D2195">
        <v>6412</v>
      </c>
    </row>
    <row r="2196" spans="1:4" x14ac:dyDescent="0.25">
      <c r="A2196" t="str">
        <f>T("   NL")</f>
        <v xml:space="preserve">   NL</v>
      </c>
      <c r="B2196" t="str">
        <f>T("   Pays-bas")</f>
        <v xml:space="preserve">   Pays-bas</v>
      </c>
      <c r="C2196">
        <v>18740000</v>
      </c>
      <c r="D2196">
        <v>73125</v>
      </c>
    </row>
    <row r="2197" spans="1:4" x14ac:dyDescent="0.25">
      <c r="A2197" t="str">
        <f>T("   TG")</f>
        <v xml:space="preserve">   TG</v>
      </c>
      <c r="B2197" t="str">
        <f>T("   Togo")</f>
        <v xml:space="preserve">   Togo</v>
      </c>
      <c r="C2197">
        <v>34869187</v>
      </c>
      <c r="D2197">
        <v>117840</v>
      </c>
    </row>
    <row r="2198" spans="1:4" x14ac:dyDescent="0.25">
      <c r="A2198" t="str">
        <f>T("   Z2")</f>
        <v xml:space="preserve">   Z2</v>
      </c>
      <c r="B2198" t="str">
        <f>T("   Pays non défini")</f>
        <v xml:space="preserve">   Pays non défini</v>
      </c>
      <c r="C2198">
        <v>885000</v>
      </c>
      <c r="D2198">
        <v>12500</v>
      </c>
    </row>
    <row r="2199" spans="1:4" x14ac:dyDescent="0.25">
      <c r="A2199" t="str">
        <f>T("220900")</f>
        <v>220900</v>
      </c>
      <c r="B2199" t="str">
        <f>T("Vinaigres comestibles et succédanés de vinaigre comestibles obtenus à partir d'acide acétique")</f>
        <v>Vinaigres comestibles et succédanés de vinaigre comestibles obtenus à partir d'acide acétique</v>
      </c>
    </row>
    <row r="2200" spans="1:4" x14ac:dyDescent="0.25">
      <c r="A2200" t="str">
        <f>T("   ZZZ_Monde")</f>
        <v xml:space="preserve">   ZZZ_Monde</v>
      </c>
      <c r="B2200" t="str">
        <f>T("   ZZZ_Monde")</f>
        <v xml:space="preserve">   ZZZ_Monde</v>
      </c>
      <c r="C2200">
        <v>8982021</v>
      </c>
      <c r="D2200">
        <v>20128</v>
      </c>
    </row>
    <row r="2201" spans="1:4" x14ac:dyDescent="0.25">
      <c r="A2201" t="str">
        <f>T("   CN")</f>
        <v xml:space="preserve">   CN</v>
      </c>
      <c r="B2201" t="str">
        <f>T("   Chine")</f>
        <v xml:space="preserve">   Chine</v>
      </c>
      <c r="C2201">
        <v>4257625</v>
      </c>
      <c r="D2201">
        <v>9020</v>
      </c>
    </row>
    <row r="2202" spans="1:4" x14ac:dyDescent="0.25">
      <c r="A2202" t="str">
        <f>T("   FR")</f>
        <v xml:space="preserve">   FR</v>
      </c>
      <c r="B2202" t="str">
        <f>T("   France")</f>
        <v xml:space="preserve">   France</v>
      </c>
      <c r="C2202">
        <v>4154097</v>
      </c>
      <c r="D2202">
        <v>9983</v>
      </c>
    </row>
    <row r="2203" spans="1:4" x14ac:dyDescent="0.25">
      <c r="A2203" t="str">
        <f>T("   GB")</f>
        <v xml:space="preserve">   GB</v>
      </c>
      <c r="B2203" t="str">
        <f>T("   Royaume-Uni")</f>
        <v xml:space="preserve">   Royaume-Uni</v>
      </c>
      <c r="C2203">
        <v>499962</v>
      </c>
      <c r="D2203">
        <v>1015</v>
      </c>
    </row>
    <row r="2204" spans="1:4" x14ac:dyDescent="0.25">
      <c r="A2204" t="str">
        <f>T("   US")</f>
        <v xml:space="preserve">   US</v>
      </c>
      <c r="B2204" t="str">
        <f>T("   Etats-Unis")</f>
        <v xml:space="preserve">   Etats-Unis</v>
      </c>
      <c r="C2204">
        <v>70337</v>
      </c>
      <c r="D2204">
        <v>110</v>
      </c>
    </row>
    <row r="2205" spans="1:4" x14ac:dyDescent="0.25">
      <c r="A2205" t="str">
        <f>T("230120")</f>
        <v>230120</v>
      </c>
      <c r="B2205" t="str">
        <f>T("Farines, poudres et agglomérés sous forme de pellets, de poissons ou de crustacés, de mollusques ou d'autres invertébrés aquatiques, impropres à l'alimentation humaine")</f>
        <v>Farines, poudres et agglomérés sous forme de pellets, de poissons ou de crustacés, de mollusques ou d'autres invertébrés aquatiques, impropres à l'alimentation humaine</v>
      </c>
    </row>
    <row r="2206" spans="1:4" x14ac:dyDescent="0.25">
      <c r="A2206" t="str">
        <f>T("   ZZZ_Monde")</f>
        <v xml:space="preserve">   ZZZ_Monde</v>
      </c>
      <c r="B2206" t="str">
        <f>T("   ZZZ_Monde")</f>
        <v xml:space="preserve">   ZZZ_Monde</v>
      </c>
      <c r="C2206">
        <v>121489115</v>
      </c>
      <c r="D2206">
        <v>1155057</v>
      </c>
    </row>
    <row r="2207" spans="1:4" x14ac:dyDescent="0.25">
      <c r="A2207" t="str">
        <f>T("   GH")</f>
        <v xml:space="preserve">   GH</v>
      </c>
      <c r="B2207" t="str">
        <f>T("   Ghana")</f>
        <v xml:space="preserve">   Ghana</v>
      </c>
      <c r="C2207">
        <v>2275000</v>
      </c>
      <c r="D2207">
        <v>5567</v>
      </c>
    </row>
    <row r="2208" spans="1:4" x14ac:dyDescent="0.25">
      <c r="A2208" t="str">
        <f>T("   SN")</f>
        <v xml:space="preserve">   SN</v>
      </c>
      <c r="B2208" t="str">
        <f>T("   Sénégal")</f>
        <v xml:space="preserve">   Sénégal</v>
      </c>
      <c r="C2208">
        <v>116011356</v>
      </c>
      <c r="D2208">
        <v>1115500</v>
      </c>
    </row>
    <row r="2209" spans="1:4" x14ac:dyDescent="0.25">
      <c r="A2209" t="str">
        <f>T("   TG")</f>
        <v xml:space="preserve">   TG</v>
      </c>
      <c r="B2209" t="str">
        <f>T("   Togo")</f>
        <v xml:space="preserve">   Togo</v>
      </c>
      <c r="C2209">
        <v>3202759</v>
      </c>
      <c r="D2209">
        <v>33990</v>
      </c>
    </row>
    <row r="2210" spans="1:4" x14ac:dyDescent="0.25">
      <c r="A2210" t="str">
        <f>T("230230")</f>
        <v>230230</v>
      </c>
      <c r="B2210" t="str">
        <f>T("Sons, remoulages et autres résidus, même agglomérés sous forme de pellets, du criblage, de la mouture ou d'autres traitements du froment")</f>
        <v>Sons, remoulages et autres résidus, même agglomérés sous forme de pellets, du criblage, de la mouture ou d'autres traitements du froment</v>
      </c>
    </row>
    <row r="2211" spans="1:4" x14ac:dyDescent="0.25">
      <c r="A2211" t="str">
        <f>T("   ZZZ_Monde")</f>
        <v xml:space="preserve">   ZZZ_Monde</v>
      </c>
      <c r="B2211" t="str">
        <f>T("   ZZZ_Monde")</f>
        <v xml:space="preserve">   ZZZ_Monde</v>
      </c>
      <c r="C2211">
        <v>13078193</v>
      </c>
      <c r="D2211">
        <v>836650</v>
      </c>
    </row>
    <row r="2212" spans="1:4" x14ac:dyDescent="0.25">
      <c r="A2212" t="str">
        <f>T("   NG")</f>
        <v xml:space="preserve">   NG</v>
      </c>
      <c r="B2212" t="str">
        <f>T("   Nigéria")</f>
        <v xml:space="preserve">   Nigéria</v>
      </c>
      <c r="C2212">
        <v>4438843</v>
      </c>
      <c r="D2212">
        <v>276950</v>
      </c>
    </row>
    <row r="2213" spans="1:4" x14ac:dyDescent="0.25">
      <c r="A2213" t="str">
        <f>T("   TG")</f>
        <v xml:space="preserve">   TG</v>
      </c>
      <c r="B2213" t="str">
        <f>T("   Togo")</f>
        <v xml:space="preserve">   Togo</v>
      </c>
      <c r="C2213">
        <v>8639350</v>
      </c>
      <c r="D2213">
        <v>559700</v>
      </c>
    </row>
    <row r="2214" spans="1:4" x14ac:dyDescent="0.25">
      <c r="A2214" t="str">
        <f>T("230240")</f>
        <v>230240</v>
      </c>
      <c r="B2214" t="str">
        <f>T("SONS, REMOULAGES ET AUTRES RÉSIDUS, MÊME AGGLOMÉRÉS SOUS FORME DE PELLETS, DU CRIBLAGE, DE LA MOUTURE OU D'AUTRES TRAITEMENTS DES CÉRÉALES (À L'EXCL. DU MAÏS OU DU FROMENT)")</f>
        <v>SONS, REMOULAGES ET AUTRES RÉSIDUS, MÊME AGGLOMÉRÉS SOUS FORME DE PELLETS, DU CRIBLAGE, DE LA MOUTURE OU D'AUTRES TRAITEMENTS DES CÉRÉALES (À L'EXCL. DU MAÏS OU DU FROMENT)</v>
      </c>
    </row>
    <row r="2215" spans="1:4" x14ac:dyDescent="0.25">
      <c r="A2215" t="str">
        <f>T("   ZZZ_Monde")</f>
        <v xml:space="preserve">   ZZZ_Monde</v>
      </c>
      <c r="B2215" t="str">
        <f>T("   ZZZ_Monde")</f>
        <v xml:space="preserve">   ZZZ_Monde</v>
      </c>
      <c r="C2215">
        <v>17098774</v>
      </c>
      <c r="D2215">
        <v>239456</v>
      </c>
    </row>
    <row r="2216" spans="1:4" x14ac:dyDescent="0.25">
      <c r="A2216" t="str">
        <f>T("   FR")</f>
        <v xml:space="preserve">   FR</v>
      </c>
      <c r="B2216" t="str">
        <f>T("   France")</f>
        <v xml:space="preserve">   France</v>
      </c>
      <c r="C2216">
        <v>1787281</v>
      </c>
      <c r="D2216">
        <v>8606</v>
      </c>
    </row>
    <row r="2217" spans="1:4" x14ac:dyDescent="0.25">
      <c r="A2217" t="str">
        <f>T("   TG")</f>
        <v xml:space="preserve">   TG</v>
      </c>
      <c r="B2217" t="str">
        <f>T("   Togo")</f>
        <v xml:space="preserve">   Togo</v>
      </c>
      <c r="C2217">
        <v>15311493</v>
      </c>
      <c r="D2217">
        <v>230850</v>
      </c>
    </row>
    <row r="2218" spans="1:4" x14ac:dyDescent="0.25">
      <c r="A2218" t="str">
        <f>T("230330")</f>
        <v>230330</v>
      </c>
      <c r="B2218" t="str">
        <f>T("Drêches et déchets de brasserie ou de distillerie")</f>
        <v>Drêches et déchets de brasserie ou de distillerie</v>
      </c>
    </row>
    <row r="2219" spans="1:4" x14ac:dyDescent="0.25">
      <c r="A2219" t="str">
        <f>T("   ZZZ_Monde")</f>
        <v xml:space="preserve">   ZZZ_Monde</v>
      </c>
      <c r="B2219" t="str">
        <f>T("   ZZZ_Monde")</f>
        <v xml:space="preserve">   ZZZ_Monde</v>
      </c>
      <c r="C2219">
        <v>566376</v>
      </c>
      <c r="D2219">
        <v>8800</v>
      </c>
    </row>
    <row r="2220" spans="1:4" x14ac:dyDescent="0.25">
      <c r="A2220" t="str">
        <f>T("   TG")</f>
        <v xml:space="preserve">   TG</v>
      </c>
      <c r="B2220" t="str">
        <f>T("   Togo")</f>
        <v xml:space="preserve">   Togo</v>
      </c>
      <c r="C2220">
        <v>566376</v>
      </c>
      <c r="D2220">
        <v>8800</v>
      </c>
    </row>
    <row r="2221" spans="1:4" x14ac:dyDescent="0.25">
      <c r="A2221" t="str">
        <f>T("230400")</f>
        <v>230400</v>
      </c>
      <c r="B2221" t="str">
        <f>T("Tourteaux et autres résidus solides, même broyés ou agglomérés sous forme de pellets, de l'extraction de l'huile de soja")</f>
        <v>Tourteaux et autres résidus solides, même broyés ou agglomérés sous forme de pellets, de l'extraction de l'huile de soja</v>
      </c>
    </row>
    <row r="2222" spans="1:4" x14ac:dyDescent="0.25">
      <c r="A2222" t="str">
        <f>T("   ZZZ_Monde")</f>
        <v xml:space="preserve">   ZZZ_Monde</v>
      </c>
      <c r="B2222" t="str">
        <f>T("   ZZZ_Monde")</f>
        <v xml:space="preserve">   ZZZ_Monde</v>
      </c>
      <c r="C2222">
        <v>778772</v>
      </c>
      <c r="D2222">
        <v>14560</v>
      </c>
    </row>
    <row r="2223" spans="1:4" x14ac:dyDescent="0.25">
      <c r="A2223" t="str">
        <f>T("   TG")</f>
        <v xml:space="preserve">   TG</v>
      </c>
      <c r="B2223" t="str">
        <f>T("   Togo")</f>
        <v xml:space="preserve">   Togo</v>
      </c>
      <c r="C2223">
        <v>778772</v>
      </c>
      <c r="D2223">
        <v>14560</v>
      </c>
    </row>
    <row r="2224" spans="1:4" x14ac:dyDescent="0.25">
      <c r="A2224" t="str">
        <f>T("230500")</f>
        <v>230500</v>
      </c>
      <c r="B2224" t="str">
        <f>T("Tourteaux et autres résidus solides, même broyés ou agglomérés sous forme de pellets, de l'extraction de l'huile d'arachide")</f>
        <v>Tourteaux et autres résidus solides, même broyés ou agglomérés sous forme de pellets, de l'extraction de l'huile d'arachide</v>
      </c>
    </row>
    <row r="2225" spans="1:4" x14ac:dyDescent="0.25">
      <c r="A2225" t="str">
        <f>T("   ZZZ_Monde")</f>
        <v xml:space="preserve">   ZZZ_Monde</v>
      </c>
      <c r="B2225" t="str">
        <f>T("   ZZZ_Monde")</f>
        <v xml:space="preserve">   ZZZ_Monde</v>
      </c>
      <c r="C2225">
        <v>75391066</v>
      </c>
      <c r="D2225">
        <v>320000</v>
      </c>
    </row>
    <row r="2226" spans="1:4" x14ac:dyDescent="0.25">
      <c r="A2226" t="str">
        <f>T("   SN")</f>
        <v xml:space="preserve">   SN</v>
      </c>
      <c r="B2226" t="str">
        <f>T("   Sénégal")</f>
        <v xml:space="preserve">   Sénégal</v>
      </c>
      <c r="C2226">
        <v>73291066</v>
      </c>
      <c r="D2226">
        <v>300000</v>
      </c>
    </row>
    <row r="2227" spans="1:4" x14ac:dyDescent="0.25">
      <c r="A2227" t="str">
        <f>T("   TG")</f>
        <v xml:space="preserve">   TG</v>
      </c>
      <c r="B2227" t="str">
        <f>T("   Togo")</f>
        <v xml:space="preserve">   Togo</v>
      </c>
      <c r="C2227">
        <v>2100000</v>
      </c>
      <c r="D2227">
        <v>20000</v>
      </c>
    </row>
    <row r="2228" spans="1:4" x14ac:dyDescent="0.25">
      <c r="A2228" t="str">
        <f>T("230610")</f>
        <v>230610</v>
      </c>
      <c r="B2228" t="str">
        <f>T("Tourteaux et autres résidus solides, même broyés ou agglomérés sous forme de pellets, de l'extraction des graisses ou huiles de coton")</f>
        <v>Tourteaux et autres résidus solides, même broyés ou agglomérés sous forme de pellets, de l'extraction des graisses ou huiles de coton</v>
      </c>
    </row>
    <row r="2229" spans="1:4" x14ac:dyDescent="0.25">
      <c r="A2229" t="str">
        <f>T("   ZZZ_Monde")</f>
        <v xml:space="preserve">   ZZZ_Monde</v>
      </c>
      <c r="B2229" t="str">
        <f>T("   ZZZ_Monde")</f>
        <v xml:space="preserve">   ZZZ_Monde</v>
      </c>
      <c r="C2229">
        <v>141599</v>
      </c>
      <c r="D2229">
        <v>260</v>
      </c>
    </row>
    <row r="2230" spans="1:4" x14ac:dyDescent="0.25">
      <c r="A2230" t="str">
        <f>T("   TG")</f>
        <v xml:space="preserve">   TG</v>
      </c>
      <c r="B2230" t="str">
        <f>T("   Togo")</f>
        <v xml:space="preserve">   Togo</v>
      </c>
      <c r="C2230">
        <v>141599</v>
      </c>
      <c r="D2230">
        <v>260</v>
      </c>
    </row>
    <row r="2231" spans="1:4" x14ac:dyDescent="0.25">
      <c r="A2231" t="str">
        <f>T("230649")</f>
        <v>230649</v>
      </c>
      <c r="B2231" t="str">
        <f>T("TOURTEAUX ET AUTRES RÉSIDUS SOLIDES, MÊME BROYÉS OU AGGLOMÉRÉS SOUS FORME DE PELLETS, DE L'EXTRACTION DES GRAISSES OU HUILES DE NAVETTE OU DE COLZA D'UNE TENEUR ÉLEVÉE EN ACIDE ÉRUCIQUE 'FOURNISSANT UNE HUILE FIXE DONT LA TENEUR EN ACIDE ÉRUCIQUE EST &gt;= 2")</f>
        <v>TOURTEAUX ET AUTRES RÉSIDUS SOLIDES, MÊME BROYÉS OU AGGLOMÉRÉS SOUS FORME DE PELLETS, DE L'EXTRACTION DES GRAISSES OU HUILES DE NAVETTE OU DE COLZA D'UNE TENEUR ÉLEVÉE EN ACIDE ÉRUCIQUE 'FOURNISSANT UNE HUILE FIXE DONT LA TENEUR EN ACIDE ÉRUCIQUE EST &gt;= 2</v>
      </c>
    </row>
    <row r="2232" spans="1:4" x14ac:dyDescent="0.25">
      <c r="A2232" t="str">
        <f>T("   ZZZ_Monde")</f>
        <v xml:space="preserve">   ZZZ_Monde</v>
      </c>
      <c r="B2232" t="str">
        <f>T("   ZZZ_Monde")</f>
        <v xml:space="preserve">   ZZZ_Monde</v>
      </c>
      <c r="C2232">
        <v>767172</v>
      </c>
      <c r="D2232">
        <v>4765</v>
      </c>
    </row>
    <row r="2233" spans="1:4" x14ac:dyDescent="0.25">
      <c r="A2233" t="str">
        <f>T("   FR")</f>
        <v xml:space="preserve">   FR</v>
      </c>
      <c r="B2233" t="str">
        <f>T("   France")</f>
        <v xml:space="preserve">   France</v>
      </c>
      <c r="C2233">
        <v>767172</v>
      </c>
      <c r="D2233">
        <v>4765</v>
      </c>
    </row>
    <row r="2234" spans="1:4" x14ac:dyDescent="0.25">
      <c r="A2234" t="str">
        <f>T("230800")</f>
        <v>230800</v>
      </c>
      <c r="B2234" t="str">
        <f>T("Glands de chêne, marrons d'Inde, marcs de fruits et autres matières, déchets, résidus et sous-produits végétaux, même agglomérés sous forme de pellets, des types utilisés pour l'alimentation des animaux, n.d.a.")</f>
        <v>Glands de chêne, marrons d'Inde, marcs de fruits et autres matières, déchets, résidus et sous-produits végétaux, même agglomérés sous forme de pellets, des types utilisés pour l'alimentation des animaux, n.d.a.</v>
      </c>
    </row>
    <row r="2235" spans="1:4" x14ac:dyDescent="0.25">
      <c r="A2235" t="str">
        <f>T("   ZZZ_Monde")</f>
        <v xml:space="preserve">   ZZZ_Monde</v>
      </c>
      <c r="B2235" t="str">
        <f>T("   ZZZ_Monde")</f>
        <v xml:space="preserve">   ZZZ_Monde</v>
      </c>
      <c r="C2235">
        <v>135942212</v>
      </c>
      <c r="D2235">
        <v>570050</v>
      </c>
    </row>
    <row r="2236" spans="1:4" x14ac:dyDescent="0.25">
      <c r="A2236" t="str">
        <f>T("   IN")</f>
        <v xml:space="preserve">   IN</v>
      </c>
      <c r="B2236" t="str">
        <f>T("   Inde")</f>
        <v xml:space="preserve">   Inde</v>
      </c>
      <c r="C2236">
        <v>135942212</v>
      </c>
      <c r="D2236">
        <v>570050</v>
      </c>
    </row>
    <row r="2237" spans="1:4" x14ac:dyDescent="0.25">
      <c r="A2237" t="str">
        <f>T("230910")</f>
        <v>230910</v>
      </c>
      <c r="B2237" t="str">
        <f>T("Aliments pour chiens ou chats, conditionnés pour la vente au détail")</f>
        <v>Aliments pour chiens ou chats, conditionnés pour la vente au détail</v>
      </c>
    </row>
    <row r="2238" spans="1:4" x14ac:dyDescent="0.25">
      <c r="A2238" t="str">
        <f>T("   ZZZ_Monde")</f>
        <v xml:space="preserve">   ZZZ_Monde</v>
      </c>
      <c r="B2238" t="str">
        <f>T("   ZZZ_Monde")</f>
        <v xml:space="preserve">   ZZZ_Monde</v>
      </c>
      <c r="C2238">
        <v>90181293</v>
      </c>
      <c r="D2238">
        <v>176304</v>
      </c>
    </row>
    <row r="2239" spans="1:4" x14ac:dyDescent="0.25">
      <c r="A2239" t="str">
        <f>T("   BE")</f>
        <v xml:space="preserve">   BE</v>
      </c>
      <c r="B2239" t="str">
        <f>T("   Belgique")</f>
        <v xml:space="preserve">   Belgique</v>
      </c>
      <c r="C2239">
        <v>20581405</v>
      </c>
      <c r="D2239">
        <v>28831</v>
      </c>
    </row>
    <row r="2240" spans="1:4" x14ac:dyDescent="0.25">
      <c r="A2240" t="str">
        <f>T("   CA")</f>
        <v xml:space="preserve">   CA</v>
      </c>
      <c r="B2240" t="str">
        <f>T("   Canada")</f>
        <v xml:space="preserve">   Canada</v>
      </c>
      <c r="C2240">
        <v>155309</v>
      </c>
      <c r="D2240">
        <v>460</v>
      </c>
    </row>
    <row r="2241" spans="1:4" x14ac:dyDescent="0.25">
      <c r="A2241" t="str">
        <f>T("   ES")</f>
        <v xml:space="preserve">   ES</v>
      </c>
      <c r="B2241" t="str">
        <f>T("   Espagne")</f>
        <v xml:space="preserve">   Espagne</v>
      </c>
      <c r="C2241">
        <v>1908188</v>
      </c>
      <c r="D2241">
        <v>4280</v>
      </c>
    </row>
    <row r="2242" spans="1:4" x14ac:dyDescent="0.25">
      <c r="A2242" t="str">
        <f>T("   FR")</f>
        <v xml:space="preserve">   FR</v>
      </c>
      <c r="B2242" t="str">
        <f>T("   France")</f>
        <v xml:space="preserve">   France</v>
      </c>
      <c r="C2242">
        <v>40823260</v>
      </c>
      <c r="D2242">
        <v>86903</v>
      </c>
    </row>
    <row r="2243" spans="1:4" x14ac:dyDescent="0.25">
      <c r="A2243" t="str">
        <f>T("   GB")</f>
        <v xml:space="preserve">   GB</v>
      </c>
      <c r="B2243" t="str">
        <f>T("   Royaume-Uni")</f>
        <v xml:space="preserve">   Royaume-Uni</v>
      </c>
      <c r="C2243">
        <v>6890145</v>
      </c>
      <c r="D2243">
        <v>24845</v>
      </c>
    </row>
    <row r="2244" spans="1:4" x14ac:dyDescent="0.25">
      <c r="A2244" t="str">
        <f>T("   TG")</f>
        <v xml:space="preserve">   TG</v>
      </c>
      <c r="B2244" t="str">
        <f>T("   Togo")</f>
        <v xml:space="preserve">   Togo</v>
      </c>
      <c r="C2244">
        <v>19822986</v>
      </c>
      <c r="D2244">
        <v>30985</v>
      </c>
    </row>
    <row r="2245" spans="1:4" x14ac:dyDescent="0.25">
      <c r="A2245" t="str">
        <f>T("230990")</f>
        <v>230990</v>
      </c>
      <c r="B2245" t="str">
        <f>T("Préparations des types utilisés pour l'alimentation des animaux (à l'excl. des aliments pour chiens ou chats conditionnés pour la vente au détail)")</f>
        <v>Préparations des types utilisés pour l'alimentation des animaux (à l'excl. des aliments pour chiens ou chats conditionnés pour la vente au détail)</v>
      </c>
    </row>
    <row r="2246" spans="1:4" x14ac:dyDescent="0.25">
      <c r="A2246" t="str">
        <f>T("   ZZZ_Monde")</f>
        <v xml:space="preserve">   ZZZ_Monde</v>
      </c>
      <c r="B2246" t="str">
        <f>T("   ZZZ_Monde")</f>
        <v xml:space="preserve">   ZZZ_Monde</v>
      </c>
      <c r="C2246">
        <v>458057233</v>
      </c>
      <c r="D2246">
        <v>1341047</v>
      </c>
    </row>
    <row r="2247" spans="1:4" x14ac:dyDescent="0.25">
      <c r="A2247" t="str">
        <f>T("   BE")</f>
        <v xml:space="preserve">   BE</v>
      </c>
      <c r="B2247" t="str">
        <f>T("   Belgique")</f>
        <v xml:space="preserve">   Belgique</v>
      </c>
      <c r="C2247">
        <v>260099901</v>
      </c>
      <c r="D2247">
        <v>785957</v>
      </c>
    </row>
    <row r="2248" spans="1:4" x14ac:dyDescent="0.25">
      <c r="A2248" t="str">
        <f>T("   ES")</f>
        <v xml:space="preserve">   ES</v>
      </c>
      <c r="B2248" t="str">
        <f>T("   Espagne")</f>
        <v xml:space="preserve">   Espagne</v>
      </c>
      <c r="C2248">
        <v>295182</v>
      </c>
      <c r="D2248">
        <v>30</v>
      </c>
    </row>
    <row r="2249" spans="1:4" x14ac:dyDescent="0.25">
      <c r="A2249" t="str">
        <f>T("   FR")</f>
        <v xml:space="preserve">   FR</v>
      </c>
      <c r="B2249" t="str">
        <f>T("   France")</f>
        <v xml:space="preserve">   France</v>
      </c>
      <c r="C2249">
        <v>177648433</v>
      </c>
      <c r="D2249">
        <v>285737</v>
      </c>
    </row>
    <row r="2250" spans="1:4" x14ac:dyDescent="0.25">
      <c r="A2250" t="str">
        <f>T("   IT")</f>
        <v xml:space="preserve">   IT</v>
      </c>
      <c r="B2250" t="str">
        <f>T("   Italie")</f>
        <v xml:space="preserve">   Italie</v>
      </c>
      <c r="C2250">
        <v>1226258</v>
      </c>
      <c r="D2250">
        <v>18800</v>
      </c>
    </row>
    <row r="2251" spans="1:4" x14ac:dyDescent="0.25">
      <c r="A2251" t="str">
        <f>T("   NL")</f>
        <v xml:space="preserve">   NL</v>
      </c>
      <c r="B2251" t="str">
        <f>T("   Pays-bas")</f>
        <v xml:space="preserve">   Pays-bas</v>
      </c>
      <c r="C2251">
        <v>6515729</v>
      </c>
      <c r="D2251">
        <v>40000</v>
      </c>
    </row>
    <row r="2252" spans="1:4" x14ac:dyDescent="0.25">
      <c r="A2252" t="str">
        <f>T("   SN")</f>
        <v xml:space="preserve">   SN</v>
      </c>
      <c r="B2252" t="str">
        <f>T("   Sénégal")</f>
        <v xml:space="preserve">   Sénégal</v>
      </c>
      <c r="C2252">
        <v>11917838</v>
      </c>
      <c r="D2252">
        <v>192000</v>
      </c>
    </row>
    <row r="2253" spans="1:4" x14ac:dyDescent="0.25">
      <c r="A2253" t="str">
        <f>T("   TG")</f>
        <v xml:space="preserve">   TG</v>
      </c>
      <c r="B2253" t="str">
        <f>T("   Togo")</f>
        <v xml:space="preserve">   Togo</v>
      </c>
      <c r="C2253">
        <v>353892</v>
      </c>
      <c r="D2253">
        <v>18523</v>
      </c>
    </row>
    <row r="2254" spans="1:4" x14ac:dyDescent="0.25">
      <c r="A2254" t="str">
        <f>T("240130")</f>
        <v>240130</v>
      </c>
      <c r="B2254" t="str">
        <f>T("Déchets de tabac")</f>
        <v>Déchets de tabac</v>
      </c>
    </row>
    <row r="2255" spans="1:4" x14ac:dyDescent="0.25">
      <c r="A2255" t="str">
        <f>T("   ZZZ_Monde")</f>
        <v xml:space="preserve">   ZZZ_Monde</v>
      </c>
      <c r="B2255" t="str">
        <f>T("   ZZZ_Monde")</f>
        <v xml:space="preserve">   ZZZ_Monde</v>
      </c>
      <c r="C2255">
        <v>430180</v>
      </c>
      <c r="D2255">
        <v>274</v>
      </c>
    </row>
    <row r="2256" spans="1:4" x14ac:dyDescent="0.25">
      <c r="A2256" t="str">
        <f>T("   NG")</f>
        <v xml:space="preserve">   NG</v>
      </c>
      <c r="B2256" t="str">
        <f>T("   Nigéria")</f>
        <v xml:space="preserve">   Nigéria</v>
      </c>
      <c r="C2256">
        <v>430180</v>
      </c>
      <c r="D2256">
        <v>274</v>
      </c>
    </row>
    <row r="2257" spans="1:4" x14ac:dyDescent="0.25">
      <c r="A2257" t="str">
        <f>T("240220")</f>
        <v>240220</v>
      </c>
      <c r="B2257" t="str">
        <f>T("Cigarettes contenant du tabac")</f>
        <v>Cigarettes contenant du tabac</v>
      </c>
    </row>
    <row r="2258" spans="1:4" x14ac:dyDescent="0.25">
      <c r="A2258" t="str">
        <f>T("   ZZZ_Monde")</f>
        <v xml:space="preserve">   ZZZ_Monde</v>
      </c>
      <c r="B2258" t="str">
        <f>T("   ZZZ_Monde")</f>
        <v xml:space="preserve">   ZZZ_Monde</v>
      </c>
      <c r="C2258">
        <v>2265768031</v>
      </c>
      <c r="D2258">
        <v>878059</v>
      </c>
    </row>
    <row r="2259" spans="1:4" x14ac:dyDescent="0.25">
      <c r="A2259" t="str">
        <f>T("   AE")</f>
        <v xml:space="preserve">   AE</v>
      </c>
      <c r="B2259" t="str">
        <f>T("   Emirats Arabes Unis")</f>
        <v xml:space="preserve">   Emirats Arabes Unis</v>
      </c>
      <c r="C2259">
        <v>793653059</v>
      </c>
      <c r="D2259">
        <v>378414</v>
      </c>
    </row>
    <row r="2260" spans="1:4" x14ac:dyDescent="0.25">
      <c r="A2260" t="str">
        <f>T("   CI")</f>
        <v xml:space="preserve">   CI</v>
      </c>
      <c r="B2260" t="str">
        <f>T("   Côte d'Ivoire")</f>
        <v xml:space="preserve">   Côte d'Ivoire</v>
      </c>
      <c r="C2260">
        <v>599992353</v>
      </c>
      <c r="D2260">
        <v>128000</v>
      </c>
    </row>
    <row r="2261" spans="1:4" x14ac:dyDescent="0.25">
      <c r="A2261" t="str">
        <f>T("   CN")</f>
        <v xml:space="preserve">   CN</v>
      </c>
      <c r="B2261" t="str">
        <f>T("   Chine")</f>
        <v xml:space="preserve">   Chine</v>
      </c>
      <c r="C2261">
        <v>70661108</v>
      </c>
      <c r="D2261">
        <v>32200</v>
      </c>
    </row>
    <row r="2262" spans="1:4" x14ac:dyDescent="0.25">
      <c r="A2262" t="str">
        <f>T("   NG")</f>
        <v xml:space="preserve">   NG</v>
      </c>
      <c r="B2262" t="str">
        <f>T("   Nigéria")</f>
        <v xml:space="preserve">   Nigéria</v>
      </c>
      <c r="C2262">
        <v>801450931</v>
      </c>
      <c r="D2262">
        <v>339420</v>
      </c>
    </row>
    <row r="2263" spans="1:4" x14ac:dyDescent="0.25">
      <c r="A2263" t="str">
        <f>T("   TG")</f>
        <v xml:space="preserve">   TG</v>
      </c>
      <c r="B2263" t="str">
        <f>T("   Togo")</f>
        <v xml:space="preserve">   Togo</v>
      </c>
      <c r="C2263">
        <v>10580</v>
      </c>
      <c r="D2263">
        <v>25</v>
      </c>
    </row>
    <row r="2264" spans="1:4" x14ac:dyDescent="0.25">
      <c r="A2264" t="str">
        <f>T("240290")</f>
        <v>240290</v>
      </c>
      <c r="B2264" t="str">
        <f>T("Cigares, cigarillos et cigarettes, en succédanés du tabac")</f>
        <v>Cigares, cigarillos et cigarettes, en succédanés du tabac</v>
      </c>
    </row>
    <row r="2265" spans="1:4" x14ac:dyDescent="0.25">
      <c r="A2265" t="str">
        <f>T("   ZZZ_Monde")</f>
        <v xml:space="preserve">   ZZZ_Monde</v>
      </c>
      <c r="B2265" t="str">
        <f>T("   ZZZ_Monde")</f>
        <v xml:space="preserve">   ZZZ_Monde</v>
      </c>
      <c r="C2265">
        <v>144133283</v>
      </c>
      <c r="D2265">
        <v>57472</v>
      </c>
    </row>
    <row r="2266" spans="1:4" x14ac:dyDescent="0.25">
      <c r="A2266" t="str">
        <f>T("   AE")</f>
        <v xml:space="preserve">   AE</v>
      </c>
      <c r="B2266" t="str">
        <f>T("   Emirats Arabes Unis")</f>
        <v xml:space="preserve">   Emirats Arabes Unis</v>
      </c>
      <c r="C2266">
        <v>144133283</v>
      </c>
      <c r="D2266">
        <v>57472</v>
      </c>
    </row>
    <row r="2267" spans="1:4" x14ac:dyDescent="0.25">
      <c r="A2267" t="str">
        <f>T("240310")</f>
        <v>240310</v>
      </c>
      <c r="B2267" t="str">
        <f>T("Tabac à fumer, même contenant des succédanés de tabac en toute proportion")</f>
        <v>Tabac à fumer, même contenant des succédanés de tabac en toute proportion</v>
      </c>
    </row>
    <row r="2268" spans="1:4" x14ac:dyDescent="0.25">
      <c r="A2268" t="str">
        <f>T("   ZZZ_Monde")</f>
        <v xml:space="preserve">   ZZZ_Monde</v>
      </c>
      <c r="B2268" t="str">
        <f>T("   ZZZ_Monde")</f>
        <v xml:space="preserve">   ZZZ_Monde</v>
      </c>
      <c r="C2268">
        <v>725795</v>
      </c>
      <c r="D2268">
        <v>1162</v>
      </c>
    </row>
    <row r="2269" spans="1:4" x14ac:dyDescent="0.25">
      <c r="A2269" t="str">
        <f>T("   EG")</f>
        <v xml:space="preserve">   EG</v>
      </c>
      <c r="B2269" t="str">
        <f>T("   Egypte")</f>
        <v xml:space="preserve">   Egypte</v>
      </c>
      <c r="C2269">
        <v>678760</v>
      </c>
      <c r="D2269">
        <v>955</v>
      </c>
    </row>
    <row r="2270" spans="1:4" x14ac:dyDescent="0.25">
      <c r="A2270" t="str">
        <f>T("   FR")</f>
        <v xml:space="preserve">   FR</v>
      </c>
      <c r="B2270" t="str">
        <f>T("   France")</f>
        <v xml:space="preserve">   France</v>
      </c>
      <c r="C2270">
        <v>47035</v>
      </c>
      <c r="D2270">
        <v>207</v>
      </c>
    </row>
    <row r="2271" spans="1:4" x14ac:dyDescent="0.25">
      <c r="A2271" t="str">
        <f>T("250100")</f>
        <v>250100</v>
      </c>
      <c r="B2271" t="str">
        <f>T("SEL, Y.C. LE SEL PRÉPARÉ POUR LA TABLE ET LE SEL DÉNATURÉ, ET CHLORURE DE SODIUM PUR, MÊME EN SOLUTION AQUEUSE OU ADDITIONNÉS D'AGENTS ANTIAGGLOMÉRANTS OU D'AGENTS ASSURANT UNE BONNE FLUIDITÉ; EAU DE MER [01/01/1988-31/12/1991: SEL, Y.C. LE SEL PREPARE PO")</f>
        <v>SEL, Y.C. LE SEL PRÉPARÉ POUR LA TABLE ET LE SEL DÉNATURÉ, ET CHLORURE DE SODIUM PUR, MÊME EN SOLUTION AQUEUSE OU ADDITIONNÉS D'AGENTS ANTIAGGLOMÉRANTS OU D'AGENTS ASSURANT UNE BONNE FLUIDITÉ; EAU DE MER [01/01/1988-31/12/1991: SEL, Y.C. LE SEL PREPARE PO</v>
      </c>
    </row>
    <row r="2272" spans="1:4" x14ac:dyDescent="0.25">
      <c r="A2272" t="str">
        <f>T("   ZZZ_Monde")</f>
        <v xml:space="preserve">   ZZZ_Monde</v>
      </c>
      <c r="B2272" t="str">
        <f>T("   ZZZ_Monde")</f>
        <v xml:space="preserve">   ZZZ_Monde</v>
      </c>
      <c r="C2272">
        <v>2596682700</v>
      </c>
      <c r="D2272">
        <v>46995665</v>
      </c>
    </row>
    <row r="2273" spans="1:4" x14ac:dyDescent="0.25">
      <c r="A2273" t="str">
        <f>T("   CN")</f>
        <v xml:space="preserve">   CN</v>
      </c>
      <c r="B2273" t="str">
        <f>T("   Chine")</f>
        <v xml:space="preserve">   Chine</v>
      </c>
      <c r="C2273">
        <v>8834259</v>
      </c>
      <c r="D2273">
        <v>251704</v>
      </c>
    </row>
    <row r="2274" spans="1:4" x14ac:dyDescent="0.25">
      <c r="A2274" t="str">
        <f>T("   EG")</f>
        <v xml:space="preserve">   EG</v>
      </c>
      <c r="B2274" t="str">
        <f>T("   Egypte")</f>
        <v xml:space="preserve">   Egypte</v>
      </c>
      <c r="C2274">
        <v>122839308</v>
      </c>
      <c r="D2274">
        <v>2698757</v>
      </c>
    </row>
    <row r="2275" spans="1:4" x14ac:dyDescent="0.25">
      <c r="A2275" t="str">
        <f>T("   ER")</f>
        <v xml:space="preserve">   ER</v>
      </c>
      <c r="B2275" t="str">
        <f>T("   Erythrée")</f>
        <v xml:space="preserve">   Erythrée</v>
      </c>
      <c r="C2275">
        <v>13739693</v>
      </c>
      <c r="D2275">
        <v>300000</v>
      </c>
    </row>
    <row r="2276" spans="1:4" x14ac:dyDescent="0.25">
      <c r="A2276" t="str">
        <f>T("   ES")</f>
        <v xml:space="preserve">   ES</v>
      </c>
      <c r="B2276" t="str">
        <f>T("   Espagne")</f>
        <v xml:space="preserve">   Espagne</v>
      </c>
      <c r="C2276">
        <v>6513683</v>
      </c>
      <c r="D2276">
        <v>54800</v>
      </c>
    </row>
    <row r="2277" spans="1:4" x14ac:dyDescent="0.25">
      <c r="A2277" t="str">
        <f>T("   FR")</f>
        <v xml:space="preserve">   FR</v>
      </c>
      <c r="B2277" t="str">
        <f>T("   France")</f>
        <v xml:space="preserve">   France</v>
      </c>
      <c r="C2277">
        <v>2652256</v>
      </c>
      <c r="D2277">
        <v>3432</v>
      </c>
    </row>
    <row r="2278" spans="1:4" x14ac:dyDescent="0.25">
      <c r="A2278" t="str">
        <f>T("   GB")</f>
        <v xml:space="preserve">   GB</v>
      </c>
      <c r="B2278" t="str">
        <f>T("   Royaume-Uni")</f>
        <v xml:space="preserve">   Royaume-Uni</v>
      </c>
      <c r="C2278">
        <v>1492115</v>
      </c>
      <c r="D2278">
        <v>1858</v>
      </c>
    </row>
    <row r="2279" spans="1:4" x14ac:dyDescent="0.25">
      <c r="A2279" t="str">
        <f>T("   GH")</f>
        <v xml:space="preserve">   GH</v>
      </c>
      <c r="B2279" t="str">
        <f>T("   Ghana")</f>
        <v xml:space="preserve">   Ghana</v>
      </c>
      <c r="C2279">
        <v>42543973</v>
      </c>
      <c r="D2279">
        <v>1332924</v>
      </c>
    </row>
    <row r="2280" spans="1:4" x14ac:dyDescent="0.25">
      <c r="A2280" t="str">
        <f>T("   IN")</f>
        <v xml:space="preserve">   IN</v>
      </c>
      <c r="B2280" t="str">
        <f>T("   Inde")</f>
        <v xml:space="preserve">   Inde</v>
      </c>
      <c r="C2280">
        <v>110027399</v>
      </c>
      <c r="D2280">
        <v>2317201</v>
      </c>
    </row>
    <row r="2281" spans="1:4" x14ac:dyDescent="0.25">
      <c r="A2281" t="str">
        <f>T("   LB")</f>
        <v xml:space="preserve">   LB</v>
      </c>
      <c r="B2281" t="str">
        <f>T("   Liban")</f>
        <v xml:space="preserve">   Liban</v>
      </c>
      <c r="C2281">
        <v>2156820</v>
      </c>
      <c r="D2281">
        <v>7096</v>
      </c>
    </row>
    <row r="2282" spans="1:4" x14ac:dyDescent="0.25">
      <c r="A2282" t="str">
        <f>T("   NG")</f>
        <v xml:space="preserve">   NG</v>
      </c>
      <c r="B2282" t="str">
        <f>T("   Nigéria")</f>
        <v xml:space="preserve">   Nigéria</v>
      </c>
      <c r="C2282">
        <v>593750</v>
      </c>
      <c r="D2282">
        <v>23750</v>
      </c>
    </row>
    <row r="2283" spans="1:4" x14ac:dyDescent="0.25">
      <c r="A2283" t="str">
        <f>T("   PK")</f>
        <v xml:space="preserve">   PK</v>
      </c>
      <c r="B2283" t="str">
        <f>T("   Pakistan")</f>
        <v xml:space="preserve">   Pakistan</v>
      </c>
      <c r="C2283">
        <v>3015000</v>
      </c>
      <c r="D2283">
        <v>30150</v>
      </c>
    </row>
    <row r="2284" spans="1:4" x14ac:dyDescent="0.25">
      <c r="A2284" t="str">
        <f>T("   SN")</f>
        <v xml:space="preserve">   SN</v>
      </c>
      <c r="B2284" t="str">
        <f>T("   Sénégal")</f>
        <v xml:space="preserve">   Sénégal</v>
      </c>
      <c r="C2284">
        <v>2171696594</v>
      </c>
      <c r="D2284">
        <v>37216500</v>
      </c>
    </row>
    <row r="2285" spans="1:4" x14ac:dyDescent="0.25">
      <c r="A2285" t="str">
        <f>T("   TG")</f>
        <v xml:space="preserve">   TG</v>
      </c>
      <c r="B2285" t="str">
        <f>T("   Togo")</f>
        <v xml:space="preserve">   Togo</v>
      </c>
      <c r="C2285">
        <v>54932201</v>
      </c>
      <c r="D2285">
        <v>1635653</v>
      </c>
    </row>
    <row r="2286" spans="1:4" x14ac:dyDescent="0.25">
      <c r="A2286" t="str">
        <f>T("   TN")</f>
        <v xml:space="preserve">   TN</v>
      </c>
      <c r="B2286" t="str">
        <f>T("   Tunisie")</f>
        <v xml:space="preserve">   Tunisie</v>
      </c>
      <c r="C2286">
        <v>55645649</v>
      </c>
      <c r="D2286">
        <v>1121840</v>
      </c>
    </row>
    <row r="2287" spans="1:4" x14ac:dyDescent="0.25">
      <c r="A2287" t="str">
        <f>T("250300")</f>
        <v>250300</v>
      </c>
      <c r="B2287" t="str">
        <f>T("Soufres de toute espèce (à l'excl. du soufre sublimé, du soufre précipité ou du soufre colloïdal)")</f>
        <v>Soufres de toute espèce (à l'excl. du soufre sublimé, du soufre précipité ou du soufre colloïdal)</v>
      </c>
    </row>
    <row r="2288" spans="1:4" x14ac:dyDescent="0.25">
      <c r="A2288" t="str">
        <f>T("   ZZZ_Monde")</f>
        <v xml:space="preserve">   ZZZ_Monde</v>
      </c>
      <c r="B2288" t="str">
        <f>T("   ZZZ_Monde")</f>
        <v xml:space="preserve">   ZZZ_Monde</v>
      </c>
      <c r="C2288">
        <v>15654712</v>
      </c>
      <c r="D2288">
        <v>102010</v>
      </c>
    </row>
    <row r="2289" spans="1:4" x14ac:dyDescent="0.25">
      <c r="A2289" t="str">
        <f>T("   CN")</f>
        <v xml:space="preserve">   CN</v>
      </c>
      <c r="B2289" t="str">
        <f>T("   Chine")</f>
        <v xml:space="preserve">   Chine</v>
      </c>
      <c r="C2289">
        <v>15654712</v>
      </c>
      <c r="D2289">
        <v>102010</v>
      </c>
    </row>
    <row r="2290" spans="1:4" x14ac:dyDescent="0.25">
      <c r="A2290" t="str">
        <f>T("250410")</f>
        <v>250410</v>
      </c>
      <c r="B2290" t="str">
        <f>T("Graphite naturel, en poudre ou en paillettes")</f>
        <v>Graphite naturel, en poudre ou en paillettes</v>
      </c>
    </row>
    <row r="2291" spans="1:4" x14ac:dyDescent="0.25">
      <c r="A2291" t="str">
        <f>T("   ZZZ_Monde")</f>
        <v xml:space="preserve">   ZZZ_Monde</v>
      </c>
      <c r="B2291" t="str">
        <f>T("   ZZZ_Monde")</f>
        <v xml:space="preserve">   ZZZ_Monde</v>
      </c>
      <c r="C2291">
        <v>14184348</v>
      </c>
      <c r="D2291">
        <v>43800</v>
      </c>
    </row>
    <row r="2292" spans="1:4" x14ac:dyDescent="0.25">
      <c r="A2292" t="str">
        <f>T("   FR")</f>
        <v xml:space="preserve">   FR</v>
      </c>
      <c r="B2292" t="str">
        <f>T("   France")</f>
        <v xml:space="preserve">   France</v>
      </c>
      <c r="C2292">
        <v>14184348</v>
      </c>
      <c r="D2292">
        <v>43800</v>
      </c>
    </row>
    <row r="2293" spans="1:4" x14ac:dyDescent="0.25">
      <c r="A2293" t="str">
        <f>T("250490")</f>
        <v>250490</v>
      </c>
      <c r="B2293" t="str">
        <f>T("Graphite naturel (autre qu'en poudre ou en paillettes)")</f>
        <v>Graphite naturel (autre qu'en poudre ou en paillettes)</v>
      </c>
    </row>
    <row r="2294" spans="1:4" x14ac:dyDescent="0.25">
      <c r="A2294" t="str">
        <f>T("   ZZZ_Monde")</f>
        <v xml:space="preserve">   ZZZ_Monde</v>
      </c>
      <c r="B2294" t="str">
        <f>T("   ZZZ_Monde")</f>
        <v xml:space="preserve">   ZZZ_Monde</v>
      </c>
      <c r="C2294">
        <v>615061</v>
      </c>
      <c r="D2294">
        <v>1</v>
      </c>
    </row>
    <row r="2295" spans="1:4" x14ac:dyDescent="0.25">
      <c r="A2295" t="str">
        <f>T("   NL")</f>
        <v xml:space="preserve">   NL</v>
      </c>
      <c r="B2295" t="str">
        <f>T("   Pays-bas")</f>
        <v xml:space="preserve">   Pays-bas</v>
      </c>
      <c r="C2295">
        <v>615061</v>
      </c>
      <c r="D2295">
        <v>1</v>
      </c>
    </row>
    <row r="2296" spans="1:4" x14ac:dyDescent="0.25">
      <c r="A2296" t="str">
        <f>T("250510")</f>
        <v>250510</v>
      </c>
      <c r="B2296" t="str">
        <f>T("Sables siliceux et sables quartzeux, même colorés")</f>
        <v>Sables siliceux et sables quartzeux, même colorés</v>
      </c>
    </row>
    <row r="2297" spans="1:4" x14ac:dyDescent="0.25">
      <c r="A2297" t="str">
        <f>T("   ZZZ_Monde")</f>
        <v xml:space="preserve">   ZZZ_Monde</v>
      </c>
      <c r="B2297" t="str">
        <f>T("   ZZZ_Monde")</f>
        <v xml:space="preserve">   ZZZ_Monde</v>
      </c>
      <c r="C2297">
        <v>20365352</v>
      </c>
      <c r="D2297">
        <v>76222</v>
      </c>
    </row>
    <row r="2298" spans="1:4" x14ac:dyDescent="0.25">
      <c r="A2298" t="str">
        <f>T("   FR")</f>
        <v xml:space="preserve">   FR</v>
      </c>
      <c r="B2298" t="str">
        <f>T("   France")</f>
        <v xml:space="preserve">   France</v>
      </c>
      <c r="C2298">
        <v>11338925</v>
      </c>
      <c r="D2298">
        <v>27920</v>
      </c>
    </row>
    <row r="2299" spans="1:4" x14ac:dyDescent="0.25">
      <c r="A2299" t="str">
        <f>T("   IT")</f>
        <v xml:space="preserve">   IT</v>
      </c>
      <c r="B2299" t="str">
        <f>T("   Italie")</f>
        <v xml:space="preserve">   Italie</v>
      </c>
      <c r="C2299">
        <v>9026427</v>
      </c>
      <c r="D2299">
        <v>48302</v>
      </c>
    </row>
    <row r="2300" spans="1:4" x14ac:dyDescent="0.25">
      <c r="A2300" t="str">
        <f>T("250590")</f>
        <v>250590</v>
      </c>
      <c r="B2300" t="str">
        <f>T("Sables naturels de toute espèce, même colorés (à l'excl. des sables aurifères, platinifères, monazités, bitumineux, asphaltiques, siliceux ou quartzeux ainsi que des sables de zircon, de rutile ou d'ilménite)")</f>
        <v>Sables naturels de toute espèce, même colorés (à l'excl. des sables aurifères, platinifères, monazités, bitumineux, asphaltiques, siliceux ou quartzeux ainsi que des sables de zircon, de rutile ou d'ilménite)</v>
      </c>
    </row>
    <row r="2301" spans="1:4" x14ac:dyDescent="0.25">
      <c r="A2301" t="str">
        <f>T("   ZZZ_Monde")</f>
        <v xml:space="preserve">   ZZZ_Monde</v>
      </c>
      <c r="B2301" t="str">
        <f>T("   ZZZ_Monde")</f>
        <v xml:space="preserve">   ZZZ_Monde</v>
      </c>
      <c r="C2301">
        <v>9531221</v>
      </c>
      <c r="D2301">
        <v>70109</v>
      </c>
    </row>
    <row r="2302" spans="1:4" x14ac:dyDescent="0.25">
      <c r="A2302" t="str">
        <f>T("   ES")</f>
        <v xml:space="preserve">   ES</v>
      </c>
      <c r="B2302" t="str">
        <f>T("   Espagne")</f>
        <v xml:space="preserve">   Espagne</v>
      </c>
      <c r="C2302">
        <v>291246</v>
      </c>
      <c r="D2302">
        <v>1289</v>
      </c>
    </row>
    <row r="2303" spans="1:4" x14ac:dyDescent="0.25">
      <c r="A2303" t="str">
        <f>T("   FR")</f>
        <v xml:space="preserve">   FR</v>
      </c>
      <c r="B2303" t="str">
        <f>T("   France")</f>
        <v xml:space="preserve">   France</v>
      </c>
      <c r="C2303">
        <v>1899005</v>
      </c>
      <c r="D2303">
        <v>10800</v>
      </c>
    </row>
    <row r="2304" spans="1:4" x14ac:dyDescent="0.25">
      <c r="A2304" t="str">
        <f>T("   NG")</f>
        <v xml:space="preserve">   NG</v>
      </c>
      <c r="B2304" t="str">
        <f>T("   Nigéria")</f>
        <v xml:space="preserve">   Nigéria</v>
      </c>
      <c r="C2304">
        <v>1261250</v>
      </c>
      <c r="D2304">
        <v>50450</v>
      </c>
    </row>
    <row r="2305" spans="1:4" x14ac:dyDescent="0.25">
      <c r="A2305" t="str">
        <f>T("   NO")</f>
        <v xml:space="preserve">   NO</v>
      </c>
      <c r="B2305" t="str">
        <f>T("   Norvège")</f>
        <v xml:space="preserve">   Norvège</v>
      </c>
      <c r="C2305">
        <v>6014720</v>
      </c>
      <c r="D2305">
        <v>6270</v>
      </c>
    </row>
    <row r="2306" spans="1:4" x14ac:dyDescent="0.25">
      <c r="A2306" t="str">
        <f>T("   TG")</f>
        <v xml:space="preserve">   TG</v>
      </c>
      <c r="B2306" t="str">
        <f>T("   Togo")</f>
        <v xml:space="preserve">   Togo</v>
      </c>
      <c r="C2306">
        <v>65000</v>
      </c>
      <c r="D2306">
        <v>1300</v>
      </c>
    </row>
    <row r="2307" spans="1:4" x14ac:dyDescent="0.25">
      <c r="A2307" t="str">
        <f>T("250700")</f>
        <v>250700</v>
      </c>
      <c r="B2307" t="str">
        <f>T("Kaolin et autres argiles kaoliniques, même calcinés")</f>
        <v>Kaolin et autres argiles kaoliniques, même calcinés</v>
      </c>
    </row>
    <row r="2308" spans="1:4" x14ac:dyDescent="0.25">
      <c r="A2308" t="str">
        <f>T("   ZZZ_Monde")</f>
        <v xml:space="preserve">   ZZZ_Monde</v>
      </c>
      <c r="B2308" t="str">
        <f>T("   ZZZ_Monde")</f>
        <v xml:space="preserve">   ZZZ_Monde</v>
      </c>
      <c r="C2308">
        <v>2860650</v>
      </c>
      <c r="D2308">
        <v>21190</v>
      </c>
    </row>
    <row r="2309" spans="1:4" x14ac:dyDescent="0.25">
      <c r="A2309" t="str">
        <f>T("   NG")</f>
        <v xml:space="preserve">   NG</v>
      </c>
      <c r="B2309" t="str">
        <f>T("   Nigéria")</f>
        <v xml:space="preserve">   Nigéria</v>
      </c>
      <c r="C2309">
        <v>2860650</v>
      </c>
      <c r="D2309">
        <v>21190</v>
      </c>
    </row>
    <row r="2310" spans="1:4" x14ac:dyDescent="0.25">
      <c r="A2310" t="str">
        <f>T("250810")</f>
        <v>250810</v>
      </c>
      <c r="B2310" t="str">
        <f>T("Bentonite")</f>
        <v>Bentonite</v>
      </c>
    </row>
    <row r="2311" spans="1:4" x14ac:dyDescent="0.25">
      <c r="A2311" t="str">
        <f>T("   ZZZ_Monde")</f>
        <v xml:space="preserve">   ZZZ_Monde</v>
      </c>
      <c r="B2311" t="str">
        <f>T("   ZZZ_Monde")</f>
        <v xml:space="preserve">   ZZZ_Monde</v>
      </c>
      <c r="C2311">
        <v>8138840</v>
      </c>
      <c r="D2311">
        <v>22723</v>
      </c>
    </row>
    <row r="2312" spans="1:4" x14ac:dyDescent="0.25">
      <c r="A2312" t="str">
        <f>T("   BE")</f>
        <v xml:space="preserve">   BE</v>
      </c>
      <c r="B2312" t="str">
        <f>T("   Belgique")</f>
        <v xml:space="preserve">   Belgique</v>
      </c>
      <c r="C2312">
        <v>2931485</v>
      </c>
      <c r="D2312">
        <v>725</v>
      </c>
    </row>
    <row r="2313" spans="1:4" x14ac:dyDescent="0.25">
      <c r="A2313" t="str">
        <f>T("   CN")</f>
        <v xml:space="preserve">   CN</v>
      </c>
      <c r="B2313" t="str">
        <f>T("   Chine")</f>
        <v xml:space="preserve">   Chine</v>
      </c>
      <c r="C2313">
        <v>334166</v>
      </c>
      <c r="D2313">
        <v>588</v>
      </c>
    </row>
    <row r="2314" spans="1:4" x14ac:dyDescent="0.25">
      <c r="A2314" t="str">
        <f>T("   FR")</f>
        <v xml:space="preserve">   FR</v>
      </c>
      <c r="B2314" t="str">
        <f>T("   France")</f>
        <v xml:space="preserve">   France</v>
      </c>
      <c r="C2314">
        <v>1412282</v>
      </c>
      <c r="D2314">
        <v>160</v>
      </c>
    </row>
    <row r="2315" spans="1:4" x14ac:dyDescent="0.25">
      <c r="A2315" t="str">
        <f>T("   ZA")</f>
        <v xml:space="preserve">   ZA</v>
      </c>
      <c r="B2315" t="str">
        <f>T("   Afrique du Sud")</f>
        <v xml:space="preserve">   Afrique du Sud</v>
      </c>
      <c r="C2315">
        <v>3460907</v>
      </c>
      <c r="D2315">
        <v>21250</v>
      </c>
    </row>
    <row r="2316" spans="1:4" x14ac:dyDescent="0.25">
      <c r="A2316" t="str">
        <f>T("250840")</f>
        <v>250840</v>
      </c>
      <c r="B2316" t="str">
        <f>T("Argiles (à l'excl. des argiles réfractaires ou expansées ainsi que du kaolin et des autres argiles kaoliniques)")</f>
        <v>Argiles (à l'excl. des argiles réfractaires ou expansées ainsi que du kaolin et des autres argiles kaoliniques)</v>
      </c>
    </row>
    <row r="2317" spans="1:4" x14ac:dyDescent="0.25">
      <c r="A2317" t="str">
        <f>T("   ZZZ_Monde")</f>
        <v xml:space="preserve">   ZZZ_Monde</v>
      </c>
      <c r="B2317" t="str">
        <f>T("   ZZZ_Monde")</f>
        <v xml:space="preserve">   ZZZ_Monde</v>
      </c>
      <c r="C2317">
        <v>14758226</v>
      </c>
      <c r="D2317">
        <v>9360</v>
      </c>
    </row>
    <row r="2318" spans="1:4" x14ac:dyDescent="0.25">
      <c r="A2318" t="str">
        <f>T("   FR")</f>
        <v xml:space="preserve">   FR</v>
      </c>
      <c r="B2318" t="str">
        <f>T("   France")</f>
        <v xml:space="preserve">   France</v>
      </c>
      <c r="C2318">
        <v>14758226</v>
      </c>
      <c r="D2318">
        <v>9360</v>
      </c>
    </row>
    <row r="2319" spans="1:4" x14ac:dyDescent="0.25">
      <c r="A2319" t="str">
        <f>T("250900")</f>
        <v>250900</v>
      </c>
      <c r="B2319" t="str">
        <f>T("Craie")</f>
        <v>Craie</v>
      </c>
    </row>
    <row r="2320" spans="1:4" x14ac:dyDescent="0.25">
      <c r="A2320" t="str">
        <f>T("   ZZZ_Monde")</f>
        <v xml:space="preserve">   ZZZ_Monde</v>
      </c>
      <c r="B2320" t="str">
        <f>T("   ZZZ_Monde")</f>
        <v xml:space="preserve">   ZZZ_Monde</v>
      </c>
      <c r="C2320">
        <v>73425563</v>
      </c>
      <c r="D2320">
        <v>1112604</v>
      </c>
    </row>
    <row r="2321" spans="1:4" x14ac:dyDescent="0.25">
      <c r="A2321" t="str">
        <f>T("   ES")</f>
        <v xml:space="preserve">   ES</v>
      </c>
      <c r="B2321" t="str">
        <f>T("   Espagne")</f>
        <v xml:space="preserve">   Espagne</v>
      </c>
      <c r="C2321">
        <v>6148477</v>
      </c>
      <c r="D2321">
        <v>52250</v>
      </c>
    </row>
    <row r="2322" spans="1:4" x14ac:dyDescent="0.25">
      <c r="A2322" t="str">
        <f>T("   FR")</f>
        <v xml:space="preserve">   FR</v>
      </c>
      <c r="B2322" t="str">
        <f>T("   France")</f>
        <v xml:space="preserve">   France</v>
      </c>
      <c r="C2322">
        <v>17369888</v>
      </c>
      <c r="D2322">
        <v>150034</v>
      </c>
    </row>
    <row r="2323" spans="1:4" x14ac:dyDescent="0.25">
      <c r="A2323" t="str">
        <f>T("   TN")</f>
        <v xml:space="preserve">   TN</v>
      </c>
      <c r="B2323" t="str">
        <f>T("   Tunisie")</f>
        <v xml:space="preserve">   Tunisie</v>
      </c>
      <c r="C2323">
        <v>49907198</v>
      </c>
      <c r="D2323">
        <v>910320</v>
      </c>
    </row>
    <row r="2324" spans="1:4" x14ac:dyDescent="0.25">
      <c r="A2324" t="str">
        <f>T("251010")</f>
        <v>251010</v>
      </c>
      <c r="B2324" t="str">
        <f>T("Phosphates de calcium et phosphates aluminocalciques, naturels et craies phosphatées, non moulus")</f>
        <v>Phosphates de calcium et phosphates aluminocalciques, naturels et craies phosphatées, non moulus</v>
      </c>
    </row>
    <row r="2325" spans="1:4" x14ac:dyDescent="0.25">
      <c r="A2325" t="str">
        <f>T("   ZZZ_Monde")</f>
        <v xml:space="preserve">   ZZZ_Monde</v>
      </c>
      <c r="B2325" t="str">
        <f>T("   ZZZ_Monde")</f>
        <v xml:space="preserve">   ZZZ_Monde</v>
      </c>
      <c r="C2325">
        <v>263852</v>
      </c>
      <c r="D2325">
        <v>200</v>
      </c>
    </row>
    <row r="2326" spans="1:4" x14ac:dyDescent="0.25">
      <c r="A2326" t="str">
        <f>T("   TG")</f>
        <v xml:space="preserve">   TG</v>
      </c>
      <c r="B2326" t="str">
        <f>T("   Togo")</f>
        <v xml:space="preserve">   Togo</v>
      </c>
      <c r="C2326">
        <v>263852</v>
      </c>
      <c r="D2326">
        <v>200</v>
      </c>
    </row>
    <row r="2327" spans="1:4" x14ac:dyDescent="0.25">
      <c r="A2327" t="str">
        <f>T("251110")</f>
        <v>251110</v>
      </c>
      <c r="B2327" t="str">
        <f>T("Sulfate de baryum naturel [barytine]")</f>
        <v>Sulfate de baryum naturel [barytine]</v>
      </c>
    </row>
    <row r="2328" spans="1:4" x14ac:dyDescent="0.25">
      <c r="A2328" t="str">
        <f>T("   ZZZ_Monde")</f>
        <v xml:space="preserve">   ZZZ_Monde</v>
      </c>
      <c r="B2328" t="str">
        <f>T("   ZZZ_Monde")</f>
        <v xml:space="preserve">   ZZZ_Monde</v>
      </c>
      <c r="C2328">
        <v>1355214</v>
      </c>
      <c r="D2328">
        <v>2016</v>
      </c>
    </row>
    <row r="2329" spans="1:4" x14ac:dyDescent="0.25">
      <c r="A2329" t="str">
        <f>T("   GB")</f>
        <v xml:space="preserve">   GB</v>
      </c>
      <c r="B2329" t="str">
        <f>T("   Royaume-Uni")</f>
        <v xml:space="preserve">   Royaume-Uni</v>
      </c>
      <c r="C2329">
        <v>1355214</v>
      </c>
      <c r="D2329">
        <v>2016</v>
      </c>
    </row>
    <row r="2330" spans="1:4" x14ac:dyDescent="0.25">
      <c r="A2330" t="str">
        <f>T("251200")</f>
        <v>251200</v>
      </c>
      <c r="B2330" t="str">
        <f>T("Farines siliceuses fossiles [kieselguhr, tripolite, diatomite, par exemple] et autres terres siliceuses analogues, d'une densité apparente &lt;= 1, même calcinées")</f>
        <v>Farines siliceuses fossiles [kieselguhr, tripolite, diatomite, par exemple] et autres terres siliceuses analogues, d'une densité apparente &lt;= 1, même calcinées</v>
      </c>
    </row>
    <row r="2331" spans="1:4" x14ac:dyDescent="0.25">
      <c r="A2331" t="str">
        <f>T("   ZZZ_Monde")</f>
        <v xml:space="preserve">   ZZZ_Monde</v>
      </c>
      <c r="B2331" t="str">
        <f>T("   ZZZ_Monde")</f>
        <v xml:space="preserve">   ZZZ_Monde</v>
      </c>
      <c r="C2331">
        <v>88082157</v>
      </c>
      <c r="D2331">
        <v>147421</v>
      </c>
    </row>
    <row r="2332" spans="1:4" x14ac:dyDescent="0.25">
      <c r="A2332" t="str">
        <f>T("   DE")</f>
        <v xml:space="preserve">   DE</v>
      </c>
      <c r="B2332" t="str">
        <f>T("   Allemagne")</f>
        <v xml:space="preserve">   Allemagne</v>
      </c>
      <c r="C2332">
        <v>2367635</v>
      </c>
      <c r="D2332">
        <v>3349</v>
      </c>
    </row>
    <row r="2333" spans="1:4" x14ac:dyDescent="0.25">
      <c r="A2333" t="str">
        <f>T("   FR")</f>
        <v xml:space="preserve">   FR</v>
      </c>
      <c r="B2333" t="str">
        <f>T("   France")</f>
        <v xml:space="preserve">   France</v>
      </c>
      <c r="C2333">
        <v>60973004</v>
      </c>
      <c r="D2333">
        <v>104601</v>
      </c>
    </row>
    <row r="2334" spans="1:4" x14ac:dyDescent="0.25">
      <c r="A2334" t="str">
        <f>T("   IE")</f>
        <v xml:space="preserve">   IE</v>
      </c>
      <c r="B2334" t="str">
        <f>T("   Irlande")</f>
        <v xml:space="preserve">   Irlande</v>
      </c>
      <c r="C2334">
        <v>24741518</v>
      </c>
      <c r="D2334">
        <v>39471</v>
      </c>
    </row>
    <row r="2335" spans="1:4" x14ac:dyDescent="0.25">
      <c r="A2335" t="str">
        <f>T("251319")</f>
        <v>251319</v>
      </c>
      <c r="B2335" t="str">
        <f>T("Pierre ponce, broyée ou pulvérisée")</f>
        <v>Pierre ponce, broyée ou pulvérisée</v>
      </c>
    </row>
    <row r="2336" spans="1:4" x14ac:dyDescent="0.25">
      <c r="A2336" t="str">
        <f>T("   ZZZ_Monde")</f>
        <v xml:space="preserve">   ZZZ_Monde</v>
      </c>
      <c r="B2336" t="str">
        <f>T("   ZZZ_Monde")</f>
        <v xml:space="preserve">   ZZZ_Monde</v>
      </c>
      <c r="C2336">
        <v>17590</v>
      </c>
      <c r="D2336">
        <v>20</v>
      </c>
    </row>
    <row r="2337" spans="1:4" x14ac:dyDescent="0.25">
      <c r="A2337" t="str">
        <f>T("   TG")</f>
        <v xml:space="preserve">   TG</v>
      </c>
      <c r="B2337" t="str">
        <f>T("   Togo")</f>
        <v xml:space="preserve">   Togo</v>
      </c>
      <c r="C2337">
        <v>17590</v>
      </c>
      <c r="D2337">
        <v>20</v>
      </c>
    </row>
    <row r="2338" spans="1:4" x14ac:dyDescent="0.25">
      <c r="A2338" t="str">
        <f>T("251512")</f>
        <v>251512</v>
      </c>
      <c r="B2338" t="str">
        <f>T("MARBRES ET TRAVERTINS, SIMPL. DÉBITÉS, PAR SCIAGE OU AUTREMENT, EN BLOCS OU EN PLAQUES DE FORME CARRÉE OU RECTANGULAIRE")</f>
        <v>MARBRES ET TRAVERTINS, SIMPL. DÉBITÉS, PAR SCIAGE OU AUTREMENT, EN BLOCS OU EN PLAQUES DE FORME CARRÉE OU RECTANGULAIRE</v>
      </c>
    </row>
    <row r="2339" spans="1:4" x14ac:dyDescent="0.25">
      <c r="A2339" t="str">
        <f>T("   ZZZ_Monde")</f>
        <v xml:space="preserve">   ZZZ_Monde</v>
      </c>
      <c r="B2339" t="str">
        <f>T("   ZZZ_Monde")</f>
        <v xml:space="preserve">   ZZZ_Monde</v>
      </c>
      <c r="C2339">
        <v>18539733</v>
      </c>
      <c r="D2339">
        <v>98407</v>
      </c>
    </row>
    <row r="2340" spans="1:4" x14ac:dyDescent="0.25">
      <c r="A2340" t="str">
        <f>T("   EG")</f>
        <v xml:space="preserve">   EG</v>
      </c>
      <c r="B2340" t="str">
        <f>T("   Egypte")</f>
        <v xml:space="preserve">   Egypte</v>
      </c>
      <c r="C2340">
        <v>8336685</v>
      </c>
      <c r="D2340">
        <v>43905</v>
      </c>
    </row>
    <row r="2341" spans="1:4" x14ac:dyDescent="0.25">
      <c r="A2341" t="str">
        <f>T("   IN")</f>
        <v xml:space="preserve">   IN</v>
      </c>
      <c r="B2341" t="str">
        <f>T("   Inde")</f>
        <v xml:space="preserve">   Inde</v>
      </c>
      <c r="C2341">
        <v>6281901</v>
      </c>
      <c r="D2341">
        <v>18500</v>
      </c>
    </row>
    <row r="2342" spans="1:4" x14ac:dyDescent="0.25">
      <c r="A2342" t="str">
        <f>T("   IT")</f>
        <v xml:space="preserve">   IT</v>
      </c>
      <c r="B2342" t="str">
        <f>T("   Italie")</f>
        <v xml:space="preserve">   Italie</v>
      </c>
      <c r="C2342">
        <v>3340673</v>
      </c>
      <c r="D2342">
        <v>27000</v>
      </c>
    </row>
    <row r="2343" spans="1:4" x14ac:dyDescent="0.25">
      <c r="A2343" t="str">
        <f>T("   TG")</f>
        <v xml:space="preserve">   TG</v>
      </c>
      <c r="B2343" t="str">
        <f>T("   Togo")</f>
        <v xml:space="preserve">   Togo</v>
      </c>
      <c r="C2343">
        <v>580474</v>
      </c>
      <c r="D2343">
        <v>9002</v>
      </c>
    </row>
    <row r="2344" spans="1:4" x14ac:dyDescent="0.25">
      <c r="A2344" t="str">
        <f>T("251520")</f>
        <v>251520</v>
      </c>
      <c r="B2344" t="str">
        <f>T("Ecaussines et autres pierres calcaires de taille ou de construction, d'une densité apparente &gt;= 2,5, et albâtre, même dégrossis ou simplement débités, par sciage ou autrement, en blocs ou en plaques de forme carrée ou rectangulaire (à l'excl. des marbres")</f>
        <v>Ecaussines et autres pierres calcaires de taille ou de construction, d'une densité apparente &gt;= 2,5, et albâtre, même dégrossis ou simplement débités, par sciage ou autrement, en blocs ou en plaques de forme carrée ou rectangulaire (à l'excl. des marbres</v>
      </c>
    </row>
    <row r="2345" spans="1:4" x14ac:dyDescent="0.25">
      <c r="A2345" t="str">
        <f>T("   ZZZ_Monde")</f>
        <v xml:space="preserve">   ZZZ_Monde</v>
      </c>
      <c r="B2345" t="str">
        <f>T("   ZZZ_Monde")</f>
        <v xml:space="preserve">   ZZZ_Monde</v>
      </c>
      <c r="C2345">
        <v>1500000</v>
      </c>
      <c r="D2345">
        <v>4700</v>
      </c>
    </row>
    <row r="2346" spans="1:4" x14ac:dyDescent="0.25">
      <c r="A2346" t="str">
        <f>T("   FR")</f>
        <v xml:space="preserve">   FR</v>
      </c>
      <c r="B2346" t="str">
        <f>T("   France")</f>
        <v xml:space="preserve">   France</v>
      </c>
      <c r="C2346">
        <v>1500000</v>
      </c>
      <c r="D2346">
        <v>4700</v>
      </c>
    </row>
    <row r="2347" spans="1:4" x14ac:dyDescent="0.25">
      <c r="A2347" t="str">
        <f>T("251611")</f>
        <v>251611</v>
      </c>
      <c r="B2347" t="str">
        <f>T("Granit, brut ou dégrossi (à l'excl. des pierres présentant le caractère de pavés, de bordures de trottoirs ou de dalles de pavage)")</f>
        <v>Granit, brut ou dégrossi (à l'excl. des pierres présentant le caractère de pavés, de bordures de trottoirs ou de dalles de pavage)</v>
      </c>
    </row>
    <row r="2348" spans="1:4" x14ac:dyDescent="0.25">
      <c r="A2348" t="str">
        <f>T("   ZZZ_Monde")</f>
        <v xml:space="preserve">   ZZZ_Monde</v>
      </c>
      <c r="B2348" t="str">
        <f>T("   ZZZ_Monde")</f>
        <v xml:space="preserve">   ZZZ_Monde</v>
      </c>
      <c r="C2348">
        <v>200901</v>
      </c>
      <c r="D2348">
        <v>5000</v>
      </c>
    </row>
    <row r="2349" spans="1:4" x14ac:dyDescent="0.25">
      <c r="A2349" t="str">
        <f>T("   TG")</f>
        <v xml:space="preserve">   TG</v>
      </c>
      <c r="B2349" t="str">
        <f>T("   Togo")</f>
        <v xml:space="preserve">   Togo</v>
      </c>
      <c r="C2349">
        <v>200901</v>
      </c>
      <c r="D2349">
        <v>5000</v>
      </c>
    </row>
    <row r="2350" spans="1:4" x14ac:dyDescent="0.25">
      <c r="A2350" t="str">
        <f>T("251710")</f>
        <v>251710</v>
      </c>
      <c r="B2350" t="str">
        <f>T("Cailloux, graviers, pierres concassées, des types généralement utilisés pour le bétonnage ou pour l'empierrement des routes, des voies ferrées ou autres ballasts, galets et silex, même traités thermiquement")</f>
        <v>Cailloux, graviers, pierres concassées, des types généralement utilisés pour le bétonnage ou pour l'empierrement des routes, des voies ferrées ou autres ballasts, galets et silex, même traités thermiquement</v>
      </c>
    </row>
    <row r="2351" spans="1:4" x14ac:dyDescent="0.25">
      <c r="A2351" t="str">
        <f>T("   ZZZ_Monde")</f>
        <v xml:space="preserve">   ZZZ_Monde</v>
      </c>
      <c r="B2351" t="str">
        <f>T("   ZZZ_Monde")</f>
        <v xml:space="preserve">   ZZZ_Monde</v>
      </c>
      <c r="C2351">
        <v>3089960</v>
      </c>
      <c r="D2351">
        <v>21000</v>
      </c>
    </row>
    <row r="2352" spans="1:4" x14ac:dyDescent="0.25">
      <c r="A2352" t="str">
        <f>T("   IT")</f>
        <v xml:space="preserve">   IT</v>
      </c>
      <c r="B2352" t="str">
        <f>T("   Italie")</f>
        <v xml:space="preserve">   Italie</v>
      </c>
      <c r="C2352">
        <v>3089960</v>
      </c>
      <c r="D2352">
        <v>21000</v>
      </c>
    </row>
    <row r="2353" spans="1:4" x14ac:dyDescent="0.25">
      <c r="A2353" t="str">
        <f>T("251990")</f>
        <v>251990</v>
      </c>
      <c r="B2353" t="str">
        <f>T("Magnésie électrofondue; magnésie calcinée à mort [frittée], même contenant de faibles quantités d'autres oxydes ajoutés avant le frittage; autre oxyde de magnésium (à l'excl. du carbonate de magnésium naturel [magnésite])")</f>
        <v>Magnésie électrofondue; magnésie calcinée à mort [frittée], même contenant de faibles quantités d'autres oxydes ajoutés avant le frittage; autre oxyde de magnésium (à l'excl. du carbonate de magnésium naturel [magnésite])</v>
      </c>
    </row>
    <row r="2354" spans="1:4" x14ac:dyDescent="0.25">
      <c r="A2354" t="str">
        <f>T("   ZZZ_Monde")</f>
        <v xml:space="preserve">   ZZZ_Monde</v>
      </c>
      <c r="B2354" t="str">
        <f>T("   ZZZ_Monde")</f>
        <v xml:space="preserve">   ZZZ_Monde</v>
      </c>
      <c r="C2354">
        <v>640873</v>
      </c>
      <c r="D2354">
        <v>1200</v>
      </c>
    </row>
    <row r="2355" spans="1:4" x14ac:dyDescent="0.25">
      <c r="A2355" t="str">
        <f>T("   FR")</f>
        <v xml:space="preserve">   FR</v>
      </c>
      <c r="B2355" t="str">
        <f>T("   France")</f>
        <v xml:space="preserve">   France</v>
      </c>
      <c r="C2355">
        <v>640873</v>
      </c>
      <c r="D2355">
        <v>1200</v>
      </c>
    </row>
    <row r="2356" spans="1:4" x14ac:dyDescent="0.25">
      <c r="A2356" t="str">
        <f>T("252010")</f>
        <v>252010</v>
      </c>
      <c r="B2356" t="str">
        <f>T("Gypse; anhydrite")</f>
        <v>Gypse; anhydrite</v>
      </c>
    </row>
    <row r="2357" spans="1:4" x14ac:dyDescent="0.25">
      <c r="A2357" t="str">
        <f>T("   ZZZ_Monde")</f>
        <v xml:space="preserve">   ZZZ_Monde</v>
      </c>
      <c r="B2357" t="str">
        <f>T("   ZZZ_Monde")</f>
        <v xml:space="preserve">   ZZZ_Monde</v>
      </c>
      <c r="C2357">
        <v>2342924474</v>
      </c>
      <c r="D2357">
        <v>93500000</v>
      </c>
    </row>
    <row r="2358" spans="1:4" x14ac:dyDescent="0.25">
      <c r="A2358" t="str">
        <f>T("   ES")</f>
        <v xml:space="preserve">   ES</v>
      </c>
      <c r="B2358" t="str">
        <f>T("   Espagne")</f>
        <v xml:space="preserve">   Espagne</v>
      </c>
      <c r="C2358">
        <v>2342924474</v>
      </c>
      <c r="D2358">
        <v>93500000</v>
      </c>
    </row>
    <row r="2359" spans="1:4" x14ac:dyDescent="0.25">
      <c r="A2359" t="str">
        <f>T("252020")</f>
        <v>252020</v>
      </c>
      <c r="B2359" t="str">
        <f>T("Plâtres, même colorés ou additionnés de faibles quantités d'accélérateurs ou de retardateurs")</f>
        <v>Plâtres, même colorés ou additionnés de faibles quantités d'accélérateurs ou de retardateurs</v>
      </c>
    </row>
    <row r="2360" spans="1:4" x14ac:dyDescent="0.25">
      <c r="A2360" t="str">
        <f>T("   ZZZ_Monde")</f>
        <v xml:space="preserve">   ZZZ_Monde</v>
      </c>
      <c r="B2360" t="str">
        <f>T("   ZZZ_Monde")</f>
        <v xml:space="preserve">   ZZZ_Monde</v>
      </c>
      <c r="C2360">
        <v>145188376</v>
      </c>
      <c r="D2360">
        <v>2375342</v>
      </c>
    </row>
    <row r="2361" spans="1:4" x14ac:dyDescent="0.25">
      <c r="A2361" t="str">
        <f>T("   CN")</f>
        <v xml:space="preserve">   CN</v>
      </c>
      <c r="B2361" t="str">
        <f>T("   Chine")</f>
        <v xml:space="preserve">   Chine</v>
      </c>
      <c r="C2361">
        <v>2264750</v>
      </c>
      <c r="D2361">
        <v>21102</v>
      </c>
    </row>
    <row r="2362" spans="1:4" x14ac:dyDescent="0.25">
      <c r="A2362" t="str">
        <f>T("   EG")</f>
        <v xml:space="preserve">   EG</v>
      </c>
      <c r="B2362" t="str">
        <f>T("   Egypte")</f>
        <v xml:space="preserve">   Egypte</v>
      </c>
      <c r="C2362">
        <v>28317515</v>
      </c>
      <c r="D2362">
        <v>554000</v>
      </c>
    </row>
    <row r="2363" spans="1:4" x14ac:dyDescent="0.25">
      <c r="A2363" t="str">
        <f>T("   ES")</f>
        <v xml:space="preserve">   ES</v>
      </c>
      <c r="B2363" t="str">
        <f>T("   Espagne")</f>
        <v xml:space="preserve">   Espagne</v>
      </c>
      <c r="C2363">
        <v>85931</v>
      </c>
      <c r="D2363">
        <v>2500</v>
      </c>
    </row>
    <row r="2364" spans="1:4" x14ac:dyDescent="0.25">
      <c r="A2364" t="str">
        <f>T("   MA")</f>
        <v xml:space="preserve">   MA</v>
      </c>
      <c r="B2364" t="str">
        <f>T("   Maroc")</f>
        <v xml:space="preserve">   Maroc</v>
      </c>
      <c r="C2364">
        <v>4238814</v>
      </c>
      <c r="D2364">
        <v>81000</v>
      </c>
    </row>
    <row r="2365" spans="1:4" x14ac:dyDescent="0.25">
      <c r="A2365" t="str">
        <f>T("   TG")</f>
        <v xml:space="preserve">   TG</v>
      </c>
      <c r="B2365" t="str">
        <f>T("   Togo")</f>
        <v xml:space="preserve">   Togo</v>
      </c>
      <c r="C2365">
        <v>1145328</v>
      </c>
      <c r="D2365">
        <v>17250</v>
      </c>
    </row>
    <row r="2366" spans="1:4" x14ac:dyDescent="0.25">
      <c r="A2366" t="str">
        <f>T("   TN")</f>
        <v xml:space="preserve">   TN</v>
      </c>
      <c r="B2366" t="str">
        <f>T("   Tunisie")</f>
        <v xml:space="preserve">   Tunisie</v>
      </c>
      <c r="C2366">
        <v>55365691</v>
      </c>
      <c r="D2366">
        <v>858750</v>
      </c>
    </row>
    <row r="2367" spans="1:4" x14ac:dyDescent="0.25">
      <c r="A2367" t="str">
        <f>T("   TR")</f>
        <v xml:space="preserve">   TR</v>
      </c>
      <c r="B2367" t="str">
        <f>T("   Turquie")</f>
        <v xml:space="preserve">   Turquie</v>
      </c>
      <c r="C2367">
        <v>53770347</v>
      </c>
      <c r="D2367">
        <v>840740</v>
      </c>
    </row>
    <row r="2368" spans="1:4" x14ac:dyDescent="0.25">
      <c r="A2368" t="str">
        <f>T("252100")</f>
        <v>252100</v>
      </c>
      <c r="B2368" t="str">
        <f>T("Castines; pierres à chaux ou à ciment")</f>
        <v>Castines; pierres à chaux ou à ciment</v>
      </c>
    </row>
    <row r="2369" spans="1:4" x14ac:dyDescent="0.25">
      <c r="A2369" t="str">
        <f>T("   ZZZ_Monde")</f>
        <v xml:space="preserve">   ZZZ_Monde</v>
      </c>
      <c r="B2369" t="str">
        <f>T("   ZZZ_Monde")</f>
        <v xml:space="preserve">   ZZZ_Monde</v>
      </c>
      <c r="C2369">
        <v>321703774</v>
      </c>
      <c r="D2369">
        <v>14200000</v>
      </c>
    </row>
    <row r="2370" spans="1:4" x14ac:dyDescent="0.25">
      <c r="A2370" t="str">
        <f>T("   ES")</f>
        <v xml:space="preserve">   ES</v>
      </c>
      <c r="B2370" t="str">
        <f>T("   Espagne")</f>
        <v xml:space="preserve">   Espagne</v>
      </c>
      <c r="C2370">
        <v>321703774</v>
      </c>
      <c r="D2370">
        <v>14200000</v>
      </c>
    </row>
    <row r="2371" spans="1:4" x14ac:dyDescent="0.25">
      <c r="A2371" t="str">
        <f>T("252210")</f>
        <v>252210</v>
      </c>
      <c r="B2371" t="str">
        <f>T("Chaux vive")</f>
        <v>Chaux vive</v>
      </c>
    </row>
    <row r="2372" spans="1:4" x14ac:dyDescent="0.25">
      <c r="A2372" t="str">
        <f>T("   ZZZ_Monde")</f>
        <v xml:space="preserve">   ZZZ_Monde</v>
      </c>
      <c r="B2372" t="str">
        <f>T("   ZZZ_Monde")</f>
        <v xml:space="preserve">   ZZZ_Monde</v>
      </c>
      <c r="C2372">
        <v>59135991</v>
      </c>
      <c r="D2372">
        <v>630296</v>
      </c>
    </row>
    <row r="2373" spans="1:4" x14ac:dyDescent="0.25">
      <c r="A2373" t="str">
        <f>T("   BE")</f>
        <v xml:space="preserve">   BE</v>
      </c>
      <c r="B2373" t="str">
        <f>T("   Belgique")</f>
        <v xml:space="preserve">   Belgique</v>
      </c>
      <c r="C2373">
        <v>3219684</v>
      </c>
      <c r="D2373">
        <v>19035</v>
      </c>
    </row>
    <row r="2374" spans="1:4" x14ac:dyDescent="0.25">
      <c r="A2374" t="str">
        <f>T("   ES")</f>
        <v xml:space="preserve">   ES</v>
      </c>
      <c r="B2374" t="str">
        <f>T("   Espagne")</f>
        <v xml:space="preserve">   Espagne</v>
      </c>
      <c r="C2374">
        <v>47940891</v>
      </c>
      <c r="D2374">
        <v>525436</v>
      </c>
    </row>
    <row r="2375" spans="1:4" x14ac:dyDescent="0.25">
      <c r="A2375" t="str">
        <f>T("   FR")</f>
        <v xml:space="preserve">   FR</v>
      </c>
      <c r="B2375" t="str">
        <f>T("   France")</f>
        <v xml:space="preserve">   France</v>
      </c>
      <c r="C2375">
        <v>6560</v>
      </c>
      <c r="D2375">
        <v>25</v>
      </c>
    </row>
    <row r="2376" spans="1:4" x14ac:dyDescent="0.25">
      <c r="A2376" t="str">
        <f>T("   TG")</f>
        <v xml:space="preserve">   TG</v>
      </c>
      <c r="B2376" t="str">
        <f>T("   Togo")</f>
        <v xml:space="preserve">   Togo</v>
      </c>
      <c r="C2376">
        <v>1648297</v>
      </c>
      <c r="D2376">
        <v>7500</v>
      </c>
    </row>
    <row r="2377" spans="1:4" x14ac:dyDescent="0.25">
      <c r="A2377" t="str">
        <f>T("   US")</f>
        <v xml:space="preserve">   US</v>
      </c>
      <c r="B2377" t="str">
        <f>T("   Etats-Unis")</f>
        <v xml:space="preserve">   Etats-Unis</v>
      </c>
      <c r="C2377">
        <v>6320559</v>
      </c>
      <c r="D2377">
        <v>78300</v>
      </c>
    </row>
    <row r="2378" spans="1:4" x14ac:dyDescent="0.25">
      <c r="A2378" t="str">
        <f>T("252220")</f>
        <v>252220</v>
      </c>
      <c r="B2378" t="str">
        <f>T("Chaux éteinte")</f>
        <v>Chaux éteinte</v>
      </c>
    </row>
    <row r="2379" spans="1:4" x14ac:dyDescent="0.25">
      <c r="A2379" t="str">
        <f>T("   ZZZ_Monde")</f>
        <v xml:space="preserve">   ZZZ_Monde</v>
      </c>
      <c r="B2379" t="str">
        <f>T("   ZZZ_Monde")</f>
        <v xml:space="preserve">   ZZZ_Monde</v>
      </c>
      <c r="C2379">
        <v>14431</v>
      </c>
      <c r="D2379">
        <v>25</v>
      </c>
    </row>
    <row r="2380" spans="1:4" x14ac:dyDescent="0.25">
      <c r="A2380" t="str">
        <f>T("   FR")</f>
        <v xml:space="preserve">   FR</v>
      </c>
      <c r="B2380" t="str">
        <f>T("   France")</f>
        <v xml:space="preserve">   France</v>
      </c>
      <c r="C2380">
        <v>14431</v>
      </c>
      <c r="D2380">
        <v>25</v>
      </c>
    </row>
    <row r="2381" spans="1:4" x14ac:dyDescent="0.25">
      <c r="A2381" t="str">
        <f>T("252310")</f>
        <v>252310</v>
      </c>
      <c r="B2381" t="str">
        <f>T("Ciments non pulvérisés dits 'clinkers'")</f>
        <v>Ciments non pulvérisés dits 'clinkers'</v>
      </c>
    </row>
    <row r="2382" spans="1:4" x14ac:dyDescent="0.25">
      <c r="A2382" t="str">
        <f>T("   ZZZ_Monde")</f>
        <v xml:space="preserve">   ZZZ_Monde</v>
      </c>
      <c r="B2382" t="str">
        <f>T("   ZZZ_Monde")</f>
        <v xml:space="preserve">   ZZZ_Monde</v>
      </c>
      <c r="C2382">
        <v>22567230000</v>
      </c>
      <c r="D2382">
        <v>644778000</v>
      </c>
    </row>
    <row r="2383" spans="1:4" x14ac:dyDescent="0.25">
      <c r="A2383" t="str">
        <f>T("   ES")</f>
        <v xml:space="preserve">   ES</v>
      </c>
      <c r="B2383" t="str">
        <f>T("   Espagne")</f>
        <v xml:space="preserve">   Espagne</v>
      </c>
      <c r="C2383">
        <v>1250445000</v>
      </c>
      <c r="D2383">
        <v>35727000</v>
      </c>
    </row>
    <row r="2384" spans="1:4" x14ac:dyDescent="0.25">
      <c r="A2384" t="str">
        <f>T("   GR")</f>
        <v xml:space="preserve">   GR</v>
      </c>
      <c r="B2384" t="str">
        <f>T("   Grèce")</f>
        <v xml:space="preserve">   Grèce</v>
      </c>
      <c r="C2384">
        <v>10871735000</v>
      </c>
      <c r="D2384">
        <v>310621000</v>
      </c>
    </row>
    <row r="2385" spans="1:4" x14ac:dyDescent="0.25">
      <c r="A2385" t="str">
        <f>T("   JP")</f>
        <v xml:space="preserve">   JP</v>
      </c>
      <c r="B2385" t="str">
        <f>T("   Japon")</f>
        <v xml:space="preserve">   Japon</v>
      </c>
      <c r="C2385">
        <v>3067750000</v>
      </c>
      <c r="D2385">
        <v>87650000</v>
      </c>
    </row>
    <row r="2386" spans="1:4" x14ac:dyDescent="0.25">
      <c r="A2386" t="str">
        <f>T("   NO")</f>
        <v xml:space="preserve">   NO</v>
      </c>
      <c r="B2386" t="str">
        <f>T("   Norvège")</f>
        <v xml:space="preserve">   Norvège</v>
      </c>
      <c r="C2386">
        <v>3142755000</v>
      </c>
      <c r="D2386">
        <v>89793000</v>
      </c>
    </row>
    <row r="2387" spans="1:4" x14ac:dyDescent="0.25">
      <c r="A2387" t="str">
        <f>T("   TR")</f>
        <v xml:space="preserve">   TR</v>
      </c>
      <c r="B2387" t="str">
        <f>T("   Turquie")</f>
        <v xml:space="preserve">   Turquie</v>
      </c>
      <c r="C2387">
        <v>4234545000</v>
      </c>
      <c r="D2387">
        <v>120987000</v>
      </c>
    </row>
    <row r="2388" spans="1:4" x14ac:dyDescent="0.25">
      <c r="A2388" t="str">
        <f>T("252321")</f>
        <v>252321</v>
      </c>
      <c r="B2388" t="str">
        <f>T("Ciments Portland blancs, même colorés artificiellement")</f>
        <v>Ciments Portland blancs, même colorés artificiellement</v>
      </c>
    </row>
    <row r="2389" spans="1:4" x14ac:dyDescent="0.25">
      <c r="A2389" t="str">
        <f>T("   ZZZ_Monde")</f>
        <v xml:space="preserve">   ZZZ_Monde</v>
      </c>
      <c r="B2389" t="str">
        <f>T("   ZZZ_Monde")</f>
        <v xml:space="preserve">   ZZZ_Monde</v>
      </c>
      <c r="C2389">
        <v>79882349</v>
      </c>
      <c r="D2389">
        <v>1154061</v>
      </c>
    </row>
    <row r="2390" spans="1:4" x14ac:dyDescent="0.25">
      <c r="A2390" t="str">
        <f>T("   DZ")</f>
        <v xml:space="preserve">   DZ</v>
      </c>
      <c r="B2390" t="str">
        <f>T("   Algérie")</f>
        <v xml:space="preserve">   Algérie</v>
      </c>
      <c r="C2390">
        <v>10267742</v>
      </c>
      <c r="D2390">
        <v>159803</v>
      </c>
    </row>
    <row r="2391" spans="1:4" x14ac:dyDescent="0.25">
      <c r="A2391" t="str">
        <f>T("   EG")</f>
        <v xml:space="preserve">   EG</v>
      </c>
      <c r="B2391" t="str">
        <f>T("   Egypte")</f>
        <v xml:space="preserve">   Egypte</v>
      </c>
      <c r="C2391">
        <v>7345617</v>
      </c>
      <c r="D2391">
        <v>112000</v>
      </c>
    </row>
    <row r="2392" spans="1:4" x14ac:dyDescent="0.25">
      <c r="A2392" t="str">
        <f>T("   ES")</f>
        <v xml:space="preserve">   ES</v>
      </c>
      <c r="B2392" t="str">
        <f>T("   Espagne")</f>
        <v xml:space="preserve">   Espagne</v>
      </c>
      <c r="C2392">
        <v>6077509</v>
      </c>
      <c r="D2392">
        <v>40972</v>
      </c>
    </row>
    <row r="2393" spans="1:4" x14ac:dyDescent="0.25">
      <c r="A2393" t="str">
        <f>T("   FR")</f>
        <v xml:space="preserve">   FR</v>
      </c>
      <c r="B2393" t="str">
        <f>T("   France")</f>
        <v xml:space="preserve">   France</v>
      </c>
      <c r="C2393">
        <v>6974822</v>
      </c>
      <c r="D2393">
        <v>57025</v>
      </c>
    </row>
    <row r="2394" spans="1:4" x14ac:dyDescent="0.25">
      <c r="A2394" t="str">
        <f>T("   TN")</f>
        <v xml:space="preserve">   TN</v>
      </c>
      <c r="B2394" t="str">
        <f>T("   Tunisie")</f>
        <v xml:space="preserve">   Tunisie</v>
      </c>
      <c r="C2394">
        <v>33786054</v>
      </c>
      <c r="D2394">
        <v>504000</v>
      </c>
    </row>
    <row r="2395" spans="1:4" x14ac:dyDescent="0.25">
      <c r="A2395" t="str">
        <f>T("   TR")</f>
        <v xml:space="preserve">   TR</v>
      </c>
      <c r="B2395" t="str">
        <f>T("   Turquie")</f>
        <v xml:space="preserve">   Turquie</v>
      </c>
      <c r="C2395">
        <v>15430605</v>
      </c>
      <c r="D2395">
        <v>280261</v>
      </c>
    </row>
    <row r="2396" spans="1:4" x14ac:dyDescent="0.25">
      <c r="A2396" t="str">
        <f>T("252329")</f>
        <v>252329</v>
      </c>
      <c r="B2396" t="str">
        <f>T("Ciment Portland normal ou modéré (à l'excl. des ciments Portland blancs, même colorés artificiellement)")</f>
        <v>Ciment Portland normal ou modéré (à l'excl. des ciments Portland blancs, même colorés artificiellement)</v>
      </c>
    </row>
    <row r="2397" spans="1:4" x14ac:dyDescent="0.25">
      <c r="A2397" t="str">
        <f>T("   ZZZ_Monde")</f>
        <v xml:space="preserve">   ZZZ_Monde</v>
      </c>
      <c r="B2397" t="str">
        <f>T("   ZZZ_Monde")</f>
        <v xml:space="preserve">   ZZZ_Monde</v>
      </c>
      <c r="C2397">
        <v>17690828771</v>
      </c>
      <c r="D2397">
        <v>340820517</v>
      </c>
    </row>
    <row r="2398" spans="1:4" x14ac:dyDescent="0.25">
      <c r="A2398" t="str">
        <f>T("   CI")</f>
        <v xml:space="preserve">   CI</v>
      </c>
      <c r="B2398" t="str">
        <f>T("   Côte d'Ivoire")</f>
        <v xml:space="preserve">   Côte d'Ivoire</v>
      </c>
      <c r="C2398">
        <v>152700000</v>
      </c>
      <c r="D2398">
        <v>2545000</v>
      </c>
    </row>
    <row r="2399" spans="1:4" x14ac:dyDescent="0.25">
      <c r="A2399" t="str">
        <f>T("   CN")</f>
        <v xml:space="preserve">   CN</v>
      </c>
      <c r="B2399" t="str">
        <f>T("   Chine")</f>
        <v xml:space="preserve">   Chine</v>
      </c>
      <c r="C2399">
        <v>117154</v>
      </c>
      <c r="D2399">
        <v>3083</v>
      </c>
    </row>
    <row r="2400" spans="1:4" x14ac:dyDescent="0.25">
      <c r="A2400" t="str">
        <f>T("   FR")</f>
        <v xml:space="preserve">   FR</v>
      </c>
      <c r="B2400" t="str">
        <f>T("   France")</f>
        <v xml:space="preserve">   France</v>
      </c>
      <c r="C2400">
        <v>528946</v>
      </c>
      <c r="D2400">
        <v>1684</v>
      </c>
    </row>
    <row r="2401" spans="1:4" x14ac:dyDescent="0.25">
      <c r="A2401" t="str">
        <f>T("   GH")</f>
        <v xml:space="preserve">   GH</v>
      </c>
      <c r="B2401" t="str">
        <f>T("   Ghana")</f>
        <v xml:space="preserve">   Ghana</v>
      </c>
      <c r="C2401">
        <v>393400000</v>
      </c>
      <c r="D2401">
        <v>6555000</v>
      </c>
    </row>
    <row r="2402" spans="1:4" x14ac:dyDescent="0.25">
      <c r="A2402" t="str">
        <f>T("   IT")</f>
        <v xml:space="preserve">   IT</v>
      </c>
      <c r="B2402" t="str">
        <f>T("   Italie")</f>
        <v xml:space="preserve">   Italie</v>
      </c>
      <c r="C2402">
        <v>14425817</v>
      </c>
      <c r="D2402">
        <v>377003</v>
      </c>
    </row>
    <row r="2403" spans="1:4" x14ac:dyDescent="0.25">
      <c r="A2403" t="str">
        <f>T("   NO")</f>
        <v xml:space="preserve">   NO</v>
      </c>
      <c r="B2403" t="str">
        <f>T("   Norvège")</f>
        <v xml:space="preserve">   Norvège</v>
      </c>
      <c r="C2403">
        <v>467260</v>
      </c>
      <c r="D2403">
        <v>487</v>
      </c>
    </row>
    <row r="2404" spans="1:4" x14ac:dyDescent="0.25">
      <c r="A2404" t="str">
        <f>T("   SN")</f>
        <v xml:space="preserve">   SN</v>
      </c>
      <c r="B2404" t="str">
        <f>T("   Sénégal")</f>
        <v xml:space="preserve">   Sénégal</v>
      </c>
      <c r="C2404">
        <v>2607601861</v>
      </c>
      <c r="D2404">
        <v>49442440</v>
      </c>
    </row>
    <row r="2405" spans="1:4" x14ac:dyDescent="0.25">
      <c r="A2405" t="str">
        <f>T("   TG")</f>
        <v xml:space="preserve">   TG</v>
      </c>
      <c r="B2405" t="str">
        <f>T("   Togo")</f>
        <v xml:space="preserve">   Togo</v>
      </c>
      <c r="C2405">
        <v>10369198000</v>
      </c>
      <c r="D2405">
        <v>172784170</v>
      </c>
    </row>
    <row r="2406" spans="1:4" x14ac:dyDescent="0.25">
      <c r="A2406" t="str">
        <f>T("   TN")</f>
        <v xml:space="preserve">   TN</v>
      </c>
      <c r="B2406" t="str">
        <f>T("   Tunisie")</f>
        <v xml:space="preserve">   Tunisie</v>
      </c>
      <c r="C2406">
        <v>4972833</v>
      </c>
      <c r="D2406">
        <v>51600</v>
      </c>
    </row>
    <row r="2407" spans="1:4" x14ac:dyDescent="0.25">
      <c r="A2407" t="str">
        <f>T("   TR")</f>
        <v xml:space="preserve">   TR</v>
      </c>
      <c r="B2407" t="str">
        <f>T("   Turquie")</f>
        <v xml:space="preserve">   Turquie</v>
      </c>
      <c r="C2407">
        <v>4147416900</v>
      </c>
      <c r="D2407">
        <v>109060050</v>
      </c>
    </row>
    <row r="2408" spans="1:4" x14ac:dyDescent="0.25">
      <c r="A2408" t="str">
        <f>T("252390")</f>
        <v>252390</v>
      </c>
      <c r="B2408" t="str">
        <f>T("Ciments, même colorés (à l'excl. des ciments Portland et des ciments alumineux)")</f>
        <v>Ciments, même colorés (à l'excl. des ciments Portland et des ciments alumineux)</v>
      </c>
    </row>
    <row r="2409" spans="1:4" x14ac:dyDescent="0.25">
      <c r="A2409" t="str">
        <f>T("   ZZZ_Monde")</f>
        <v xml:space="preserve">   ZZZ_Monde</v>
      </c>
      <c r="B2409" t="str">
        <f>T("   ZZZ_Monde")</f>
        <v xml:space="preserve">   ZZZ_Monde</v>
      </c>
      <c r="C2409">
        <v>232647841</v>
      </c>
      <c r="D2409">
        <v>3266740</v>
      </c>
    </row>
    <row r="2410" spans="1:4" x14ac:dyDescent="0.25">
      <c r="A2410" t="str">
        <f>T("   BE")</f>
        <v xml:space="preserve">   BE</v>
      </c>
      <c r="B2410" t="str">
        <f>T("   Belgique")</f>
        <v xml:space="preserve">   Belgique</v>
      </c>
      <c r="C2410">
        <v>162853878</v>
      </c>
      <c r="D2410">
        <v>1695440</v>
      </c>
    </row>
    <row r="2411" spans="1:4" x14ac:dyDescent="0.25">
      <c r="A2411" t="str">
        <f>T("   FR")</f>
        <v xml:space="preserve">   FR</v>
      </c>
      <c r="B2411" t="str">
        <f>T("   France")</f>
        <v xml:space="preserve">   France</v>
      </c>
      <c r="C2411">
        <v>39646879</v>
      </c>
      <c r="D2411">
        <v>1043300</v>
      </c>
    </row>
    <row r="2412" spans="1:4" x14ac:dyDescent="0.25">
      <c r="A2412" t="str">
        <f>T("   IT")</f>
        <v xml:space="preserve">   IT</v>
      </c>
      <c r="B2412" t="str">
        <f>T("   Italie")</f>
        <v xml:space="preserve">   Italie</v>
      </c>
      <c r="C2412">
        <v>1064000</v>
      </c>
      <c r="D2412">
        <v>28000</v>
      </c>
    </row>
    <row r="2413" spans="1:4" x14ac:dyDescent="0.25">
      <c r="A2413" t="str">
        <f>T("   SN")</f>
        <v xml:space="preserve">   SN</v>
      </c>
      <c r="B2413" t="str">
        <f>T("   Sénégal")</f>
        <v xml:space="preserve">   Sénégal</v>
      </c>
      <c r="C2413">
        <v>29083084</v>
      </c>
      <c r="D2413">
        <v>500000</v>
      </c>
    </row>
    <row r="2414" spans="1:4" x14ac:dyDescent="0.25">
      <c r="A2414" t="str">
        <f>T("252520")</f>
        <v>252520</v>
      </c>
      <c r="B2414" t="str">
        <f>T("Mica en poudre")</f>
        <v>Mica en poudre</v>
      </c>
    </row>
    <row r="2415" spans="1:4" x14ac:dyDescent="0.25">
      <c r="A2415" t="str">
        <f>T("   ZZZ_Monde")</f>
        <v xml:space="preserve">   ZZZ_Monde</v>
      </c>
      <c r="B2415" t="str">
        <f>T("   ZZZ_Monde")</f>
        <v xml:space="preserve">   ZZZ_Monde</v>
      </c>
      <c r="C2415">
        <v>7158695</v>
      </c>
      <c r="D2415">
        <v>41072</v>
      </c>
    </row>
    <row r="2416" spans="1:4" x14ac:dyDescent="0.25">
      <c r="A2416" t="str">
        <f>T("   BE")</f>
        <v xml:space="preserve">   BE</v>
      </c>
      <c r="B2416" t="str">
        <f>T("   Belgique")</f>
        <v xml:space="preserve">   Belgique</v>
      </c>
      <c r="C2416">
        <v>2729449</v>
      </c>
      <c r="D2416">
        <v>12620</v>
      </c>
    </row>
    <row r="2417" spans="1:4" x14ac:dyDescent="0.25">
      <c r="A2417" t="str">
        <f>T("   GB")</f>
        <v xml:space="preserve">   GB</v>
      </c>
      <c r="B2417" t="str">
        <f>T("   Royaume-Uni")</f>
        <v xml:space="preserve">   Royaume-Uni</v>
      </c>
      <c r="C2417">
        <v>2126622</v>
      </c>
      <c r="D2417">
        <v>1452</v>
      </c>
    </row>
    <row r="2418" spans="1:4" x14ac:dyDescent="0.25">
      <c r="A2418" t="str">
        <f>T("   TR")</f>
        <v xml:space="preserve">   TR</v>
      </c>
      <c r="B2418" t="str">
        <f>T("   Turquie")</f>
        <v xml:space="preserve">   Turquie</v>
      </c>
      <c r="C2418">
        <v>2302624</v>
      </c>
      <c r="D2418">
        <v>27000</v>
      </c>
    </row>
    <row r="2419" spans="1:4" x14ac:dyDescent="0.25">
      <c r="A2419" t="str">
        <f>T("252620")</f>
        <v>252620</v>
      </c>
      <c r="B2419" t="str">
        <f>T("Stéatite naturelle, broyée ou pulvérisée")</f>
        <v>Stéatite naturelle, broyée ou pulvérisée</v>
      </c>
    </row>
    <row r="2420" spans="1:4" x14ac:dyDescent="0.25">
      <c r="A2420" t="str">
        <f>T("   ZZZ_Monde")</f>
        <v xml:space="preserve">   ZZZ_Monde</v>
      </c>
      <c r="B2420" t="str">
        <f>T("   ZZZ_Monde")</f>
        <v xml:space="preserve">   ZZZ_Monde</v>
      </c>
      <c r="C2420">
        <v>4502509</v>
      </c>
      <c r="D2420">
        <v>19510</v>
      </c>
    </row>
    <row r="2421" spans="1:4" x14ac:dyDescent="0.25">
      <c r="A2421" t="str">
        <f>T("   ES")</f>
        <v xml:space="preserve">   ES</v>
      </c>
      <c r="B2421" t="str">
        <f>T("   Espagne")</f>
        <v xml:space="preserve">   Espagne</v>
      </c>
      <c r="C2421">
        <v>259104</v>
      </c>
      <c r="D2421">
        <v>360</v>
      </c>
    </row>
    <row r="2422" spans="1:4" x14ac:dyDescent="0.25">
      <c r="A2422" t="str">
        <f>T("   FI")</f>
        <v xml:space="preserve">   FI</v>
      </c>
      <c r="B2422" t="str">
        <f>T("   Finlande")</f>
        <v xml:space="preserve">   Finlande</v>
      </c>
      <c r="C2422">
        <v>4243405</v>
      </c>
      <c r="D2422">
        <v>19150</v>
      </c>
    </row>
    <row r="2423" spans="1:4" x14ac:dyDescent="0.25">
      <c r="A2423" t="str">
        <f>T("253090")</f>
        <v>253090</v>
      </c>
      <c r="B2423" t="str">
        <f>T("Sulfures d'arsenic, alunite, terre de pouzzolane, terres colorantes et autres matières minérales, n.d.a.")</f>
        <v>Sulfures d'arsenic, alunite, terre de pouzzolane, terres colorantes et autres matières minérales, n.d.a.</v>
      </c>
    </row>
    <row r="2424" spans="1:4" x14ac:dyDescent="0.25">
      <c r="A2424" t="str">
        <f>T("   ZZZ_Monde")</f>
        <v xml:space="preserve">   ZZZ_Monde</v>
      </c>
      <c r="B2424" t="str">
        <f>T("   ZZZ_Monde")</f>
        <v xml:space="preserve">   ZZZ_Monde</v>
      </c>
      <c r="C2424">
        <v>19384692</v>
      </c>
      <c r="D2424">
        <v>106300</v>
      </c>
    </row>
    <row r="2425" spans="1:4" x14ac:dyDescent="0.25">
      <c r="A2425" t="str">
        <f>T("   ES")</f>
        <v xml:space="preserve">   ES</v>
      </c>
      <c r="B2425" t="str">
        <f>T("   Espagne")</f>
        <v xml:space="preserve">   Espagne</v>
      </c>
      <c r="C2425">
        <v>5387910</v>
      </c>
      <c r="D2425">
        <v>62500</v>
      </c>
    </row>
    <row r="2426" spans="1:4" x14ac:dyDescent="0.25">
      <c r="A2426" t="str">
        <f>T("   FR")</f>
        <v xml:space="preserve">   FR</v>
      </c>
      <c r="B2426" t="str">
        <f>T("   France")</f>
        <v xml:space="preserve">   France</v>
      </c>
      <c r="C2426">
        <v>13996782</v>
      </c>
      <c r="D2426">
        <v>43800</v>
      </c>
    </row>
    <row r="2427" spans="1:4" x14ac:dyDescent="0.25">
      <c r="A2427" t="str">
        <f>T("270500")</f>
        <v>270500</v>
      </c>
      <c r="B2427" t="str">
        <f>T("Gaz de houille, gaz à l'eau, gaz pauvre et gaz simil. (à l'excl. des gaz de pétrole et autres hydrocarbures gazeux)")</f>
        <v>Gaz de houille, gaz à l'eau, gaz pauvre et gaz simil. (à l'excl. des gaz de pétrole et autres hydrocarbures gazeux)</v>
      </c>
    </row>
    <row r="2428" spans="1:4" x14ac:dyDescent="0.25">
      <c r="A2428" t="str">
        <f>T("   ZZZ_Monde")</f>
        <v xml:space="preserve">   ZZZ_Monde</v>
      </c>
      <c r="B2428" t="str">
        <f>T("   ZZZ_Monde")</f>
        <v xml:space="preserve">   ZZZ_Monde</v>
      </c>
      <c r="C2428">
        <v>12075109</v>
      </c>
      <c r="D2428">
        <v>13580</v>
      </c>
    </row>
    <row r="2429" spans="1:4" x14ac:dyDescent="0.25">
      <c r="A2429" t="str">
        <f>T("   CN")</f>
        <v xml:space="preserve">   CN</v>
      </c>
      <c r="B2429" t="str">
        <f>T("   Chine")</f>
        <v xml:space="preserve">   Chine</v>
      </c>
      <c r="C2429">
        <v>5328560</v>
      </c>
      <c r="D2429">
        <v>13280</v>
      </c>
    </row>
    <row r="2430" spans="1:4" x14ac:dyDescent="0.25">
      <c r="A2430" t="str">
        <f>T("   DE")</f>
        <v xml:space="preserve">   DE</v>
      </c>
      <c r="B2430" t="str">
        <f>T("   Allemagne")</f>
        <v xml:space="preserve">   Allemagne</v>
      </c>
      <c r="C2430">
        <v>6746549</v>
      </c>
      <c r="D2430">
        <v>300</v>
      </c>
    </row>
    <row r="2431" spans="1:4" x14ac:dyDescent="0.25">
      <c r="A2431" t="str">
        <f>T("270730")</f>
        <v>270730</v>
      </c>
      <c r="B2431" t="str">
        <f>T("XYLOL 'XYLÈNES' CONTENANT &gt; 50% DE XYLÈNES (À L'EXCL. DES PRODUITS DE CONSTITUTION CHIMIQUE DÉFINIE)")</f>
        <v>XYLOL 'XYLÈNES' CONTENANT &gt; 50% DE XYLÈNES (À L'EXCL. DES PRODUITS DE CONSTITUTION CHIMIQUE DÉFINIE)</v>
      </c>
    </row>
    <row r="2432" spans="1:4" x14ac:dyDescent="0.25">
      <c r="A2432" t="str">
        <f>T("   ZZZ_Monde")</f>
        <v xml:space="preserve">   ZZZ_Monde</v>
      </c>
      <c r="B2432" t="str">
        <f>T("   ZZZ_Monde")</f>
        <v xml:space="preserve">   ZZZ_Monde</v>
      </c>
      <c r="C2432">
        <v>5337770</v>
      </c>
      <c r="D2432">
        <v>5580</v>
      </c>
    </row>
    <row r="2433" spans="1:4" x14ac:dyDescent="0.25">
      <c r="A2433" t="str">
        <f>T("   BE")</f>
        <v xml:space="preserve">   BE</v>
      </c>
      <c r="B2433" t="str">
        <f>T("   Belgique")</f>
        <v xml:space="preserve">   Belgique</v>
      </c>
      <c r="C2433">
        <v>5337770</v>
      </c>
      <c r="D2433">
        <v>5580</v>
      </c>
    </row>
    <row r="2434" spans="1:4" x14ac:dyDescent="0.25">
      <c r="A2434" t="str">
        <f>T("270750")</f>
        <v>270750</v>
      </c>
      <c r="B2434" t="str">
        <f>T("MÉLANGES D'HYDROCARBURES AROMATIQUES DISTILLANT &gt;= 65% DE LEUR VOLUME, Y.C. LES PERTES, À 250°C D'APRÈS LA MÉTHODE ASTM D 86 (À L'EXCL. DES PRODUITS DE CONSTITUTION CHIMIQUE DÉFINIE)")</f>
        <v>MÉLANGES D'HYDROCARBURES AROMATIQUES DISTILLANT &gt;= 65% DE LEUR VOLUME, Y.C. LES PERTES, À 250°C D'APRÈS LA MÉTHODE ASTM D 86 (À L'EXCL. DES PRODUITS DE CONSTITUTION CHIMIQUE DÉFINIE)</v>
      </c>
    </row>
    <row r="2435" spans="1:4" x14ac:dyDescent="0.25">
      <c r="A2435" t="str">
        <f>T("   ZZZ_Monde")</f>
        <v xml:space="preserve">   ZZZ_Monde</v>
      </c>
      <c r="B2435" t="str">
        <f>T("   ZZZ_Monde")</f>
        <v xml:space="preserve">   ZZZ_Monde</v>
      </c>
      <c r="C2435">
        <v>50971372</v>
      </c>
      <c r="D2435">
        <v>39114</v>
      </c>
    </row>
    <row r="2436" spans="1:4" x14ac:dyDescent="0.25">
      <c r="A2436" t="str">
        <f>T("   BE")</f>
        <v xml:space="preserve">   BE</v>
      </c>
      <c r="B2436" t="str">
        <f>T("   Belgique")</f>
        <v xml:space="preserve">   Belgique</v>
      </c>
      <c r="C2436">
        <v>11683305</v>
      </c>
      <c r="D2436">
        <v>9869</v>
      </c>
    </row>
    <row r="2437" spans="1:4" x14ac:dyDescent="0.25">
      <c r="A2437" t="str">
        <f>T("   FR")</f>
        <v xml:space="preserve">   FR</v>
      </c>
      <c r="B2437" t="str">
        <f>T("   France")</f>
        <v xml:space="preserve">   France</v>
      </c>
      <c r="C2437">
        <v>9773148</v>
      </c>
      <c r="D2437">
        <v>9133</v>
      </c>
    </row>
    <row r="2438" spans="1:4" x14ac:dyDescent="0.25">
      <c r="A2438" t="str">
        <f>T("   GB")</f>
        <v xml:space="preserve">   GB</v>
      </c>
      <c r="B2438" t="str">
        <f>T("   Royaume-Uni")</f>
        <v xml:space="preserve">   Royaume-Uni</v>
      </c>
      <c r="C2438">
        <v>29514919</v>
      </c>
      <c r="D2438">
        <v>20112</v>
      </c>
    </row>
    <row r="2439" spans="1:4" x14ac:dyDescent="0.25">
      <c r="A2439" t="str">
        <f>T("271000")</f>
        <v>271000</v>
      </c>
      <c r="B2439" t="str">
        <f>T("HUILES DE PETROLE OU DE MINERAUX BITUMINEUX (AUTRES QUE LES HUILES BRUTES); PRÉPARATIONS N.D.A. CONTENANT EN POIDS &gt;= 70% D'HUILES DE PETROLE OU DE MINERAUX BITUMINEUX ET DONT CES HUILES CONSTITUENT L'ELEMENT DE BASE")</f>
        <v>HUILES DE PETROLE OU DE MINERAUX BITUMINEUX (AUTRES QUE LES HUILES BRUTES); PRÉPARATIONS N.D.A. CONTENANT EN POIDS &gt;= 70% D'HUILES DE PETROLE OU DE MINERAUX BITUMINEUX ET DONT CES HUILES CONSTITUENT L'ELEMENT DE BASE</v>
      </c>
    </row>
    <row r="2440" spans="1:4" x14ac:dyDescent="0.25">
      <c r="A2440" t="str">
        <f>T("   ZZZ_Monde")</f>
        <v xml:space="preserve">   ZZZ_Monde</v>
      </c>
      <c r="B2440" t="str">
        <f>T("   ZZZ_Monde")</f>
        <v xml:space="preserve">   ZZZ_Monde</v>
      </c>
      <c r="C2440">
        <v>1894389</v>
      </c>
      <c r="D2440">
        <v>4985</v>
      </c>
    </row>
    <row r="2441" spans="1:4" x14ac:dyDescent="0.25">
      <c r="A2441" t="str">
        <f>T("   NG")</f>
        <v xml:space="preserve">   NG</v>
      </c>
      <c r="B2441" t="str">
        <f>T("   Nigéria")</f>
        <v xml:space="preserve">   Nigéria</v>
      </c>
      <c r="C2441">
        <v>1589895</v>
      </c>
      <c r="D2441">
        <v>4105</v>
      </c>
    </row>
    <row r="2442" spans="1:4" x14ac:dyDescent="0.25">
      <c r="A2442" t="str">
        <f>T("   TG")</f>
        <v xml:space="preserve">   TG</v>
      </c>
      <c r="B2442" t="str">
        <f>T("   Togo")</f>
        <v xml:space="preserve">   Togo</v>
      </c>
      <c r="C2442">
        <v>304494</v>
      </c>
      <c r="D2442">
        <v>880</v>
      </c>
    </row>
    <row r="2443" spans="1:4" x14ac:dyDescent="0.25">
      <c r="A2443" t="str">
        <f>T("271011")</f>
        <v>271011</v>
      </c>
      <c r="B2443" t="str">
        <f>T("HUILES LÉGÈRES ET PRÉPARATIONS DE PÉTROLE OU DE MINÉRAUX BITUMINEUX DISTILLANT EN VOLUME, Y.C. LES PERTES, &gt;= 90% À 210°C, D'APRÈS LA MÉTHODE ASTM D 86")</f>
        <v>HUILES LÉGÈRES ET PRÉPARATIONS DE PÉTROLE OU DE MINÉRAUX BITUMINEUX DISTILLANT EN VOLUME, Y.C. LES PERTES, &gt;= 90% À 210°C, D'APRÈS LA MÉTHODE ASTM D 86</v>
      </c>
    </row>
    <row r="2444" spans="1:4" x14ac:dyDescent="0.25">
      <c r="A2444" t="str">
        <f>T("   ZZZ_Monde")</f>
        <v xml:space="preserve">   ZZZ_Monde</v>
      </c>
      <c r="B2444" t="str">
        <f>T("   ZZZ_Monde")</f>
        <v xml:space="preserve">   ZZZ_Monde</v>
      </c>
      <c r="C2444">
        <v>24182913209</v>
      </c>
      <c r="D2444">
        <v>79442682</v>
      </c>
    </row>
    <row r="2445" spans="1:4" x14ac:dyDescent="0.25">
      <c r="A2445" t="str">
        <f>T("   BE")</f>
        <v xml:space="preserve">   BE</v>
      </c>
      <c r="B2445" t="str">
        <f>T("   Belgique")</f>
        <v xml:space="preserve">   Belgique</v>
      </c>
      <c r="C2445">
        <v>18621797</v>
      </c>
      <c r="D2445">
        <v>16392</v>
      </c>
    </row>
    <row r="2446" spans="1:4" x14ac:dyDescent="0.25">
      <c r="A2446" t="str">
        <f>T("   BF")</f>
        <v xml:space="preserve">   BF</v>
      </c>
      <c r="B2446" t="str">
        <f>T("   Burkina Faso")</f>
        <v xml:space="preserve">   Burkina Faso</v>
      </c>
      <c r="C2446">
        <v>26792150</v>
      </c>
      <c r="D2446">
        <v>635612</v>
      </c>
    </row>
    <row r="2447" spans="1:4" x14ac:dyDescent="0.25">
      <c r="A2447" t="str">
        <f>T("   CG")</f>
        <v xml:space="preserve">   CG</v>
      </c>
      <c r="B2447" t="str">
        <f>T("   Congo (Brazzaville)")</f>
        <v xml:space="preserve">   Congo (Brazzaville)</v>
      </c>
      <c r="C2447">
        <v>3511095</v>
      </c>
      <c r="D2447">
        <v>10401</v>
      </c>
    </row>
    <row r="2448" spans="1:4" x14ac:dyDescent="0.25">
      <c r="A2448" t="str">
        <f>T("   CH")</f>
        <v xml:space="preserve">   CH</v>
      </c>
      <c r="B2448" t="str">
        <f>T("   Suisse")</f>
        <v xml:space="preserve">   Suisse</v>
      </c>
      <c r="C2448">
        <v>995696875</v>
      </c>
      <c r="D2448">
        <v>2917158</v>
      </c>
    </row>
    <row r="2449" spans="1:4" x14ac:dyDescent="0.25">
      <c r="A2449" t="str">
        <f>T("   CI")</f>
        <v xml:space="preserve">   CI</v>
      </c>
      <c r="B2449" t="str">
        <f>T("   Côte d'Ivoire")</f>
        <v xml:space="preserve">   Côte d'Ivoire</v>
      </c>
      <c r="C2449">
        <v>2406357337</v>
      </c>
      <c r="D2449">
        <v>11177267</v>
      </c>
    </row>
    <row r="2450" spans="1:4" x14ac:dyDescent="0.25">
      <c r="A2450" t="str">
        <f>T("   CM")</f>
        <v xml:space="preserve">   CM</v>
      </c>
      <c r="B2450" t="str">
        <f>T("   Cameroun")</f>
        <v xml:space="preserve">   Cameroun</v>
      </c>
      <c r="C2450">
        <v>856545</v>
      </c>
      <c r="D2450">
        <v>2748</v>
      </c>
    </row>
    <row r="2451" spans="1:4" x14ac:dyDescent="0.25">
      <c r="A2451" t="str">
        <f>T("   CN")</f>
        <v xml:space="preserve">   CN</v>
      </c>
      <c r="B2451" t="str">
        <f>T("   Chine")</f>
        <v xml:space="preserve">   Chine</v>
      </c>
      <c r="C2451">
        <v>167850</v>
      </c>
      <c r="D2451">
        <v>250</v>
      </c>
    </row>
    <row r="2452" spans="1:4" x14ac:dyDescent="0.25">
      <c r="A2452" t="str">
        <f>T("   CO")</f>
        <v xml:space="preserve">   CO</v>
      </c>
      <c r="B2452" t="str">
        <f>T("   Colombie")</f>
        <v xml:space="preserve">   Colombie</v>
      </c>
      <c r="C2452">
        <v>3260175</v>
      </c>
      <c r="D2452">
        <v>9639</v>
      </c>
    </row>
    <row r="2453" spans="1:4" x14ac:dyDescent="0.25">
      <c r="A2453" t="str">
        <f>T("   DE")</f>
        <v xml:space="preserve">   DE</v>
      </c>
      <c r="B2453" t="str">
        <f>T("   Allemagne")</f>
        <v xml:space="preserve">   Allemagne</v>
      </c>
      <c r="C2453">
        <v>668159070</v>
      </c>
      <c r="D2453">
        <v>1920237</v>
      </c>
    </row>
    <row r="2454" spans="1:4" x14ac:dyDescent="0.25">
      <c r="A2454" t="str">
        <f>T("   EE")</f>
        <v xml:space="preserve">   EE</v>
      </c>
      <c r="B2454" t="str">
        <f>T("   Estonie")</f>
        <v xml:space="preserve">   Estonie</v>
      </c>
      <c r="C2454">
        <v>1012216125</v>
      </c>
      <c r="D2454">
        <v>2953118</v>
      </c>
    </row>
    <row r="2455" spans="1:4" x14ac:dyDescent="0.25">
      <c r="A2455" t="str">
        <f>T("   FR")</f>
        <v xml:space="preserve">   FR</v>
      </c>
      <c r="B2455" t="str">
        <f>T("   France")</f>
        <v xml:space="preserve">   France</v>
      </c>
      <c r="C2455">
        <v>78935966</v>
      </c>
      <c r="D2455">
        <v>215334</v>
      </c>
    </row>
    <row r="2456" spans="1:4" x14ac:dyDescent="0.25">
      <c r="A2456" t="str">
        <f>T("   GB")</f>
        <v xml:space="preserve">   GB</v>
      </c>
      <c r="B2456" t="str">
        <f>T("   Royaume-Uni")</f>
        <v xml:space="preserve">   Royaume-Uni</v>
      </c>
      <c r="C2456">
        <v>23290514</v>
      </c>
      <c r="D2456">
        <v>21266</v>
      </c>
    </row>
    <row r="2457" spans="1:4" x14ac:dyDescent="0.25">
      <c r="A2457" t="str">
        <f>T("   IL")</f>
        <v xml:space="preserve">   IL</v>
      </c>
      <c r="B2457" t="str">
        <f>T("   Israël")</f>
        <v xml:space="preserve">   Israël</v>
      </c>
      <c r="C2457">
        <v>23400330</v>
      </c>
      <c r="D2457">
        <v>67512</v>
      </c>
    </row>
    <row r="2458" spans="1:4" x14ac:dyDescent="0.25">
      <c r="A2458" t="str">
        <f>T("   IN")</f>
        <v xml:space="preserve">   IN</v>
      </c>
      <c r="B2458" t="str">
        <f>T("   Inde")</f>
        <v xml:space="preserve">   Inde</v>
      </c>
      <c r="C2458">
        <v>1541660390</v>
      </c>
      <c r="D2458">
        <v>3537115</v>
      </c>
    </row>
    <row r="2459" spans="1:4" x14ac:dyDescent="0.25">
      <c r="A2459" t="str">
        <f>T("   IT")</f>
        <v xml:space="preserve">   IT</v>
      </c>
      <c r="B2459" t="str">
        <f>T("   Italie")</f>
        <v xml:space="preserve">   Italie</v>
      </c>
      <c r="C2459">
        <v>244615381</v>
      </c>
      <c r="D2459">
        <v>1325247</v>
      </c>
    </row>
    <row r="2460" spans="1:4" x14ac:dyDescent="0.25">
      <c r="A2460" t="str">
        <f>T("   LT")</f>
        <v xml:space="preserve">   LT</v>
      </c>
      <c r="B2460" t="str">
        <f>T("   Lituanie")</f>
        <v xml:space="preserve">   Lituanie</v>
      </c>
      <c r="C2460">
        <v>2394519947</v>
      </c>
      <c r="D2460">
        <v>5973207</v>
      </c>
    </row>
    <row r="2461" spans="1:4" x14ac:dyDescent="0.25">
      <c r="A2461" t="str">
        <f>T("   NG")</f>
        <v xml:space="preserve">   NG</v>
      </c>
      <c r="B2461" t="str">
        <f>T("   Nigéria")</f>
        <v xml:space="preserve">   Nigéria</v>
      </c>
      <c r="C2461">
        <v>8938963638</v>
      </c>
      <c r="D2461">
        <v>31977785</v>
      </c>
    </row>
    <row r="2462" spans="1:4" x14ac:dyDescent="0.25">
      <c r="A2462" t="str">
        <f>T("   NL")</f>
        <v xml:space="preserve">   NL</v>
      </c>
      <c r="B2462" t="str">
        <f>T("   Pays-bas")</f>
        <v xml:space="preserve">   Pays-bas</v>
      </c>
      <c r="C2462">
        <v>280415147</v>
      </c>
      <c r="D2462">
        <v>760388</v>
      </c>
    </row>
    <row r="2463" spans="1:4" x14ac:dyDescent="0.25">
      <c r="A2463" t="str">
        <f>T("   NZ")</f>
        <v xml:space="preserve">   NZ</v>
      </c>
      <c r="B2463" t="str">
        <f>T("   Nouvelle-Zélande")</f>
        <v xml:space="preserve">   Nouvelle-Zélande</v>
      </c>
      <c r="C2463">
        <v>287816</v>
      </c>
      <c r="D2463">
        <v>21</v>
      </c>
    </row>
    <row r="2464" spans="1:4" x14ac:dyDescent="0.25">
      <c r="A2464" t="str">
        <f>T("   SA")</f>
        <v xml:space="preserve">   SA</v>
      </c>
      <c r="B2464" t="str">
        <f>T("   Arabie Saoudite")</f>
        <v xml:space="preserve">   Arabie Saoudite</v>
      </c>
      <c r="C2464">
        <v>1003170</v>
      </c>
      <c r="D2464">
        <v>2972</v>
      </c>
    </row>
    <row r="2465" spans="1:4" x14ac:dyDescent="0.25">
      <c r="A2465" t="str">
        <f>T("   TG")</f>
        <v xml:space="preserve">   TG</v>
      </c>
      <c r="B2465" t="str">
        <f>T("   Togo")</f>
        <v xml:space="preserve">   Togo</v>
      </c>
      <c r="C2465">
        <v>1319260876</v>
      </c>
      <c r="D2465">
        <v>3661035</v>
      </c>
    </row>
    <row r="2466" spans="1:4" x14ac:dyDescent="0.25">
      <c r="A2466" t="str">
        <f>T("   VE")</f>
        <v xml:space="preserve">   VE</v>
      </c>
      <c r="B2466" t="str">
        <f>T("   Venezuela")</f>
        <v xml:space="preserve">   Venezuela</v>
      </c>
      <c r="C2466">
        <v>4200921015</v>
      </c>
      <c r="D2466">
        <v>12257978</v>
      </c>
    </row>
    <row r="2467" spans="1:4" x14ac:dyDescent="0.25">
      <c r="A2467" t="str">
        <f>T("271019")</f>
        <v>271019</v>
      </c>
      <c r="B2467" t="str">
        <f>T("Huiles moyennes et préparations, de pétrole ou de minéraux bitumineux, n.d.a.")</f>
        <v>Huiles moyennes et préparations, de pétrole ou de minéraux bitumineux, n.d.a.</v>
      </c>
    </row>
    <row r="2468" spans="1:4" x14ac:dyDescent="0.25">
      <c r="A2468" t="str">
        <f>T("   ZZZ_Monde")</f>
        <v xml:space="preserve">   ZZZ_Monde</v>
      </c>
      <c r="B2468" t="str">
        <f>T("   ZZZ_Monde")</f>
        <v xml:space="preserve">   ZZZ_Monde</v>
      </c>
      <c r="C2468">
        <v>79568030641</v>
      </c>
      <c r="D2468">
        <v>288332810</v>
      </c>
    </row>
    <row r="2469" spans="1:4" x14ac:dyDescent="0.25">
      <c r="A2469" t="str">
        <f>T("   AE")</f>
        <v xml:space="preserve">   AE</v>
      </c>
      <c r="B2469" t="str">
        <f>T("   Emirats Arabes Unis")</f>
        <v xml:space="preserve">   Emirats Arabes Unis</v>
      </c>
      <c r="C2469">
        <v>2062409693</v>
      </c>
      <c r="D2469">
        <v>3786131</v>
      </c>
    </row>
    <row r="2470" spans="1:4" x14ac:dyDescent="0.25">
      <c r="A2470" t="str">
        <f>T("   BE")</f>
        <v xml:space="preserve">   BE</v>
      </c>
      <c r="B2470" t="str">
        <f>T("   Belgique")</f>
        <v xml:space="preserve">   Belgique</v>
      </c>
      <c r="C2470">
        <v>3844761532</v>
      </c>
      <c r="D2470">
        <v>13990745</v>
      </c>
    </row>
    <row r="2471" spans="1:4" x14ac:dyDescent="0.25">
      <c r="A2471" t="str">
        <f>T("   CH")</f>
        <v xml:space="preserve">   CH</v>
      </c>
      <c r="B2471" t="str">
        <f>T("   Suisse")</f>
        <v xml:space="preserve">   Suisse</v>
      </c>
      <c r="C2471">
        <v>1895754094</v>
      </c>
      <c r="D2471">
        <v>7630679</v>
      </c>
    </row>
    <row r="2472" spans="1:4" x14ac:dyDescent="0.25">
      <c r="A2472" t="str">
        <f>T("   CI")</f>
        <v xml:space="preserve">   CI</v>
      </c>
      <c r="B2472" t="str">
        <f>T("   Côte d'Ivoire")</f>
        <v xml:space="preserve">   Côte d'Ivoire</v>
      </c>
      <c r="C2472">
        <v>9355579470</v>
      </c>
      <c r="D2472">
        <v>28081733</v>
      </c>
    </row>
    <row r="2473" spans="1:4" x14ac:dyDescent="0.25">
      <c r="A2473" t="str">
        <f>T("   CM")</f>
        <v xml:space="preserve">   CM</v>
      </c>
      <c r="B2473" t="str">
        <f>T("   Cameroun")</f>
        <v xml:space="preserve">   Cameroun</v>
      </c>
      <c r="C2473">
        <v>752334544</v>
      </c>
      <c r="D2473">
        <v>2879386</v>
      </c>
    </row>
    <row r="2474" spans="1:4" x14ac:dyDescent="0.25">
      <c r="A2474" t="str">
        <f>T("   CN")</f>
        <v xml:space="preserve">   CN</v>
      </c>
      <c r="B2474" t="str">
        <f>T("   Chine")</f>
        <v xml:space="preserve">   Chine</v>
      </c>
      <c r="C2474">
        <v>189323539</v>
      </c>
      <c r="D2474">
        <v>496815</v>
      </c>
    </row>
    <row r="2475" spans="1:4" x14ac:dyDescent="0.25">
      <c r="A2475" t="str">
        <f>T("   CO")</f>
        <v xml:space="preserve">   CO</v>
      </c>
      <c r="B2475" t="str">
        <f>T("   Colombie")</f>
        <v xml:space="preserve">   Colombie</v>
      </c>
      <c r="C2475">
        <v>1270792964</v>
      </c>
      <c r="D2475">
        <v>8353058</v>
      </c>
    </row>
    <row r="2476" spans="1:4" x14ac:dyDescent="0.25">
      <c r="A2476" t="str">
        <f>T("   DE")</f>
        <v xml:space="preserve">   DE</v>
      </c>
      <c r="B2476" t="str">
        <f>T("   Allemagne")</f>
        <v xml:space="preserve">   Allemagne</v>
      </c>
      <c r="C2476">
        <v>1250274800</v>
      </c>
      <c r="D2476">
        <v>5008362</v>
      </c>
    </row>
    <row r="2477" spans="1:4" x14ac:dyDescent="0.25">
      <c r="A2477" t="str">
        <f>T("   DJ")</f>
        <v xml:space="preserve">   DJ</v>
      </c>
      <c r="B2477" t="str">
        <f>T("   Djibouti")</f>
        <v xml:space="preserve">   Djibouti</v>
      </c>
      <c r="C2477">
        <v>34909092</v>
      </c>
      <c r="D2477">
        <v>61140</v>
      </c>
    </row>
    <row r="2478" spans="1:4" x14ac:dyDescent="0.25">
      <c r="A2478" t="str">
        <f>T("   ES")</f>
        <v xml:space="preserve">   ES</v>
      </c>
      <c r="B2478" t="str">
        <f>T("   Espagne")</f>
        <v xml:space="preserve">   Espagne</v>
      </c>
      <c r="C2478">
        <v>8711149</v>
      </c>
      <c r="D2478">
        <v>14800</v>
      </c>
    </row>
    <row r="2479" spans="1:4" x14ac:dyDescent="0.25">
      <c r="A2479" t="str">
        <f>T("   FI")</f>
        <v xml:space="preserve">   FI</v>
      </c>
      <c r="B2479" t="str">
        <f>T("   Finlande")</f>
        <v xml:space="preserve">   Finlande</v>
      </c>
      <c r="C2479">
        <v>6312880</v>
      </c>
      <c r="D2479">
        <v>168</v>
      </c>
    </row>
    <row r="2480" spans="1:4" x14ac:dyDescent="0.25">
      <c r="A2480" t="str">
        <f>T("   FR")</f>
        <v xml:space="preserve">   FR</v>
      </c>
      <c r="B2480" t="str">
        <f>T("   France")</f>
        <v xml:space="preserve">   France</v>
      </c>
      <c r="C2480">
        <v>1507563398</v>
      </c>
      <c r="D2480">
        <v>3856669</v>
      </c>
    </row>
    <row r="2481" spans="1:4" x14ac:dyDescent="0.25">
      <c r="A2481" t="str">
        <f>T("   GB")</f>
        <v xml:space="preserve">   GB</v>
      </c>
      <c r="B2481" t="str">
        <f>T("   Royaume-Uni")</f>
        <v xml:space="preserve">   Royaume-Uni</v>
      </c>
      <c r="C2481">
        <v>27677734193</v>
      </c>
      <c r="D2481">
        <v>101499809</v>
      </c>
    </row>
    <row r="2482" spans="1:4" x14ac:dyDescent="0.25">
      <c r="A2482" t="str">
        <f>T("   GH")</f>
        <v xml:space="preserve">   GH</v>
      </c>
      <c r="B2482" t="str">
        <f>T("   Ghana")</f>
        <v xml:space="preserve">   Ghana</v>
      </c>
      <c r="C2482">
        <v>60770510</v>
      </c>
      <c r="D2482">
        <v>176130</v>
      </c>
    </row>
    <row r="2483" spans="1:4" x14ac:dyDescent="0.25">
      <c r="A2483" t="str">
        <f>T("   IL")</f>
        <v xml:space="preserve">   IL</v>
      </c>
      <c r="B2483" t="str">
        <f>T("   Israël")</f>
        <v xml:space="preserve">   Israël</v>
      </c>
      <c r="C2483">
        <v>2531796</v>
      </c>
      <c r="D2483">
        <v>10752</v>
      </c>
    </row>
    <row r="2484" spans="1:4" x14ac:dyDescent="0.25">
      <c r="A2484" t="str">
        <f>T("   IR")</f>
        <v xml:space="preserve">   IR</v>
      </c>
      <c r="B2484" t="str">
        <f>T("   Iran, République Islqmique d'")</f>
        <v xml:space="preserve">   Iran, République Islqmique d'</v>
      </c>
      <c r="C2484">
        <v>2771794</v>
      </c>
      <c r="D2484">
        <v>18025</v>
      </c>
    </row>
    <row r="2485" spans="1:4" x14ac:dyDescent="0.25">
      <c r="A2485" t="str">
        <f>T("   IT")</f>
        <v xml:space="preserve">   IT</v>
      </c>
      <c r="B2485" t="str">
        <f>T("   Italie")</f>
        <v xml:space="preserve">   Italie</v>
      </c>
      <c r="C2485">
        <v>177339</v>
      </c>
      <c r="D2485">
        <v>1</v>
      </c>
    </row>
    <row r="2486" spans="1:4" x14ac:dyDescent="0.25">
      <c r="A2486" t="str">
        <f>T("   LB")</f>
        <v xml:space="preserve">   LB</v>
      </c>
      <c r="B2486" t="str">
        <f>T("   Liban")</f>
        <v xml:space="preserve">   Liban</v>
      </c>
      <c r="C2486">
        <v>30678</v>
      </c>
      <c r="D2486">
        <v>768</v>
      </c>
    </row>
    <row r="2487" spans="1:4" x14ac:dyDescent="0.25">
      <c r="A2487" t="str">
        <f>T("   NG")</f>
        <v xml:space="preserve">   NG</v>
      </c>
      <c r="B2487" t="str">
        <f>T("   Nigéria")</f>
        <v xml:space="preserve">   Nigéria</v>
      </c>
      <c r="C2487">
        <v>12126770433</v>
      </c>
      <c r="D2487">
        <v>56835698</v>
      </c>
    </row>
    <row r="2488" spans="1:4" x14ac:dyDescent="0.25">
      <c r="A2488" t="str">
        <f>T("   NL")</f>
        <v xml:space="preserve">   NL</v>
      </c>
      <c r="B2488" t="str">
        <f>T("   Pays-bas")</f>
        <v xml:space="preserve">   Pays-bas</v>
      </c>
      <c r="C2488">
        <v>2208990961</v>
      </c>
      <c r="D2488">
        <v>6475945</v>
      </c>
    </row>
    <row r="2489" spans="1:4" x14ac:dyDescent="0.25">
      <c r="A2489" t="str">
        <f>T("   NO")</f>
        <v xml:space="preserve">   NO</v>
      </c>
      <c r="B2489" t="str">
        <f>T("   Norvège")</f>
        <v xml:space="preserve">   Norvège</v>
      </c>
      <c r="C2489">
        <v>5375540</v>
      </c>
      <c r="D2489">
        <v>23260</v>
      </c>
    </row>
    <row r="2490" spans="1:4" x14ac:dyDescent="0.25">
      <c r="A2490" t="str">
        <f>T("   PL")</f>
        <v xml:space="preserve">   PL</v>
      </c>
      <c r="B2490" t="str">
        <f>T("   Pologne")</f>
        <v xml:space="preserve">   Pologne</v>
      </c>
      <c r="C2490">
        <v>19711047</v>
      </c>
      <c r="D2490">
        <v>35635</v>
      </c>
    </row>
    <row r="2491" spans="1:4" x14ac:dyDescent="0.25">
      <c r="A2491" t="str">
        <f>T("   PR")</f>
        <v xml:space="preserve">   PR</v>
      </c>
      <c r="B2491" t="str">
        <f>T("   Porto Rico")</f>
        <v xml:space="preserve">   Porto Rico</v>
      </c>
      <c r="C2491">
        <v>1880315000</v>
      </c>
      <c r="D2491">
        <v>6524099</v>
      </c>
    </row>
    <row r="2492" spans="1:4" x14ac:dyDescent="0.25">
      <c r="A2492" t="str">
        <f>T("   RU")</f>
        <v xml:space="preserve">   RU</v>
      </c>
      <c r="B2492" t="str">
        <f>T("   Russie, Fédération de")</f>
        <v xml:space="preserve">   Russie, Fédération de</v>
      </c>
      <c r="C2492">
        <v>2263676596</v>
      </c>
      <c r="D2492">
        <v>5958850</v>
      </c>
    </row>
    <row r="2493" spans="1:4" x14ac:dyDescent="0.25">
      <c r="A2493" t="str">
        <f>T("   SA")</f>
        <v xml:space="preserve">   SA</v>
      </c>
      <c r="B2493" t="str">
        <f>T("   Arabie Saoudite")</f>
        <v xml:space="preserve">   Arabie Saoudite</v>
      </c>
      <c r="C2493">
        <v>46294449</v>
      </c>
      <c r="D2493">
        <v>606005</v>
      </c>
    </row>
    <row r="2494" spans="1:4" x14ac:dyDescent="0.25">
      <c r="A2494" t="str">
        <f>T("   SE")</f>
        <v xml:space="preserve">   SE</v>
      </c>
      <c r="B2494" t="str">
        <f>T("   Suède")</f>
        <v xml:space="preserve">   Suède</v>
      </c>
      <c r="C2494">
        <v>20475412</v>
      </c>
      <c r="D2494">
        <v>68123</v>
      </c>
    </row>
    <row r="2495" spans="1:4" x14ac:dyDescent="0.25">
      <c r="A2495" t="str">
        <f>T("   SG")</f>
        <v xml:space="preserve">   SG</v>
      </c>
      <c r="B2495" t="str">
        <f>T("   Singapour")</f>
        <v xml:space="preserve">   Singapour</v>
      </c>
      <c r="C2495">
        <v>16802637</v>
      </c>
      <c r="D2495">
        <v>28968</v>
      </c>
    </row>
    <row r="2496" spans="1:4" x14ac:dyDescent="0.25">
      <c r="A2496" t="str">
        <f>T("   TG")</f>
        <v xml:space="preserve">   TG</v>
      </c>
      <c r="B2496" t="str">
        <f>T("   Togo")</f>
        <v xml:space="preserve">   Togo</v>
      </c>
      <c r="C2496">
        <v>5829775278</v>
      </c>
      <c r="D2496">
        <v>20122974</v>
      </c>
    </row>
    <row r="2497" spans="1:4" x14ac:dyDescent="0.25">
      <c r="A2497" t="str">
        <f>T("   TN")</f>
        <v xml:space="preserve">   TN</v>
      </c>
      <c r="B2497" t="str">
        <f>T("   Tunisie")</f>
        <v xml:space="preserve">   Tunisie</v>
      </c>
      <c r="C2497">
        <v>8840000</v>
      </c>
      <c r="D2497">
        <v>13992</v>
      </c>
    </row>
    <row r="2498" spans="1:4" x14ac:dyDescent="0.25">
      <c r="A2498" t="str">
        <f>T("   TR")</f>
        <v xml:space="preserve">   TR</v>
      </c>
      <c r="B2498" t="str">
        <f>T("   Turquie")</f>
        <v xml:space="preserve">   Turquie</v>
      </c>
      <c r="C2498">
        <v>4205530252</v>
      </c>
      <c r="D2498">
        <v>10987385</v>
      </c>
    </row>
    <row r="2499" spans="1:4" x14ac:dyDescent="0.25">
      <c r="A2499" t="str">
        <f>T("   US")</f>
        <v xml:space="preserve">   US</v>
      </c>
      <c r="B2499" t="str">
        <f>T("   Etats-Unis")</f>
        <v xml:space="preserve">   Etats-Unis</v>
      </c>
      <c r="C2499">
        <v>25294063</v>
      </c>
      <c r="D2499">
        <v>191861</v>
      </c>
    </row>
    <row r="2500" spans="1:4" x14ac:dyDescent="0.25">
      <c r="A2500" t="str">
        <f>T("   VE")</f>
        <v xml:space="preserve">   VE</v>
      </c>
      <c r="B2500" t="str">
        <f>T("   Venezuela")</f>
        <v xml:space="preserve">   Venezuela</v>
      </c>
      <c r="C2500">
        <v>974472159</v>
      </c>
      <c r="D2500">
        <v>4553010</v>
      </c>
    </row>
    <row r="2501" spans="1:4" x14ac:dyDescent="0.25">
      <c r="A2501" t="str">
        <f>T("   YE")</f>
        <v xml:space="preserve">   YE</v>
      </c>
      <c r="B2501" t="str">
        <f>T("   Yémen")</f>
        <v xml:space="preserve">   Yémen</v>
      </c>
      <c r="C2501">
        <v>8730828</v>
      </c>
      <c r="D2501">
        <v>18369</v>
      </c>
    </row>
    <row r="2502" spans="1:4" x14ac:dyDescent="0.25">
      <c r="A2502" t="str">
        <f>T("   ZA")</f>
        <v xml:space="preserve">   ZA</v>
      </c>
      <c r="B2502" t="str">
        <f>T("   Afrique du Sud")</f>
        <v xml:space="preserve">   Afrique du Sud</v>
      </c>
      <c r="C2502">
        <v>4232521</v>
      </c>
      <c r="D2502">
        <v>23465</v>
      </c>
    </row>
    <row r="2503" spans="1:4" x14ac:dyDescent="0.25">
      <c r="A2503" t="str">
        <f>T("271099")</f>
        <v>271099</v>
      </c>
      <c r="B2503" t="str">
        <f>T("Déchets d'huiles contenant principalement des huiles de pétrole ou de minéraux bitumineux (à l'excl. des celles contenant des diphényles polychlorés [PCB], des terphényles polychlorés [PCT] ou des diphényles polybromés [PBB])")</f>
        <v>Déchets d'huiles contenant principalement des huiles de pétrole ou de minéraux bitumineux (à l'excl. des celles contenant des diphényles polychlorés [PCB], des terphényles polychlorés [PCT] ou des diphényles polybromés [PBB])</v>
      </c>
    </row>
    <row r="2504" spans="1:4" x14ac:dyDescent="0.25">
      <c r="A2504" t="str">
        <f>T("   ZZZ_Monde")</f>
        <v xml:space="preserve">   ZZZ_Monde</v>
      </c>
      <c r="B2504" t="str">
        <f>T("   ZZZ_Monde")</f>
        <v xml:space="preserve">   ZZZ_Monde</v>
      </c>
      <c r="C2504">
        <v>10134993</v>
      </c>
      <c r="D2504">
        <v>9734</v>
      </c>
    </row>
    <row r="2505" spans="1:4" x14ac:dyDescent="0.25">
      <c r="A2505" t="str">
        <f>T("   AE")</f>
        <v xml:space="preserve">   AE</v>
      </c>
      <c r="B2505" t="str">
        <f>T("   Emirats Arabes Unis")</f>
        <v xml:space="preserve">   Emirats Arabes Unis</v>
      </c>
      <c r="C2505">
        <v>117441</v>
      </c>
      <c r="D2505">
        <v>500</v>
      </c>
    </row>
    <row r="2506" spans="1:4" x14ac:dyDescent="0.25">
      <c r="A2506" t="str">
        <f>T("   FR")</f>
        <v xml:space="preserve">   FR</v>
      </c>
      <c r="B2506" t="str">
        <f>T("   France")</f>
        <v xml:space="preserve">   France</v>
      </c>
      <c r="C2506">
        <v>10017552</v>
      </c>
      <c r="D2506">
        <v>9234</v>
      </c>
    </row>
    <row r="2507" spans="1:4" x14ac:dyDescent="0.25">
      <c r="A2507" t="str">
        <f>T("271111")</f>
        <v>271111</v>
      </c>
      <c r="B2507" t="str">
        <f>T("Gaz naturel, liquéfié")</f>
        <v>Gaz naturel, liquéfié</v>
      </c>
    </row>
    <row r="2508" spans="1:4" x14ac:dyDescent="0.25">
      <c r="A2508" t="str">
        <f>T("   ZZZ_Monde")</f>
        <v xml:space="preserve">   ZZZ_Monde</v>
      </c>
      <c r="B2508" t="str">
        <f>T("   ZZZ_Monde")</f>
        <v xml:space="preserve">   ZZZ_Monde</v>
      </c>
      <c r="C2508">
        <v>250674</v>
      </c>
      <c r="D2508">
        <v>2415</v>
      </c>
    </row>
    <row r="2509" spans="1:4" x14ac:dyDescent="0.25">
      <c r="A2509" t="str">
        <f>T("   TG")</f>
        <v xml:space="preserve">   TG</v>
      </c>
      <c r="B2509" t="str">
        <f>T("   Togo")</f>
        <v xml:space="preserve">   Togo</v>
      </c>
      <c r="C2509">
        <v>250674</v>
      </c>
      <c r="D2509">
        <v>2415</v>
      </c>
    </row>
    <row r="2510" spans="1:4" x14ac:dyDescent="0.25">
      <c r="A2510" t="str">
        <f>T("271113")</f>
        <v>271113</v>
      </c>
      <c r="B2510" t="str">
        <f>T("Butanes, liquéfiés (à l'excl. des butanes d'une pureté &gt;= 95% en n-butane ou en isobutane)")</f>
        <v>Butanes, liquéfiés (à l'excl. des butanes d'une pureté &gt;= 95% en n-butane ou en isobutane)</v>
      </c>
    </row>
    <row r="2511" spans="1:4" x14ac:dyDescent="0.25">
      <c r="A2511" t="str">
        <f>T("   ZZZ_Monde")</f>
        <v xml:space="preserve">   ZZZ_Monde</v>
      </c>
      <c r="B2511" t="str">
        <f>T("   ZZZ_Monde")</f>
        <v xml:space="preserve">   ZZZ_Monde</v>
      </c>
      <c r="C2511">
        <v>2433005794</v>
      </c>
      <c r="D2511">
        <v>10630829</v>
      </c>
    </row>
    <row r="2512" spans="1:4" x14ac:dyDescent="0.25">
      <c r="A2512" t="str">
        <f>T("   AO")</f>
        <v xml:space="preserve">   AO</v>
      </c>
      <c r="B2512" t="str">
        <f>T("   Angola")</f>
        <v xml:space="preserve">   Angola</v>
      </c>
      <c r="C2512">
        <v>135158400</v>
      </c>
      <c r="D2512">
        <v>260000</v>
      </c>
    </row>
    <row r="2513" spans="1:4" x14ac:dyDescent="0.25">
      <c r="A2513" t="str">
        <f>T("   CG")</f>
        <v xml:space="preserve">   CG</v>
      </c>
      <c r="B2513" t="str">
        <f>T("   Congo (Brazzaville)")</f>
        <v xml:space="preserve">   Congo (Brazzaville)</v>
      </c>
      <c r="C2513">
        <v>310633369</v>
      </c>
      <c r="D2513">
        <v>1525319</v>
      </c>
    </row>
    <row r="2514" spans="1:4" x14ac:dyDescent="0.25">
      <c r="A2514" t="str">
        <f>T("   CH")</f>
        <v xml:space="preserve">   CH</v>
      </c>
      <c r="B2514" t="str">
        <f>T("   Suisse")</f>
        <v xml:space="preserve">   Suisse</v>
      </c>
      <c r="C2514">
        <v>117196096</v>
      </c>
      <c r="D2514">
        <v>304763</v>
      </c>
    </row>
    <row r="2515" spans="1:4" x14ac:dyDescent="0.25">
      <c r="A2515" t="str">
        <f>T("   DE")</f>
        <v xml:space="preserve">   DE</v>
      </c>
      <c r="B2515" t="str">
        <f>T("   Allemagne")</f>
        <v xml:space="preserve">   Allemagne</v>
      </c>
      <c r="C2515">
        <v>108799468</v>
      </c>
      <c r="D2515">
        <v>401909</v>
      </c>
    </row>
    <row r="2516" spans="1:4" x14ac:dyDescent="0.25">
      <c r="A2516" t="str">
        <f>T("   DZ")</f>
        <v xml:space="preserve">   DZ</v>
      </c>
      <c r="B2516" t="str">
        <f>T("   Algérie")</f>
        <v xml:space="preserve">   Algérie</v>
      </c>
      <c r="C2516">
        <v>70336800</v>
      </c>
      <c r="D2516">
        <v>586140</v>
      </c>
    </row>
    <row r="2517" spans="1:4" x14ac:dyDescent="0.25">
      <c r="A2517" t="str">
        <f>T("   FI")</f>
        <v xml:space="preserve">   FI</v>
      </c>
      <c r="B2517" t="str">
        <f>T("   Finlande")</f>
        <v xml:space="preserve">   Finlande</v>
      </c>
      <c r="C2517">
        <v>51984000</v>
      </c>
      <c r="D2517">
        <v>100000</v>
      </c>
    </row>
    <row r="2518" spans="1:4" x14ac:dyDescent="0.25">
      <c r="A2518" t="str">
        <f>T("   FR")</f>
        <v xml:space="preserve">   FR</v>
      </c>
      <c r="B2518" t="str">
        <f>T("   France")</f>
        <v xml:space="preserve">   France</v>
      </c>
      <c r="C2518">
        <v>13005699</v>
      </c>
      <c r="D2518">
        <v>10977</v>
      </c>
    </row>
    <row r="2519" spans="1:4" x14ac:dyDescent="0.25">
      <c r="A2519" t="str">
        <f>T("   GH")</f>
        <v xml:space="preserve">   GH</v>
      </c>
      <c r="B2519" t="str">
        <f>T("   Ghana")</f>
        <v xml:space="preserve">   Ghana</v>
      </c>
      <c r="C2519">
        <v>24758090</v>
      </c>
      <c r="D2519">
        <v>222317</v>
      </c>
    </row>
    <row r="2520" spans="1:4" x14ac:dyDescent="0.25">
      <c r="A2520" t="str">
        <f>T("   GQ")</f>
        <v xml:space="preserve">   GQ</v>
      </c>
      <c r="B2520" t="str">
        <f>T("   Guinée Equatoriale")</f>
        <v xml:space="preserve">   Guinée Equatoriale</v>
      </c>
      <c r="C2520">
        <v>1170092858</v>
      </c>
      <c r="D2520">
        <v>4894904</v>
      </c>
    </row>
    <row r="2521" spans="1:4" x14ac:dyDescent="0.25">
      <c r="A2521" t="str">
        <f>T("   LB")</f>
        <v xml:space="preserve">   LB</v>
      </c>
      <c r="B2521" t="str">
        <f>T("   Liban")</f>
        <v xml:space="preserve">   Liban</v>
      </c>
      <c r="C2521">
        <v>152913</v>
      </c>
      <c r="D2521">
        <v>447</v>
      </c>
    </row>
    <row r="2522" spans="1:4" x14ac:dyDescent="0.25">
      <c r="A2522" t="str">
        <f>T("   NG")</f>
        <v xml:space="preserve">   NG</v>
      </c>
      <c r="B2522" t="str">
        <f>T("   Nigéria")</f>
        <v xml:space="preserve">   Nigéria</v>
      </c>
      <c r="C2522">
        <v>322297094</v>
      </c>
      <c r="D2522">
        <v>1797263</v>
      </c>
    </row>
    <row r="2523" spans="1:4" x14ac:dyDescent="0.25">
      <c r="A2523" t="str">
        <f>T("   TG")</f>
        <v xml:space="preserve">   TG</v>
      </c>
      <c r="B2523" t="str">
        <f>T("   Togo")</f>
        <v xml:space="preserve">   Togo</v>
      </c>
      <c r="C2523">
        <v>60591007</v>
      </c>
      <c r="D2523">
        <v>126790</v>
      </c>
    </row>
    <row r="2524" spans="1:4" x14ac:dyDescent="0.25">
      <c r="A2524" t="str">
        <f>T("   TT")</f>
        <v xml:space="preserve">   TT</v>
      </c>
      <c r="B2524" t="str">
        <f>T("   Trinitad et Tobago")</f>
        <v xml:space="preserve">   Trinitad et Tobago</v>
      </c>
      <c r="C2524">
        <v>48000000</v>
      </c>
      <c r="D2524">
        <v>400000</v>
      </c>
    </row>
    <row r="2525" spans="1:4" x14ac:dyDescent="0.25">
      <c r="A2525" t="str">
        <f>T("271119")</f>
        <v>271119</v>
      </c>
      <c r="B2525" t="str">
        <f>T("Hydrocarbures gazeux, liquéfiés, n.d.a. (à l'excl. du gaz naturel, du propane, des butanes, de l'éthylène, du propylène, du butylène et du butadiène)")</f>
        <v>Hydrocarbures gazeux, liquéfiés, n.d.a. (à l'excl. du gaz naturel, du propane, des butanes, de l'éthylène, du propylène, du butylène et du butadiène)</v>
      </c>
    </row>
    <row r="2526" spans="1:4" x14ac:dyDescent="0.25">
      <c r="A2526" t="str">
        <f>T("   ZZZ_Monde")</f>
        <v xml:space="preserve">   ZZZ_Monde</v>
      </c>
      <c r="B2526" t="str">
        <f>T("   ZZZ_Monde")</f>
        <v xml:space="preserve">   ZZZ_Monde</v>
      </c>
      <c r="C2526">
        <v>17901</v>
      </c>
      <c r="D2526">
        <v>120</v>
      </c>
    </row>
    <row r="2527" spans="1:4" x14ac:dyDescent="0.25">
      <c r="A2527" t="str">
        <f>T("   TG")</f>
        <v xml:space="preserve">   TG</v>
      </c>
      <c r="B2527" t="str">
        <f>T("   Togo")</f>
        <v xml:space="preserve">   Togo</v>
      </c>
      <c r="C2527">
        <v>17901</v>
      </c>
      <c r="D2527">
        <v>120</v>
      </c>
    </row>
    <row r="2528" spans="1:4" x14ac:dyDescent="0.25">
      <c r="A2528" t="str">
        <f>T("271129")</f>
        <v>271129</v>
      </c>
      <c r="B2528" t="str">
        <f>T("Hydrocarbures à l'état gazeux, n.d.a. (à l'excl. du gaz naturel)")</f>
        <v>Hydrocarbures à l'état gazeux, n.d.a. (à l'excl. du gaz naturel)</v>
      </c>
    </row>
    <row r="2529" spans="1:4" x14ac:dyDescent="0.25">
      <c r="A2529" t="str">
        <f>T("   ZZZ_Monde")</f>
        <v xml:space="preserve">   ZZZ_Monde</v>
      </c>
      <c r="B2529" t="str">
        <f>T("   ZZZ_Monde")</f>
        <v xml:space="preserve">   ZZZ_Monde</v>
      </c>
      <c r="C2529">
        <v>734169</v>
      </c>
      <c r="D2529">
        <v>7500</v>
      </c>
    </row>
    <row r="2530" spans="1:4" x14ac:dyDescent="0.25">
      <c r="A2530" t="str">
        <f>T("   CN")</f>
        <v xml:space="preserve">   CN</v>
      </c>
      <c r="B2530" t="str">
        <f>T("   Chine")</f>
        <v xml:space="preserve">   Chine</v>
      </c>
      <c r="C2530">
        <v>143805</v>
      </c>
      <c r="D2530">
        <v>500</v>
      </c>
    </row>
    <row r="2531" spans="1:4" x14ac:dyDescent="0.25">
      <c r="A2531" t="str">
        <f>T("   NG")</f>
        <v xml:space="preserve">   NG</v>
      </c>
      <c r="B2531" t="str">
        <f>T("   Nigéria")</f>
        <v xml:space="preserve">   Nigéria</v>
      </c>
      <c r="C2531">
        <v>590364</v>
      </c>
      <c r="D2531">
        <v>7000</v>
      </c>
    </row>
    <row r="2532" spans="1:4" x14ac:dyDescent="0.25">
      <c r="A2532" t="str">
        <f>T("271210")</f>
        <v>271210</v>
      </c>
      <c r="B2532" t="str">
        <f>T("Vaseline")</f>
        <v>Vaseline</v>
      </c>
    </row>
    <row r="2533" spans="1:4" x14ac:dyDescent="0.25">
      <c r="A2533" t="str">
        <f>T("   ZZZ_Monde")</f>
        <v xml:space="preserve">   ZZZ_Monde</v>
      </c>
      <c r="B2533" t="str">
        <f>T("   ZZZ_Monde")</f>
        <v xml:space="preserve">   ZZZ_Monde</v>
      </c>
      <c r="C2533">
        <v>15155347</v>
      </c>
      <c r="D2533">
        <v>19227</v>
      </c>
    </row>
    <row r="2534" spans="1:4" x14ac:dyDescent="0.25">
      <c r="A2534" t="str">
        <f>T("   DE")</f>
        <v xml:space="preserve">   DE</v>
      </c>
      <c r="B2534" t="str">
        <f>T("   Allemagne")</f>
        <v xml:space="preserve">   Allemagne</v>
      </c>
      <c r="C2534">
        <v>14665954</v>
      </c>
      <c r="D2534">
        <v>17120</v>
      </c>
    </row>
    <row r="2535" spans="1:4" x14ac:dyDescent="0.25">
      <c r="A2535" t="str">
        <f>T("   SN")</f>
        <v xml:space="preserve">   SN</v>
      </c>
      <c r="B2535" t="str">
        <f>T("   Sénégal")</f>
        <v xml:space="preserve">   Sénégal</v>
      </c>
      <c r="C2535">
        <v>489393</v>
      </c>
      <c r="D2535">
        <v>2107</v>
      </c>
    </row>
    <row r="2536" spans="1:4" x14ac:dyDescent="0.25">
      <c r="A2536" t="str">
        <f>T("271220")</f>
        <v>271220</v>
      </c>
      <c r="B2536" t="str">
        <f>T("Paraffine contenant en poids &lt; 0,75% d'huile")</f>
        <v>Paraffine contenant en poids &lt; 0,75% d'huile</v>
      </c>
    </row>
    <row r="2537" spans="1:4" x14ac:dyDescent="0.25">
      <c r="A2537" t="str">
        <f>T("   ZZZ_Monde")</f>
        <v xml:space="preserve">   ZZZ_Monde</v>
      </c>
      <c r="B2537" t="str">
        <f>T("   ZZZ_Monde")</f>
        <v xml:space="preserve">   ZZZ_Monde</v>
      </c>
      <c r="C2537">
        <v>823422</v>
      </c>
      <c r="D2537">
        <v>224</v>
      </c>
    </row>
    <row r="2538" spans="1:4" x14ac:dyDescent="0.25">
      <c r="A2538" t="str">
        <f>T("   FR")</f>
        <v xml:space="preserve">   FR</v>
      </c>
      <c r="B2538" t="str">
        <f>T("   France")</f>
        <v xml:space="preserve">   France</v>
      </c>
      <c r="C2538">
        <v>210623</v>
      </c>
      <c r="D2538">
        <v>25</v>
      </c>
    </row>
    <row r="2539" spans="1:4" x14ac:dyDescent="0.25">
      <c r="A2539" t="str">
        <f>T("   IT")</f>
        <v xml:space="preserve">   IT</v>
      </c>
      <c r="B2539" t="str">
        <f>T("   Italie")</f>
        <v xml:space="preserve">   Italie</v>
      </c>
      <c r="C2539">
        <v>366157</v>
      </c>
      <c r="D2539">
        <v>168</v>
      </c>
    </row>
    <row r="2540" spans="1:4" x14ac:dyDescent="0.25">
      <c r="A2540" t="str">
        <f>T("   NL")</f>
        <v xml:space="preserve">   NL</v>
      </c>
      <c r="B2540" t="str">
        <f>T("   Pays-bas")</f>
        <v xml:space="preserve">   Pays-bas</v>
      </c>
      <c r="C2540">
        <v>246642</v>
      </c>
      <c r="D2540">
        <v>31</v>
      </c>
    </row>
    <row r="2541" spans="1:4" x14ac:dyDescent="0.25">
      <c r="A2541" t="str">
        <f>T("271320")</f>
        <v>271320</v>
      </c>
      <c r="B2541" t="str">
        <f>T("Bitume de pétrole")</f>
        <v>Bitume de pétrole</v>
      </c>
    </row>
    <row r="2542" spans="1:4" x14ac:dyDescent="0.25">
      <c r="A2542" t="str">
        <f>T("   ZZZ_Monde")</f>
        <v xml:space="preserve">   ZZZ_Monde</v>
      </c>
      <c r="B2542" t="str">
        <f>T("   ZZZ_Monde")</f>
        <v xml:space="preserve">   ZZZ_Monde</v>
      </c>
      <c r="C2542">
        <v>831679207</v>
      </c>
      <c r="D2542">
        <v>1838664</v>
      </c>
    </row>
    <row r="2543" spans="1:4" x14ac:dyDescent="0.25">
      <c r="A2543" t="str">
        <f>T("   BE")</f>
        <v xml:space="preserve">   BE</v>
      </c>
      <c r="B2543" t="str">
        <f>T("   Belgique")</f>
        <v xml:space="preserve">   Belgique</v>
      </c>
      <c r="C2543">
        <v>144739327</v>
      </c>
      <c r="D2543">
        <v>327320</v>
      </c>
    </row>
    <row r="2544" spans="1:4" x14ac:dyDescent="0.25">
      <c r="A2544" t="str">
        <f>T("   CH")</f>
        <v xml:space="preserve">   CH</v>
      </c>
      <c r="B2544" t="str">
        <f>T("   Suisse")</f>
        <v xml:space="preserve">   Suisse</v>
      </c>
      <c r="C2544">
        <v>51247689</v>
      </c>
      <c r="D2544">
        <v>117660</v>
      </c>
    </row>
    <row r="2545" spans="1:4" x14ac:dyDescent="0.25">
      <c r="A2545" t="str">
        <f>T("   CI")</f>
        <v xml:space="preserve">   CI</v>
      </c>
      <c r="B2545" t="str">
        <f>T("   Côte d'Ivoire")</f>
        <v xml:space="preserve">   Côte d'Ivoire</v>
      </c>
      <c r="C2545">
        <v>149969817</v>
      </c>
      <c r="D2545">
        <v>351840</v>
      </c>
    </row>
    <row r="2546" spans="1:4" x14ac:dyDescent="0.25">
      <c r="A2546" t="str">
        <f>T("   FR")</f>
        <v xml:space="preserve">   FR</v>
      </c>
      <c r="B2546" t="str">
        <f>T("   France")</f>
        <v xml:space="preserve">   France</v>
      </c>
      <c r="C2546">
        <v>27022272</v>
      </c>
      <c r="D2546">
        <v>46644</v>
      </c>
    </row>
    <row r="2547" spans="1:4" x14ac:dyDescent="0.25">
      <c r="A2547" t="str">
        <f>T("   TG")</f>
        <v xml:space="preserve">   TG</v>
      </c>
      <c r="B2547" t="str">
        <f>T("   Togo")</f>
        <v xml:space="preserve">   Togo</v>
      </c>
      <c r="C2547">
        <v>458700102</v>
      </c>
      <c r="D2547">
        <v>995200</v>
      </c>
    </row>
    <row r="2548" spans="1:4" x14ac:dyDescent="0.25">
      <c r="A2548" t="str">
        <f>T("271390")</f>
        <v>271390</v>
      </c>
      <c r="B2548" t="str">
        <f>T("Résidus des huiles de pétrole ou de minéraux bitumineux (à l'excl. du coke de pétrole et du bitume de pétrole)")</f>
        <v>Résidus des huiles de pétrole ou de minéraux bitumineux (à l'excl. du coke de pétrole et du bitume de pétrole)</v>
      </c>
    </row>
    <row r="2549" spans="1:4" x14ac:dyDescent="0.25">
      <c r="A2549" t="str">
        <f>T("   ZZZ_Monde")</f>
        <v xml:space="preserve">   ZZZ_Monde</v>
      </c>
      <c r="B2549" t="str">
        <f>T("   ZZZ_Monde")</f>
        <v xml:space="preserve">   ZZZ_Monde</v>
      </c>
      <c r="C2549">
        <v>289935</v>
      </c>
      <c r="D2549">
        <v>100</v>
      </c>
    </row>
    <row r="2550" spans="1:4" x14ac:dyDescent="0.25">
      <c r="A2550" t="str">
        <f>T("   FR")</f>
        <v xml:space="preserve">   FR</v>
      </c>
      <c r="B2550" t="str">
        <f>T("   France")</f>
        <v xml:space="preserve">   France</v>
      </c>
      <c r="C2550">
        <v>289935</v>
      </c>
      <c r="D2550">
        <v>100</v>
      </c>
    </row>
    <row r="2551" spans="1:4" x14ac:dyDescent="0.25">
      <c r="A2551" t="str">
        <f>T("271490")</f>
        <v>271490</v>
      </c>
      <c r="B2551" t="str">
        <f>T("Bitumes et asphaltes, naturels; asphaltites et roches asphaltiques")</f>
        <v>Bitumes et asphaltes, naturels; asphaltites et roches asphaltiques</v>
      </c>
    </row>
    <row r="2552" spans="1:4" x14ac:dyDescent="0.25">
      <c r="A2552" t="str">
        <f>T("   ZZZ_Monde")</f>
        <v xml:space="preserve">   ZZZ_Monde</v>
      </c>
      <c r="B2552" t="str">
        <f>T("   ZZZ_Monde")</f>
        <v xml:space="preserve">   ZZZ_Monde</v>
      </c>
      <c r="C2552">
        <v>3212260</v>
      </c>
      <c r="D2552">
        <v>10690</v>
      </c>
    </row>
    <row r="2553" spans="1:4" x14ac:dyDescent="0.25">
      <c r="A2553" t="str">
        <f>T("   CO")</f>
        <v xml:space="preserve">   CO</v>
      </c>
      <c r="B2553" t="str">
        <f>T("   Colombie")</f>
        <v xml:space="preserve">   Colombie</v>
      </c>
      <c r="C2553">
        <v>2390998</v>
      </c>
      <c r="D2553">
        <v>7750</v>
      </c>
    </row>
    <row r="2554" spans="1:4" x14ac:dyDescent="0.25">
      <c r="A2554" t="str">
        <f>T("   ES")</f>
        <v xml:space="preserve">   ES</v>
      </c>
      <c r="B2554" t="str">
        <f>T("   Espagne")</f>
        <v xml:space="preserve">   Espagne</v>
      </c>
      <c r="C2554">
        <v>821262</v>
      </c>
      <c r="D2554">
        <v>2940</v>
      </c>
    </row>
    <row r="2555" spans="1:4" x14ac:dyDescent="0.25">
      <c r="A2555" t="str">
        <f>T("271500")</f>
        <v>271500</v>
      </c>
      <c r="B2555" t="str">
        <f>T("Mastics bitumineux, 'cut-backs' et autres mélanges bitumineux à base d'asphalte ou de bitume naturels, de bitume de pétrole, de goudron minéral ou de brai de goudron minéral")</f>
        <v>Mastics bitumineux, 'cut-backs' et autres mélanges bitumineux à base d'asphalte ou de bitume naturels, de bitume de pétrole, de goudron minéral ou de brai de goudron minéral</v>
      </c>
    </row>
    <row r="2556" spans="1:4" x14ac:dyDescent="0.25">
      <c r="A2556" t="str">
        <f>T("   ZZZ_Monde")</f>
        <v xml:space="preserve">   ZZZ_Monde</v>
      </c>
      <c r="B2556" t="str">
        <f>T("   ZZZ_Monde")</f>
        <v xml:space="preserve">   ZZZ_Monde</v>
      </c>
      <c r="C2556">
        <v>58957448</v>
      </c>
      <c r="D2556">
        <v>144305</v>
      </c>
    </row>
    <row r="2557" spans="1:4" x14ac:dyDescent="0.25">
      <c r="A2557" t="str">
        <f>T("   CI")</f>
        <v xml:space="preserve">   CI</v>
      </c>
      <c r="B2557" t="str">
        <f>T("   Côte d'Ivoire")</f>
        <v xml:space="preserve">   Côte d'Ivoire</v>
      </c>
      <c r="C2557">
        <v>6297558</v>
      </c>
      <c r="D2557">
        <v>29136</v>
      </c>
    </row>
    <row r="2558" spans="1:4" x14ac:dyDescent="0.25">
      <c r="A2558" t="str">
        <f>T("   CN")</f>
        <v xml:space="preserve">   CN</v>
      </c>
      <c r="B2558" t="str">
        <f>T("   Chine")</f>
        <v xml:space="preserve">   Chine</v>
      </c>
      <c r="C2558">
        <v>6055000</v>
      </c>
      <c r="D2558">
        <v>20000</v>
      </c>
    </row>
    <row r="2559" spans="1:4" x14ac:dyDescent="0.25">
      <c r="A2559" t="str">
        <f>T("   ES")</f>
        <v xml:space="preserve">   ES</v>
      </c>
      <c r="B2559" t="str">
        <f>T("   Espagne")</f>
        <v xml:space="preserve">   Espagne</v>
      </c>
      <c r="C2559">
        <v>434003</v>
      </c>
      <c r="D2559">
        <v>1250</v>
      </c>
    </row>
    <row r="2560" spans="1:4" x14ac:dyDescent="0.25">
      <c r="A2560" t="str">
        <f>T("   FR")</f>
        <v xml:space="preserve">   FR</v>
      </c>
      <c r="B2560" t="str">
        <f>T("   France")</f>
        <v xml:space="preserve">   France</v>
      </c>
      <c r="C2560">
        <v>46170887</v>
      </c>
      <c r="D2560">
        <v>93919</v>
      </c>
    </row>
    <row r="2561" spans="1:4" x14ac:dyDescent="0.25">
      <c r="A2561" t="str">
        <f>T("271600")</f>
        <v>271600</v>
      </c>
      <c r="B2561" t="str">
        <f>T("Energie électrique")</f>
        <v>Energie électrique</v>
      </c>
    </row>
    <row r="2562" spans="1:4" x14ac:dyDescent="0.25">
      <c r="A2562" t="str">
        <f>T("   ZZZ_Monde")</f>
        <v xml:space="preserve">   ZZZ_Monde</v>
      </c>
      <c r="B2562" t="str">
        <f>T("   ZZZ_Monde")</f>
        <v xml:space="preserve">   ZZZ_Monde</v>
      </c>
      <c r="C2562">
        <v>62246213868</v>
      </c>
      <c r="D2562">
        <v>0</v>
      </c>
    </row>
    <row r="2563" spans="1:4" x14ac:dyDescent="0.25">
      <c r="A2563" t="str">
        <f>T("   TG")</f>
        <v xml:space="preserve">   TG</v>
      </c>
      <c r="B2563" t="str">
        <f>T("   Togo")</f>
        <v xml:space="preserve">   Togo</v>
      </c>
      <c r="C2563">
        <v>62246213868</v>
      </c>
      <c r="D2563">
        <v>0</v>
      </c>
    </row>
    <row r="2564" spans="1:4" x14ac:dyDescent="0.25">
      <c r="A2564" t="str">
        <f>T("280110")</f>
        <v>280110</v>
      </c>
      <c r="B2564" t="str">
        <f>T("Chlore")</f>
        <v>Chlore</v>
      </c>
    </row>
    <row r="2565" spans="1:4" x14ac:dyDescent="0.25">
      <c r="A2565" t="str">
        <f>T("   ZZZ_Monde")</f>
        <v xml:space="preserve">   ZZZ_Monde</v>
      </c>
      <c r="B2565" t="str">
        <f>T("   ZZZ_Monde")</f>
        <v xml:space="preserve">   ZZZ_Monde</v>
      </c>
      <c r="C2565">
        <v>2625533</v>
      </c>
      <c r="D2565">
        <v>5055</v>
      </c>
    </row>
    <row r="2566" spans="1:4" x14ac:dyDescent="0.25">
      <c r="A2566" t="str">
        <f>T("   ES")</f>
        <v xml:space="preserve">   ES</v>
      </c>
      <c r="B2566" t="str">
        <f>T("   Espagne")</f>
        <v xml:space="preserve">   Espagne</v>
      </c>
      <c r="C2566">
        <v>920312</v>
      </c>
      <c r="D2566">
        <v>129</v>
      </c>
    </row>
    <row r="2567" spans="1:4" x14ac:dyDescent="0.25">
      <c r="A2567" t="str">
        <f>T("   FR")</f>
        <v xml:space="preserve">   FR</v>
      </c>
      <c r="B2567" t="str">
        <f>T("   France")</f>
        <v xml:space="preserve">   France</v>
      </c>
      <c r="C2567">
        <v>1070721</v>
      </c>
      <c r="D2567">
        <v>456</v>
      </c>
    </row>
    <row r="2568" spans="1:4" x14ac:dyDescent="0.25">
      <c r="A2568" t="str">
        <f>T("   NG")</f>
        <v xml:space="preserve">   NG</v>
      </c>
      <c r="B2568" t="str">
        <f>T("   Nigéria")</f>
        <v xml:space="preserve">   Nigéria</v>
      </c>
      <c r="C2568">
        <v>634500</v>
      </c>
      <c r="D2568">
        <v>4470</v>
      </c>
    </row>
    <row r="2569" spans="1:4" x14ac:dyDescent="0.25">
      <c r="A2569" t="str">
        <f>T("280300")</f>
        <v>280300</v>
      </c>
      <c r="B2569" t="str">
        <f>T("Carbone [noirs de carbone et autres formes de carbone, n.d.a.]")</f>
        <v>Carbone [noirs de carbone et autres formes de carbone, n.d.a.]</v>
      </c>
    </row>
    <row r="2570" spans="1:4" x14ac:dyDescent="0.25">
      <c r="A2570" t="str">
        <f>T("   ZZZ_Monde")</f>
        <v xml:space="preserve">   ZZZ_Monde</v>
      </c>
      <c r="B2570" t="str">
        <f>T("   ZZZ_Monde")</f>
        <v xml:space="preserve">   ZZZ_Monde</v>
      </c>
      <c r="C2570">
        <v>10897464</v>
      </c>
      <c r="D2570">
        <v>2138</v>
      </c>
    </row>
    <row r="2571" spans="1:4" x14ac:dyDescent="0.25">
      <c r="A2571" t="str">
        <f>T("   FR")</f>
        <v xml:space="preserve">   FR</v>
      </c>
      <c r="B2571" t="str">
        <f>T("   France")</f>
        <v xml:space="preserve">   France</v>
      </c>
      <c r="C2571">
        <v>10518319</v>
      </c>
      <c r="D2571">
        <v>2038</v>
      </c>
    </row>
    <row r="2572" spans="1:4" x14ac:dyDescent="0.25">
      <c r="A2572" t="str">
        <f>T("   IT")</f>
        <v xml:space="preserve">   IT</v>
      </c>
      <c r="B2572" t="str">
        <f>T("   Italie")</f>
        <v xml:space="preserve">   Italie</v>
      </c>
      <c r="C2572">
        <v>379145</v>
      </c>
      <c r="D2572">
        <v>100</v>
      </c>
    </row>
    <row r="2573" spans="1:4" x14ac:dyDescent="0.25">
      <c r="A2573" t="str">
        <f>T("280421")</f>
        <v>280421</v>
      </c>
      <c r="B2573" t="str">
        <f>T("Argon")</f>
        <v>Argon</v>
      </c>
    </row>
    <row r="2574" spans="1:4" x14ac:dyDescent="0.25">
      <c r="A2574" t="str">
        <f>T("   ZZZ_Monde")</f>
        <v xml:space="preserve">   ZZZ_Monde</v>
      </c>
      <c r="B2574" t="str">
        <f>T("   ZZZ_Monde")</f>
        <v xml:space="preserve">   ZZZ_Monde</v>
      </c>
      <c r="C2574">
        <v>4380573</v>
      </c>
      <c r="D2574">
        <v>1847</v>
      </c>
    </row>
    <row r="2575" spans="1:4" x14ac:dyDescent="0.25">
      <c r="A2575" t="str">
        <f>T("   FR")</f>
        <v xml:space="preserve">   FR</v>
      </c>
      <c r="B2575" t="str">
        <f>T("   France")</f>
        <v xml:space="preserve">   France</v>
      </c>
      <c r="C2575">
        <v>4380573</v>
      </c>
      <c r="D2575">
        <v>1847</v>
      </c>
    </row>
    <row r="2576" spans="1:4" x14ac:dyDescent="0.25">
      <c r="A2576" t="str">
        <f>T("280429")</f>
        <v>280429</v>
      </c>
      <c r="B2576" t="str">
        <f>T("Gaz rares (à l'excl. de l'argon)")</f>
        <v>Gaz rares (à l'excl. de l'argon)</v>
      </c>
    </row>
    <row r="2577" spans="1:4" x14ac:dyDescent="0.25">
      <c r="A2577" t="str">
        <f>T("   ZZZ_Monde")</f>
        <v xml:space="preserve">   ZZZ_Monde</v>
      </c>
      <c r="B2577" t="str">
        <f>T("   ZZZ_Monde")</f>
        <v xml:space="preserve">   ZZZ_Monde</v>
      </c>
      <c r="C2577">
        <v>27152231</v>
      </c>
      <c r="D2577">
        <v>135820</v>
      </c>
    </row>
    <row r="2578" spans="1:4" x14ac:dyDescent="0.25">
      <c r="A2578" t="str">
        <f>T("   CI")</f>
        <v xml:space="preserve">   CI</v>
      </c>
      <c r="B2578" t="str">
        <f>T("   Côte d'Ivoire")</f>
        <v xml:space="preserve">   Côte d'Ivoire</v>
      </c>
      <c r="C2578">
        <v>857350</v>
      </c>
      <c r="D2578">
        <v>300</v>
      </c>
    </row>
    <row r="2579" spans="1:4" x14ac:dyDescent="0.25">
      <c r="A2579" t="str">
        <f>T("   CN")</f>
        <v xml:space="preserve">   CN</v>
      </c>
      <c r="B2579" t="str">
        <f>T("   Chine")</f>
        <v xml:space="preserve">   Chine</v>
      </c>
      <c r="C2579">
        <v>503318</v>
      </c>
      <c r="D2579">
        <v>100</v>
      </c>
    </row>
    <row r="2580" spans="1:4" x14ac:dyDescent="0.25">
      <c r="A2580" t="str">
        <f>T("   NG")</f>
        <v xml:space="preserve">   NG</v>
      </c>
      <c r="B2580" t="str">
        <f>T("   Nigéria")</f>
        <v xml:space="preserve">   Nigéria</v>
      </c>
      <c r="C2580">
        <v>20125000</v>
      </c>
      <c r="D2580">
        <v>112700</v>
      </c>
    </row>
    <row r="2581" spans="1:4" x14ac:dyDescent="0.25">
      <c r="A2581" t="str">
        <f>T("   TG")</f>
        <v xml:space="preserve">   TG</v>
      </c>
      <c r="B2581" t="str">
        <f>T("   Togo")</f>
        <v xml:space="preserve">   Togo</v>
      </c>
      <c r="C2581">
        <v>4858563</v>
      </c>
      <c r="D2581">
        <v>3630</v>
      </c>
    </row>
    <row r="2582" spans="1:4" x14ac:dyDescent="0.25">
      <c r="A2582" t="str">
        <f>T("   Z2")</f>
        <v xml:space="preserve">   Z2</v>
      </c>
      <c r="B2582" t="str">
        <f>T("   Pays non défini")</f>
        <v xml:space="preserve">   Pays non défini</v>
      </c>
      <c r="C2582">
        <v>808000</v>
      </c>
      <c r="D2582">
        <v>19090</v>
      </c>
    </row>
    <row r="2583" spans="1:4" x14ac:dyDescent="0.25">
      <c r="A2583" t="str">
        <f>T("280430")</f>
        <v>280430</v>
      </c>
      <c r="B2583" t="str">
        <f>T("Azote")</f>
        <v>Azote</v>
      </c>
    </row>
    <row r="2584" spans="1:4" x14ac:dyDescent="0.25">
      <c r="A2584" t="str">
        <f>T("   ZZZ_Monde")</f>
        <v xml:space="preserve">   ZZZ_Monde</v>
      </c>
      <c r="B2584" t="str">
        <f>T("   ZZZ_Monde")</f>
        <v xml:space="preserve">   ZZZ_Monde</v>
      </c>
      <c r="C2584">
        <v>5336980</v>
      </c>
      <c r="D2584">
        <v>14588.5</v>
      </c>
    </row>
    <row r="2585" spans="1:4" x14ac:dyDescent="0.25">
      <c r="A2585" t="str">
        <f>T("   TG")</f>
        <v xml:space="preserve">   TG</v>
      </c>
      <c r="B2585" t="str">
        <f>T("   Togo")</f>
        <v xml:space="preserve">   Togo</v>
      </c>
      <c r="C2585">
        <v>5336980</v>
      </c>
      <c r="D2585">
        <v>14588.5</v>
      </c>
    </row>
    <row r="2586" spans="1:4" x14ac:dyDescent="0.25">
      <c r="A2586" t="str">
        <f>T("280440")</f>
        <v>280440</v>
      </c>
      <c r="B2586" t="str">
        <f>T("Oxygène")</f>
        <v>Oxygène</v>
      </c>
    </row>
    <row r="2587" spans="1:4" x14ac:dyDescent="0.25">
      <c r="A2587" t="str">
        <f>T("   ZZZ_Monde")</f>
        <v xml:space="preserve">   ZZZ_Monde</v>
      </c>
      <c r="B2587" t="str">
        <f>T("   ZZZ_Monde")</f>
        <v xml:space="preserve">   ZZZ_Monde</v>
      </c>
      <c r="C2587">
        <v>39492509</v>
      </c>
      <c r="D2587">
        <v>232861</v>
      </c>
    </row>
    <row r="2588" spans="1:4" x14ac:dyDescent="0.25">
      <c r="A2588" t="str">
        <f>T("   BR")</f>
        <v xml:space="preserve">   BR</v>
      </c>
      <c r="B2588" t="str">
        <f>T("   Brésil")</f>
        <v xml:space="preserve">   Brésil</v>
      </c>
      <c r="C2588">
        <v>413000</v>
      </c>
      <c r="D2588">
        <v>758</v>
      </c>
    </row>
    <row r="2589" spans="1:4" x14ac:dyDescent="0.25">
      <c r="A2589" t="str">
        <f>T("   CI")</f>
        <v xml:space="preserve">   CI</v>
      </c>
      <c r="B2589" t="str">
        <f>T("   Côte d'Ivoire")</f>
        <v xml:space="preserve">   Côte d'Ivoire</v>
      </c>
      <c r="C2589">
        <v>6137600</v>
      </c>
      <c r="D2589">
        <v>17325</v>
      </c>
    </row>
    <row r="2590" spans="1:4" x14ac:dyDescent="0.25">
      <c r="A2590" t="str">
        <f>T("   NG")</f>
        <v xml:space="preserve">   NG</v>
      </c>
      <c r="B2590" t="str">
        <f>T("   Nigéria")</f>
        <v xml:space="preserve">   Nigéria</v>
      </c>
      <c r="C2590">
        <v>2783000</v>
      </c>
      <c r="D2590">
        <v>14260</v>
      </c>
    </row>
    <row r="2591" spans="1:4" x14ac:dyDescent="0.25">
      <c r="A2591" t="str">
        <f>T("   TG")</f>
        <v xml:space="preserve">   TG</v>
      </c>
      <c r="B2591" t="str">
        <f>T("   Togo")</f>
        <v xml:space="preserve">   Togo</v>
      </c>
      <c r="C2591">
        <v>30158909</v>
      </c>
      <c r="D2591">
        <v>200518</v>
      </c>
    </row>
    <row r="2592" spans="1:4" x14ac:dyDescent="0.25">
      <c r="A2592" t="str">
        <f>T("280519")</f>
        <v>280519</v>
      </c>
      <c r="B2592" t="str">
        <f>T("Métaux alcalins ou alcalino-terreux (à l'excl. du sodium et du calcium)")</f>
        <v>Métaux alcalins ou alcalino-terreux (à l'excl. du sodium et du calcium)</v>
      </c>
    </row>
    <row r="2593" spans="1:4" x14ac:dyDescent="0.25">
      <c r="A2593" t="str">
        <f>T("   ZZZ_Monde")</f>
        <v xml:space="preserve">   ZZZ_Monde</v>
      </c>
      <c r="B2593" t="str">
        <f>T("   ZZZ_Monde")</f>
        <v xml:space="preserve">   ZZZ_Monde</v>
      </c>
      <c r="C2593">
        <v>4663876</v>
      </c>
      <c r="D2593">
        <v>1000</v>
      </c>
    </row>
    <row r="2594" spans="1:4" x14ac:dyDescent="0.25">
      <c r="A2594" t="str">
        <f>T("   FR")</f>
        <v xml:space="preserve">   FR</v>
      </c>
      <c r="B2594" t="str">
        <f>T("   France")</f>
        <v xml:space="preserve">   France</v>
      </c>
      <c r="C2594">
        <v>4663876</v>
      </c>
      <c r="D2594">
        <v>1000</v>
      </c>
    </row>
    <row r="2595" spans="1:4" x14ac:dyDescent="0.25">
      <c r="A2595" t="str">
        <f>T("280610")</f>
        <v>280610</v>
      </c>
      <c r="B2595" t="str">
        <f>T("Chlorure d'hydrogène [acide chlorhydrique]")</f>
        <v>Chlorure d'hydrogène [acide chlorhydrique]</v>
      </c>
    </row>
    <row r="2596" spans="1:4" x14ac:dyDescent="0.25">
      <c r="A2596" t="str">
        <f>T("   ZZZ_Monde")</f>
        <v xml:space="preserve">   ZZZ_Monde</v>
      </c>
      <c r="B2596" t="str">
        <f>T("   ZZZ_Monde")</f>
        <v xml:space="preserve">   ZZZ_Monde</v>
      </c>
      <c r="C2596">
        <v>50633835</v>
      </c>
      <c r="D2596">
        <v>256052</v>
      </c>
    </row>
    <row r="2597" spans="1:4" x14ac:dyDescent="0.25">
      <c r="A2597" t="str">
        <f>T("   BE")</f>
        <v xml:space="preserve">   BE</v>
      </c>
      <c r="B2597" t="str">
        <f>T("   Belgique")</f>
        <v xml:space="preserve">   Belgique</v>
      </c>
      <c r="C2597">
        <v>31777372</v>
      </c>
      <c r="D2597">
        <v>165832</v>
      </c>
    </row>
    <row r="2598" spans="1:4" x14ac:dyDescent="0.25">
      <c r="A2598" t="str">
        <f>T("   FR")</f>
        <v xml:space="preserve">   FR</v>
      </c>
      <c r="B2598" t="str">
        <f>T("   France")</f>
        <v xml:space="preserve">   France</v>
      </c>
      <c r="C2598">
        <v>8911216</v>
      </c>
      <c r="D2598">
        <v>43015</v>
      </c>
    </row>
    <row r="2599" spans="1:4" x14ac:dyDescent="0.25">
      <c r="A2599" t="str">
        <f>T("   NG")</f>
        <v xml:space="preserve">   NG</v>
      </c>
      <c r="B2599" t="str">
        <f>T("   Nigéria")</f>
        <v xml:space="preserve">   Nigéria</v>
      </c>
      <c r="C2599">
        <v>2159250</v>
      </c>
      <c r="D2599">
        <v>7555</v>
      </c>
    </row>
    <row r="2600" spans="1:4" x14ac:dyDescent="0.25">
      <c r="A2600" t="str">
        <f>T("   TG")</f>
        <v xml:space="preserve">   TG</v>
      </c>
      <c r="B2600" t="str">
        <f>T("   Togo")</f>
        <v xml:space="preserve">   Togo</v>
      </c>
      <c r="C2600">
        <v>3081644</v>
      </c>
      <c r="D2600">
        <v>13250</v>
      </c>
    </row>
    <row r="2601" spans="1:4" x14ac:dyDescent="0.25">
      <c r="A2601" t="str">
        <f>T("   ZA")</f>
        <v xml:space="preserve">   ZA</v>
      </c>
      <c r="B2601" t="str">
        <f>T("   Afrique du Sud")</f>
        <v xml:space="preserve">   Afrique du Sud</v>
      </c>
      <c r="C2601">
        <v>4704353</v>
      </c>
      <c r="D2601">
        <v>26400</v>
      </c>
    </row>
    <row r="2602" spans="1:4" x14ac:dyDescent="0.25">
      <c r="A2602" t="str">
        <f>T("280700")</f>
        <v>280700</v>
      </c>
      <c r="B2602" t="str">
        <f>T("Acide sulfurique; oléum")</f>
        <v>Acide sulfurique; oléum</v>
      </c>
    </row>
    <row r="2603" spans="1:4" x14ac:dyDescent="0.25">
      <c r="A2603" t="str">
        <f>T("   ZZZ_Monde")</f>
        <v xml:space="preserve">   ZZZ_Monde</v>
      </c>
      <c r="B2603" t="str">
        <f>T("   ZZZ_Monde")</f>
        <v xml:space="preserve">   ZZZ_Monde</v>
      </c>
      <c r="C2603">
        <v>35976842</v>
      </c>
      <c r="D2603">
        <v>201576</v>
      </c>
    </row>
    <row r="2604" spans="1:4" x14ac:dyDescent="0.25">
      <c r="A2604" t="str">
        <f>T("   BE")</f>
        <v xml:space="preserve">   BE</v>
      </c>
      <c r="B2604" t="str">
        <f>T("   Belgique")</f>
        <v xml:space="preserve">   Belgique</v>
      </c>
      <c r="C2604">
        <v>9700651</v>
      </c>
      <c r="D2604">
        <v>50060</v>
      </c>
    </row>
    <row r="2605" spans="1:4" x14ac:dyDescent="0.25">
      <c r="A2605" t="str">
        <f>T("   CN")</f>
        <v xml:space="preserve">   CN</v>
      </c>
      <c r="B2605" t="str">
        <f>T("   Chine")</f>
        <v xml:space="preserve">   Chine</v>
      </c>
      <c r="C2605">
        <v>8575572</v>
      </c>
      <c r="D2605">
        <v>49728</v>
      </c>
    </row>
    <row r="2606" spans="1:4" x14ac:dyDescent="0.25">
      <c r="A2606" t="str">
        <f>T("   DE")</f>
        <v xml:space="preserve">   DE</v>
      </c>
      <c r="B2606" t="str">
        <f>T("   Allemagne")</f>
        <v xml:space="preserve">   Allemagne</v>
      </c>
      <c r="C2606">
        <v>17225535</v>
      </c>
      <c r="D2606">
        <v>101746</v>
      </c>
    </row>
    <row r="2607" spans="1:4" x14ac:dyDescent="0.25">
      <c r="A2607" t="str">
        <f>T("   FR")</f>
        <v xml:space="preserve">   FR</v>
      </c>
      <c r="B2607" t="str">
        <f>T("   France")</f>
        <v xml:space="preserve">   France</v>
      </c>
      <c r="C2607">
        <v>475084</v>
      </c>
      <c r="D2607">
        <v>42</v>
      </c>
    </row>
    <row r="2608" spans="1:4" x14ac:dyDescent="0.25">
      <c r="A2608" t="str">
        <f>T("280800")</f>
        <v>280800</v>
      </c>
      <c r="B2608" t="str">
        <f>T("Acide nitrique; acides sulfonitriques")</f>
        <v>Acide nitrique; acides sulfonitriques</v>
      </c>
    </row>
    <row r="2609" spans="1:4" x14ac:dyDescent="0.25">
      <c r="A2609" t="str">
        <f>T("   ZZZ_Monde")</f>
        <v xml:space="preserve">   ZZZ_Monde</v>
      </c>
      <c r="B2609" t="str">
        <f>T("   ZZZ_Monde")</f>
        <v xml:space="preserve">   ZZZ_Monde</v>
      </c>
      <c r="C2609">
        <v>5096810</v>
      </c>
      <c r="D2609">
        <v>25262</v>
      </c>
    </row>
    <row r="2610" spans="1:4" x14ac:dyDescent="0.25">
      <c r="A2610" t="str">
        <f>T("   BE")</f>
        <v xml:space="preserve">   BE</v>
      </c>
      <c r="B2610" t="str">
        <f>T("   Belgique")</f>
        <v xml:space="preserve">   Belgique</v>
      </c>
      <c r="C2610">
        <v>4842953</v>
      </c>
      <c r="D2610">
        <v>25240</v>
      </c>
    </row>
    <row r="2611" spans="1:4" x14ac:dyDescent="0.25">
      <c r="A2611" t="str">
        <f>T("   FR")</f>
        <v xml:space="preserve">   FR</v>
      </c>
      <c r="B2611" t="str">
        <f>T("   France")</f>
        <v xml:space="preserve">   France</v>
      </c>
      <c r="C2611">
        <v>253857</v>
      </c>
      <c r="D2611">
        <v>22</v>
      </c>
    </row>
    <row r="2612" spans="1:4" x14ac:dyDescent="0.25">
      <c r="A2612" t="str">
        <f>T("280920")</f>
        <v>280920</v>
      </c>
      <c r="B2612" t="str">
        <f>T("Acide phosphorique; acides polyphosphoriques, de constitution chimique définie ou non")</f>
        <v>Acide phosphorique; acides polyphosphoriques, de constitution chimique définie ou non</v>
      </c>
    </row>
    <row r="2613" spans="1:4" x14ac:dyDescent="0.25">
      <c r="A2613" t="str">
        <f>T("   ZZZ_Monde")</f>
        <v xml:space="preserve">   ZZZ_Monde</v>
      </c>
      <c r="B2613" t="str">
        <f>T("   ZZZ_Monde")</f>
        <v xml:space="preserve">   ZZZ_Monde</v>
      </c>
      <c r="C2613">
        <v>3271692</v>
      </c>
      <c r="D2613">
        <v>585</v>
      </c>
    </row>
    <row r="2614" spans="1:4" x14ac:dyDescent="0.25">
      <c r="A2614" t="str">
        <f>T("   FR")</f>
        <v xml:space="preserve">   FR</v>
      </c>
      <c r="B2614" t="str">
        <f>T("   France")</f>
        <v xml:space="preserve">   France</v>
      </c>
      <c r="C2614">
        <v>3271692</v>
      </c>
      <c r="D2614">
        <v>585</v>
      </c>
    </row>
    <row r="2615" spans="1:4" x14ac:dyDescent="0.25">
      <c r="A2615" t="str">
        <f>T("281000")</f>
        <v>281000</v>
      </c>
      <c r="B2615" t="str">
        <f>T("Oxydes de bore; acides boriques")</f>
        <v>Oxydes de bore; acides boriques</v>
      </c>
    </row>
    <row r="2616" spans="1:4" x14ac:dyDescent="0.25">
      <c r="A2616" t="str">
        <f>T("   ZZZ_Monde")</f>
        <v xml:space="preserve">   ZZZ_Monde</v>
      </c>
      <c r="B2616" t="str">
        <f>T("   ZZZ_Monde")</f>
        <v xml:space="preserve">   ZZZ_Monde</v>
      </c>
      <c r="C2616">
        <v>39459</v>
      </c>
      <c r="D2616">
        <v>1</v>
      </c>
    </row>
    <row r="2617" spans="1:4" x14ac:dyDescent="0.25">
      <c r="A2617" t="str">
        <f>T("   FR")</f>
        <v xml:space="preserve">   FR</v>
      </c>
      <c r="B2617" t="str">
        <f>T("   France")</f>
        <v xml:space="preserve">   France</v>
      </c>
      <c r="C2617">
        <v>39459</v>
      </c>
      <c r="D2617">
        <v>1</v>
      </c>
    </row>
    <row r="2618" spans="1:4" x14ac:dyDescent="0.25">
      <c r="A2618" t="str">
        <f>T("281119")</f>
        <v>281119</v>
      </c>
      <c r="B2618" t="str">
        <f>T("Acides inorganiques (à l'excl. de l'oléum, des oxydes de bore, du pentaoxyde de diphosphore, du chlorure d'hydrogène [acide chlorhydrique], du fluorure d'hydrogène [acide fluorhydrique] ainsi que des acides sulfurique, chlorosulfurique, nitrique, sulfonit")</f>
        <v>Acides inorganiques (à l'excl. de l'oléum, des oxydes de bore, du pentaoxyde de diphosphore, du chlorure d'hydrogène [acide chlorhydrique], du fluorure d'hydrogène [acide fluorhydrique] ainsi que des acides sulfurique, chlorosulfurique, nitrique, sulfonit</v>
      </c>
    </row>
    <row r="2619" spans="1:4" x14ac:dyDescent="0.25">
      <c r="A2619" t="str">
        <f>T("   ZZZ_Monde")</f>
        <v xml:space="preserve">   ZZZ_Monde</v>
      </c>
      <c r="B2619" t="str">
        <f>T("   ZZZ_Monde")</f>
        <v xml:space="preserve">   ZZZ_Monde</v>
      </c>
      <c r="C2619">
        <v>4121693</v>
      </c>
      <c r="D2619">
        <v>16650</v>
      </c>
    </row>
    <row r="2620" spans="1:4" x14ac:dyDescent="0.25">
      <c r="A2620" t="str">
        <f>T("   FR")</f>
        <v xml:space="preserve">   FR</v>
      </c>
      <c r="B2620" t="str">
        <f>T("   France")</f>
        <v xml:space="preserve">   France</v>
      </c>
      <c r="C2620">
        <v>2434193</v>
      </c>
      <c r="D2620">
        <v>10000</v>
      </c>
    </row>
    <row r="2621" spans="1:4" x14ac:dyDescent="0.25">
      <c r="A2621" t="str">
        <f>T("   NG")</f>
        <v xml:space="preserve">   NG</v>
      </c>
      <c r="B2621" t="str">
        <f>T("   Nigéria")</f>
        <v xml:space="preserve">   Nigéria</v>
      </c>
      <c r="C2621">
        <v>1687500</v>
      </c>
      <c r="D2621">
        <v>6650</v>
      </c>
    </row>
    <row r="2622" spans="1:4" x14ac:dyDescent="0.25">
      <c r="A2622" t="str">
        <f>T("281121")</f>
        <v>281121</v>
      </c>
      <c r="B2622" t="str">
        <f>T("DIOXYDE DE CARBONE")</f>
        <v>DIOXYDE DE CARBONE</v>
      </c>
    </row>
    <row r="2623" spans="1:4" x14ac:dyDescent="0.25">
      <c r="A2623" t="str">
        <f>T("   ZZZ_Monde")</f>
        <v xml:space="preserve">   ZZZ_Monde</v>
      </c>
      <c r="B2623" t="str">
        <f>T("   ZZZ_Monde")</f>
        <v xml:space="preserve">   ZZZ_Monde</v>
      </c>
      <c r="C2623">
        <v>18316439</v>
      </c>
      <c r="D2623">
        <v>15287</v>
      </c>
    </row>
    <row r="2624" spans="1:4" x14ac:dyDescent="0.25">
      <c r="A2624" t="str">
        <f>T("   GH")</f>
        <v xml:space="preserve">   GH</v>
      </c>
      <c r="B2624" t="str">
        <f>T("   Ghana")</f>
        <v xml:space="preserve">   Ghana</v>
      </c>
      <c r="C2624">
        <v>17369821</v>
      </c>
      <c r="D2624">
        <v>15000</v>
      </c>
    </row>
    <row r="2625" spans="1:4" x14ac:dyDescent="0.25">
      <c r="A2625" t="str">
        <f>T("   TG")</f>
        <v xml:space="preserve">   TG</v>
      </c>
      <c r="B2625" t="str">
        <f>T("   Togo")</f>
        <v xml:space="preserve">   Togo</v>
      </c>
      <c r="C2625">
        <v>946618</v>
      </c>
      <c r="D2625">
        <v>287</v>
      </c>
    </row>
    <row r="2626" spans="1:4" x14ac:dyDescent="0.25">
      <c r="A2626" t="str">
        <f>T("281122")</f>
        <v>281122</v>
      </c>
      <c r="B2626" t="str">
        <f>T("Dioxyde de silicium")</f>
        <v>Dioxyde de silicium</v>
      </c>
    </row>
    <row r="2627" spans="1:4" x14ac:dyDescent="0.25">
      <c r="A2627" t="str">
        <f>T("   ZZZ_Monde")</f>
        <v xml:space="preserve">   ZZZ_Monde</v>
      </c>
      <c r="B2627" t="str">
        <f>T("   ZZZ_Monde")</f>
        <v xml:space="preserve">   ZZZ_Monde</v>
      </c>
      <c r="C2627">
        <v>6537457</v>
      </c>
      <c r="D2627">
        <v>2282</v>
      </c>
    </row>
    <row r="2628" spans="1:4" x14ac:dyDescent="0.25">
      <c r="A2628" t="str">
        <f>T("   DE")</f>
        <v xml:space="preserve">   DE</v>
      </c>
      <c r="B2628" t="str">
        <f>T("   Allemagne")</f>
        <v xml:space="preserve">   Allemagne</v>
      </c>
      <c r="C2628">
        <v>4039468</v>
      </c>
      <c r="D2628">
        <v>1945</v>
      </c>
    </row>
    <row r="2629" spans="1:4" x14ac:dyDescent="0.25">
      <c r="A2629" t="str">
        <f>T("   FR")</f>
        <v xml:space="preserve">   FR</v>
      </c>
      <c r="B2629" t="str">
        <f>T("   France")</f>
        <v xml:space="preserve">   France</v>
      </c>
      <c r="C2629">
        <v>2497989</v>
      </c>
      <c r="D2629">
        <v>337</v>
      </c>
    </row>
    <row r="2630" spans="1:4" x14ac:dyDescent="0.25">
      <c r="A2630" t="str">
        <f>T("281129")</f>
        <v>281129</v>
      </c>
      <c r="B2630" t="str">
        <f>T("COMPOSÉS OXYGÉNÉS INORGANIQUES DES ÉLÉMENTS NON-MÉTALLIQUES (À L'EXCL. DU PENTAOXYDE DE DIPHOSPHORE, DES OXYDES DE BORE AINSI QUE DES DIOXYDES DE CARBONE OU DE SILICIUM)")</f>
        <v>COMPOSÉS OXYGÉNÉS INORGANIQUES DES ÉLÉMENTS NON-MÉTALLIQUES (À L'EXCL. DU PENTAOXYDE DE DIPHOSPHORE, DES OXYDES DE BORE AINSI QUE DES DIOXYDES DE CARBONE OU DE SILICIUM)</v>
      </c>
    </row>
    <row r="2631" spans="1:4" x14ac:dyDescent="0.25">
      <c r="A2631" t="str">
        <f>T("   ZZZ_Monde")</f>
        <v xml:space="preserve">   ZZZ_Monde</v>
      </c>
      <c r="B2631" t="str">
        <f>T("   ZZZ_Monde")</f>
        <v xml:space="preserve">   ZZZ_Monde</v>
      </c>
      <c r="C2631">
        <v>944278</v>
      </c>
      <c r="D2631">
        <v>2093</v>
      </c>
    </row>
    <row r="2632" spans="1:4" x14ac:dyDescent="0.25">
      <c r="A2632" t="str">
        <f>T("   FR")</f>
        <v xml:space="preserve">   FR</v>
      </c>
      <c r="B2632" t="str">
        <f>T("   France")</f>
        <v xml:space="preserve">   France</v>
      </c>
      <c r="C2632">
        <v>432278</v>
      </c>
      <c r="D2632">
        <v>43</v>
      </c>
    </row>
    <row r="2633" spans="1:4" x14ac:dyDescent="0.25">
      <c r="A2633" t="str">
        <f>T("   NG")</f>
        <v xml:space="preserve">   NG</v>
      </c>
      <c r="B2633" t="str">
        <f>T("   Nigéria")</f>
        <v xml:space="preserve">   Nigéria</v>
      </c>
      <c r="C2633">
        <v>512000</v>
      </c>
      <c r="D2633">
        <v>2050</v>
      </c>
    </row>
    <row r="2634" spans="1:4" x14ac:dyDescent="0.25">
      <c r="A2634" t="str">
        <f>T("281290")</f>
        <v>281290</v>
      </c>
      <c r="B2634" t="str">
        <f>T("Halogénures et oxyhalogénures des éléments non métalliques (à l'excl. des chlorures et des oxychlorures)")</f>
        <v>Halogénures et oxyhalogénures des éléments non métalliques (à l'excl. des chlorures et des oxychlorures)</v>
      </c>
    </row>
    <row r="2635" spans="1:4" x14ac:dyDescent="0.25">
      <c r="A2635" t="str">
        <f>T("   ZZZ_Monde")</f>
        <v xml:space="preserve">   ZZZ_Monde</v>
      </c>
      <c r="B2635" t="str">
        <f>T("   ZZZ_Monde")</f>
        <v xml:space="preserve">   ZZZ_Monde</v>
      </c>
      <c r="C2635">
        <v>4415398</v>
      </c>
      <c r="D2635">
        <v>7905</v>
      </c>
    </row>
    <row r="2636" spans="1:4" x14ac:dyDescent="0.25">
      <c r="A2636" t="str">
        <f>T("   TG")</f>
        <v xml:space="preserve">   TG</v>
      </c>
      <c r="B2636" t="str">
        <f>T("   Togo")</f>
        <v xml:space="preserve">   Togo</v>
      </c>
      <c r="C2636">
        <v>4415398</v>
      </c>
      <c r="D2636">
        <v>7905</v>
      </c>
    </row>
    <row r="2637" spans="1:4" x14ac:dyDescent="0.25">
      <c r="A2637" t="str">
        <f>T("281410")</f>
        <v>281410</v>
      </c>
      <c r="B2637" t="str">
        <f>T("AMMONIAC ANHYDRE")</f>
        <v>AMMONIAC ANHYDRE</v>
      </c>
    </row>
    <row r="2638" spans="1:4" x14ac:dyDescent="0.25">
      <c r="A2638" t="str">
        <f>T("   ZZZ_Monde")</f>
        <v xml:space="preserve">   ZZZ_Monde</v>
      </c>
      <c r="B2638" t="str">
        <f>T("   ZZZ_Monde")</f>
        <v xml:space="preserve">   ZZZ_Monde</v>
      </c>
      <c r="C2638">
        <v>4215330</v>
      </c>
      <c r="D2638">
        <v>3620</v>
      </c>
    </row>
    <row r="2639" spans="1:4" x14ac:dyDescent="0.25">
      <c r="A2639" t="str">
        <f>T("   FR")</f>
        <v xml:space="preserve">   FR</v>
      </c>
      <c r="B2639" t="str">
        <f>T("   France")</f>
        <v xml:space="preserve">   France</v>
      </c>
      <c r="C2639">
        <v>4215330</v>
      </c>
      <c r="D2639">
        <v>3620</v>
      </c>
    </row>
    <row r="2640" spans="1:4" x14ac:dyDescent="0.25">
      <c r="A2640" t="str">
        <f>T("281420")</f>
        <v>281420</v>
      </c>
      <c r="B2640" t="str">
        <f>T("Ammoniac en solution aqueuse [ammoniaque]")</f>
        <v>Ammoniac en solution aqueuse [ammoniaque]</v>
      </c>
    </row>
    <row r="2641" spans="1:4" x14ac:dyDescent="0.25">
      <c r="A2641" t="str">
        <f>T("   ZZZ_Monde")</f>
        <v xml:space="preserve">   ZZZ_Monde</v>
      </c>
      <c r="B2641" t="str">
        <f>T("   ZZZ_Monde")</f>
        <v xml:space="preserve">   ZZZ_Monde</v>
      </c>
      <c r="C2641">
        <v>2511279</v>
      </c>
      <c r="D2641">
        <v>3467</v>
      </c>
    </row>
    <row r="2642" spans="1:4" x14ac:dyDescent="0.25">
      <c r="A2642" t="str">
        <f>T("   FR")</f>
        <v xml:space="preserve">   FR</v>
      </c>
      <c r="B2642" t="str">
        <f>T("   France")</f>
        <v xml:space="preserve">   France</v>
      </c>
      <c r="C2642">
        <v>1152523</v>
      </c>
      <c r="D2642">
        <v>950</v>
      </c>
    </row>
    <row r="2643" spans="1:4" x14ac:dyDescent="0.25">
      <c r="A2643" t="str">
        <f>T("   GB")</f>
        <v xml:space="preserve">   GB</v>
      </c>
      <c r="B2643" t="str">
        <f>T("   Royaume-Uni")</f>
        <v xml:space="preserve">   Royaume-Uni</v>
      </c>
      <c r="C2643">
        <v>1092174</v>
      </c>
      <c r="D2643">
        <v>1552</v>
      </c>
    </row>
    <row r="2644" spans="1:4" x14ac:dyDescent="0.25">
      <c r="A2644" t="str">
        <f>T("   TN")</f>
        <v xml:space="preserve">   TN</v>
      </c>
      <c r="B2644" t="str">
        <f>T("   Tunisie")</f>
        <v xml:space="preserve">   Tunisie</v>
      </c>
      <c r="C2644">
        <v>266582</v>
      </c>
      <c r="D2644">
        <v>965</v>
      </c>
    </row>
    <row r="2645" spans="1:4" x14ac:dyDescent="0.25">
      <c r="A2645" t="str">
        <f>T("281511")</f>
        <v>281511</v>
      </c>
      <c r="B2645" t="str">
        <f>T("Hydroxyde de sodium [soude caustique], solide")</f>
        <v>Hydroxyde de sodium [soude caustique], solide</v>
      </c>
    </row>
    <row r="2646" spans="1:4" x14ac:dyDescent="0.25">
      <c r="A2646" t="str">
        <f>T("   ZZZ_Monde")</f>
        <v xml:space="preserve">   ZZZ_Monde</v>
      </c>
      <c r="B2646" t="str">
        <f>T("   ZZZ_Monde")</f>
        <v xml:space="preserve">   ZZZ_Monde</v>
      </c>
      <c r="C2646">
        <v>590226351</v>
      </c>
      <c r="D2646">
        <v>1607624</v>
      </c>
    </row>
    <row r="2647" spans="1:4" x14ac:dyDescent="0.25">
      <c r="A2647" t="str">
        <f>T("   BE")</f>
        <v xml:space="preserve">   BE</v>
      </c>
      <c r="B2647" t="str">
        <f>T("   Belgique")</f>
        <v xml:space="preserve">   Belgique</v>
      </c>
      <c r="C2647">
        <v>85379866</v>
      </c>
      <c r="D2647">
        <v>171556</v>
      </c>
    </row>
    <row r="2648" spans="1:4" x14ac:dyDescent="0.25">
      <c r="A2648" t="str">
        <f>T("   CN")</f>
        <v xml:space="preserve">   CN</v>
      </c>
      <c r="B2648" t="str">
        <f>T("   Chine")</f>
        <v xml:space="preserve">   Chine</v>
      </c>
      <c r="C2648">
        <v>24375410</v>
      </c>
      <c r="D2648">
        <v>82328</v>
      </c>
    </row>
    <row r="2649" spans="1:4" x14ac:dyDescent="0.25">
      <c r="A2649" t="str">
        <f>T("   FR")</f>
        <v xml:space="preserve">   FR</v>
      </c>
      <c r="B2649" t="str">
        <f>T("   France")</f>
        <v xml:space="preserve">   France</v>
      </c>
      <c r="C2649">
        <v>247056988</v>
      </c>
      <c r="D2649">
        <v>600000</v>
      </c>
    </row>
    <row r="2650" spans="1:4" x14ac:dyDescent="0.25">
      <c r="A2650" t="str">
        <f>T("   IE")</f>
        <v xml:space="preserve">   IE</v>
      </c>
      <c r="B2650" t="str">
        <f>T("   Irlande")</f>
        <v xml:space="preserve">   Irlande</v>
      </c>
      <c r="C2650">
        <v>36935107</v>
      </c>
      <c r="D2650">
        <v>73524</v>
      </c>
    </row>
    <row r="2651" spans="1:4" x14ac:dyDescent="0.25">
      <c r="A2651" t="str">
        <f>T("   NG")</f>
        <v xml:space="preserve">   NG</v>
      </c>
      <c r="B2651" t="str">
        <f>T("   Nigéria")</f>
        <v xml:space="preserve">   Nigéria</v>
      </c>
      <c r="C2651">
        <v>14847840</v>
      </c>
      <c r="D2651">
        <v>207574</v>
      </c>
    </row>
    <row r="2652" spans="1:4" x14ac:dyDescent="0.25">
      <c r="A2652" t="str">
        <f>T("   PL")</f>
        <v xml:space="preserve">   PL</v>
      </c>
      <c r="B2652" t="str">
        <f>T("   Pologne")</f>
        <v xml:space="preserve">   Pologne</v>
      </c>
      <c r="C2652">
        <v>163341914</v>
      </c>
      <c r="D2652">
        <v>343112</v>
      </c>
    </row>
    <row r="2653" spans="1:4" x14ac:dyDescent="0.25">
      <c r="A2653" t="str">
        <f>T("   TG")</f>
        <v xml:space="preserve">   TG</v>
      </c>
      <c r="B2653" t="str">
        <f>T("   Togo")</f>
        <v xml:space="preserve">   Togo</v>
      </c>
      <c r="C2653">
        <v>18289226</v>
      </c>
      <c r="D2653">
        <v>129530</v>
      </c>
    </row>
    <row r="2654" spans="1:4" x14ac:dyDescent="0.25">
      <c r="A2654" t="str">
        <f>T("281512")</f>
        <v>281512</v>
      </c>
      <c r="B2654" t="str">
        <f>T("Hydroxyde de sodium en solution aqueuse [lessive de soude caustique]")</f>
        <v>Hydroxyde de sodium en solution aqueuse [lessive de soude caustique]</v>
      </c>
    </row>
    <row r="2655" spans="1:4" x14ac:dyDescent="0.25">
      <c r="A2655" t="str">
        <f>T("   ZZZ_Monde")</f>
        <v xml:space="preserve">   ZZZ_Monde</v>
      </c>
      <c r="B2655" t="str">
        <f>T("   ZZZ_Monde")</f>
        <v xml:space="preserve">   ZZZ_Monde</v>
      </c>
      <c r="C2655">
        <v>14265527</v>
      </c>
      <c r="D2655">
        <v>60186</v>
      </c>
    </row>
    <row r="2656" spans="1:4" x14ac:dyDescent="0.25">
      <c r="A2656" t="str">
        <f>T("   AE")</f>
        <v xml:space="preserve">   AE</v>
      </c>
      <c r="B2656" t="str">
        <f>T("   Emirats Arabes Unis")</f>
        <v xml:space="preserve">   Emirats Arabes Unis</v>
      </c>
      <c r="C2656">
        <v>10441600</v>
      </c>
      <c r="D2656">
        <v>52208</v>
      </c>
    </row>
    <row r="2657" spans="1:4" x14ac:dyDescent="0.25">
      <c r="A2657" t="str">
        <f>T("   FR")</f>
        <v xml:space="preserve">   FR</v>
      </c>
      <c r="B2657" t="str">
        <f>T("   France")</f>
        <v xml:space="preserve">   France</v>
      </c>
      <c r="C2657">
        <v>1336191</v>
      </c>
      <c r="D2657">
        <v>11</v>
      </c>
    </row>
    <row r="2658" spans="1:4" x14ac:dyDescent="0.25">
      <c r="A2658" t="str">
        <f>T("   NG")</f>
        <v xml:space="preserve">   NG</v>
      </c>
      <c r="B2658" t="str">
        <f>T("   Nigéria")</f>
        <v xml:space="preserve">   Nigéria</v>
      </c>
      <c r="C2658">
        <v>1438200</v>
      </c>
      <c r="D2658">
        <v>7950</v>
      </c>
    </row>
    <row r="2659" spans="1:4" x14ac:dyDescent="0.25">
      <c r="A2659" t="str">
        <f>T("   NL")</f>
        <v xml:space="preserve">   NL</v>
      </c>
      <c r="B2659" t="str">
        <f>T("   Pays-bas")</f>
        <v xml:space="preserve">   Pays-bas</v>
      </c>
      <c r="C2659">
        <v>1049536</v>
      </c>
      <c r="D2659">
        <v>17</v>
      </c>
    </row>
    <row r="2660" spans="1:4" x14ac:dyDescent="0.25">
      <c r="A2660" t="str">
        <f>T("281520")</f>
        <v>281520</v>
      </c>
      <c r="B2660" t="str">
        <f>T("Hydroxyde de potassium [potasse caustique]")</f>
        <v>Hydroxyde de potassium [potasse caustique]</v>
      </c>
    </row>
    <row r="2661" spans="1:4" x14ac:dyDescent="0.25">
      <c r="A2661" t="str">
        <f>T("   ZZZ_Monde")</f>
        <v xml:space="preserve">   ZZZ_Monde</v>
      </c>
      <c r="B2661" t="str">
        <f>T("   ZZZ_Monde")</f>
        <v xml:space="preserve">   ZZZ_Monde</v>
      </c>
      <c r="C2661">
        <v>2722595</v>
      </c>
      <c r="D2661">
        <v>45</v>
      </c>
    </row>
    <row r="2662" spans="1:4" x14ac:dyDescent="0.25">
      <c r="A2662" t="str">
        <f>T("   NL")</f>
        <v xml:space="preserve">   NL</v>
      </c>
      <c r="B2662" t="str">
        <f>T("   Pays-bas")</f>
        <v xml:space="preserve">   Pays-bas</v>
      </c>
      <c r="C2662">
        <v>2722595</v>
      </c>
      <c r="D2662">
        <v>45</v>
      </c>
    </row>
    <row r="2663" spans="1:4" x14ac:dyDescent="0.25">
      <c r="A2663" t="str">
        <f>T("281530")</f>
        <v>281530</v>
      </c>
      <c r="B2663" t="str">
        <f>T("Peroxydes de sodium ou de potassium")</f>
        <v>Peroxydes de sodium ou de potassium</v>
      </c>
    </row>
    <row r="2664" spans="1:4" x14ac:dyDescent="0.25">
      <c r="A2664" t="str">
        <f>T("   ZZZ_Monde")</f>
        <v xml:space="preserve">   ZZZ_Monde</v>
      </c>
      <c r="B2664" t="str">
        <f>T("   ZZZ_Monde")</f>
        <v xml:space="preserve">   ZZZ_Monde</v>
      </c>
      <c r="C2664">
        <v>286482</v>
      </c>
      <c r="D2664">
        <v>55</v>
      </c>
    </row>
    <row r="2665" spans="1:4" x14ac:dyDescent="0.25">
      <c r="A2665" t="str">
        <f>T("   TG")</f>
        <v xml:space="preserve">   TG</v>
      </c>
      <c r="B2665" t="str">
        <f>T("   Togo")</f>
        <v xml:space="preserve">   Togo</v>
      </c>
      <c r="C2665">
        <v>286482</v>
      </c>
      <c r="D2665">
        <v>55</v>
      </c>
    </row>
    <row r="2666" spans="1:4" x14ac:dyDescent="0.25">
      <c r="A2666" t="str">
        <f>T("281700")</f>
        <v>281700</v>
      </c>
      <c r="B2666" t="str">
        <f>T("Oxyde de zinc; peroxyde de zinc")</f>
        <v>Oxyde de zinc; peroxyde de zinc</v>
      </c>
    </row>
    <row r="2667" spans="1:4" x14ac:dyDescent="0.25">
      <c r="A2667" t="str">
        <f>T("   ZZZ_Monde")</f>
        <v xml:space="preserve">   ZZZ_Monde</v>
      </c>
      <c r="B2667" t="str">
        <f>T("   ZZZ_Monde")</f>
        <v xml:space="preserve">   ZZZ_Monde</v>
      </c>
      <c r="C2667">
        <v>2264374</v>
      </c>
      <c r="D2667">
        <v>944</v>
      </c>
    </row>
    <row r="2668" spans="1:4" x14ac:dyDescent="0.25">
      <c r="A2668" t="str">
        <f>T("   BE")</f>
        <v xml:space="preserve">   BE</v>
      </c>
      <c r="B2668" t="str">
        <f>T("   Belgique")</f>
        <v xml:space="preserve">   Belgique</v>
      </c>
      <c r="C2668">
        <v>657928</v>
      </c>
      <c r="D2668">
        <v>440</v>
      </c>
    </row>
    <row r="2669" spans="1:4" x14ac:dyDescent="0.25">
      <c r="A2669" t="str">
        <f>T("   GB")</f>
        <v xml:space="preserve">   GB</v>
      </c>
      <c r="B2669" t="str">
        <f>T("   Royaume-Uni")</f>
        <v xml:space="preserve">   Royaume-Uni</v>
      </c>
      <c r="C2669">
        <v>1606446</v>
      </c>
      <c r="D2669">
        <v>504</v>
      </c>
    </row>
    <row r="2670" spans="1:4" x14ac:dyDescent="0.25">
      <c r="A2670" t="str">
        <f>T("281990")</f>
        <v>281990</v>
      </c>
      <c r="B2670" t="str">
        <f>T("Oxydes et hydroxydes de chrome (à l'excl. du trioxyde)")</f>
        <v>Oxydes et hydroxydes de chrome (à l'excl. du trioxyde)</v>
      </c>
    </row>
    <row r="2671" spans="1:4" x14ac:dyDescent="0.25">
      <c r="A2671" t="str">
        <f>T("   ZZZ_Monde")</f>
        <v xml:space="preserve">   ZZZ_Monde</v>
      </c>
      <c r="B2671" t="str">
        <f>T("   ZZZ_Monde")</f>
        <v xml:space="preserve">   ZZZ_Monde</v>
      </c>
      <c r="C2671">
        <v>17319968</v>
      </c>
      <c r="D2671">
        <v>6738</v>
      </c>
    </row>
    <row r="2672" spans="1:4" x14ac:dyDescent="0.25">
      <c r="A2672" t="str">
        <f>T("   FR")</f>
        <v xml:space="preserve">   FR</v>
      </c>
      <c r="B2672" t="str">
        <f>T("   France")</f>
        <v xml:space="preserve">   France</v>
      </c>
      <c r="C2672">
        <v>17319968</v>
      </c>
      <c r="D2672">
        <v>6738</v>
      </c>
    </row>
    <row r="2673" spans="1:4" x14ac:dyDescent="0.25">
      <c r="A2673" t="str">
        <f>T("282110")</f>
        <v>282110</v>
      </c>
      <c r="B2673" t="str">
        <f>T("Oxydes et hydroxydes de fer")</f>
        <v>Oxydes et hydroxydes de fer</v>
      </c>
    </row>
    <row r="2674" spans="1:4" x14ac:dyDescent="0.25">
      <c r="A2674" t="str">
        <f>T("   ZZZ_Monde")</f>
        <v xml:space="preserve">   ZZZ_Monde</v>
      </c>
      <c r="B2674" t="str">
        <f>T("   ZZZ_Monde")</f>
        <v xml:space="preserve">   ZZZ_Monde</v>
      </c>
      <c r="C2674">
        <v>27970705</v>
      </c>
      <c r="D2674">
        <v>19008</v>
      </c>
    </row>
    <row r="2675" spans="1:4" x14ac:dyDescent="0.25">
      <c r="A2675" t="str">
        <f>T("   DE")</f>
        <v xml:space="preserve">   DE</v>
      </c>
      <c r="B2675" t="str">
        <f>T("   Allemagne")</f>
        <v xml:space="preserve">   Allemagne</v>
      </c>
      <c r="C2675">
        <v>15008332</v>
      </c>
      <c r="D2675">
        <v>12065</v>
      </c>
    </row>
    <row r="2676" spans="1:4" x14ac:dyDescent="0.25">
      <c r="A2676" t="str">
        <f>T("   FR")</f>
        <v xml:space="preserve">   FR</v>
      </c>
      <c r="B2676" t="str">
        <f>T("   France")</f>
        <v xml:space="preserve">   France</v>
      </c>
      <c r="C2676">
        <v>4461669</v>
      </c>
      <c r="D2676">
        <v>2050</v>
      </c>
    </row>
    <row r="2677" spans="1:4" x14ac:dyDescent="0.25">
      <c r="A2677" t="str">
        <f>T("   GB")</f>
        <v xml:space="preserve">   GB</v>
      </c>
      <c r="B2677" t="str">
        <f>T("   Royaume-Uni")</f>
        <v xml:space="preserve">   Royaume-Uni</v>
      </c>
      <c r="C2677">
        <v>6877085</v>
      </c>
      <c r="D2677">
        <v>3533</v>
      </c>
    </row>
    <row r="2678" spans="1:4" x14ac:dyDescent="0.25">
      <c r="A2678" t="str">
        <f>T("   IT")</f>
        <v xml:space="preserve">   IT</v>
      </c>
      <c r="B2678" t="str">
        <f>T("   Italie")</f>
        <v xml:space="preserve">   Italie</v>
      </c>
      <c r="C2678">
        <v>1623619</v>
      </c>
      <c r="D2678">
        <v>1360</v>
      </c>
    </row>
    <row r="2679" spans="1:4" x14ac:dyDescent="0.25">
      <c r="A2679" t="str">
        <f>T("282300")</f>
        <v>282300</v>
      </c>
      <c r="B2679" t="str">
        <f>T("Oxydes de titane")</f>
        <v>Oxydes de titane</v>
      </c>
    </row>
    <row r="2680" spans="1:4" x14ac:dyDescent="0.25">
      <c r="A2680" t="str">
        <f>T("   ZZZ_Monde")</f>
        <v xml:space="preserve">   ZZZ_Monde</v>
      </c>
      <c r="B2680" t="str">
        <f>T("   ZZZ_Monde")</f>
        <v xml:space="preserve">   ZZZ_Monde</v>
      </c>
      <c r="C2680">
        <v>316545302</v>
      </c>
      <c r="D2680">
        <v>140674</v>
      </c>
    </row>
    <row r="2681" spans="1:4" x14ac:dyDescent="0.25">
      <c r="A2681" t="str">
        <f>T("   BE")</f>
        <v xml:space="preserve">   BE</v>
      </c>
      <c r="B2681" t="str">
        <f>T("   Belgique")</f>
        <v xml:space="preserve">   Belgique</v>
      </c>
      <c r="C2681">
        <v>22105196</v>
      </c>
      <c r="D2681">
        <v>12670</v>
      </c>
    </row>
    <row r="2682" spans="1:4" x14ac:dyDescent="0.25">
      <c r="A2682" t="str">
        <f>T("   CN")</f>
        <v xml:space="preserve">   CN</v>
      </c>
      <c r="B2682" t="str">
        <f>T("   Chine")</f>
        <v xml:space="preserve">   Chine</v>
      </c>
      <c r="C2682">
        <v>17927865</v>
      </c>
      <c r="D2682">
        <v>12076</v>
      </c>
    </row>
    <row r="2683" spans="1:4" x14ac:dyDescent="0.25">
      <c r="A2683" t="str">
        <f>T("   GB")</f>
        <v xml:space="preserve">   GB</v>
      </c>
      <c r="B2683" t="str">
        <f>T("   Royaume-Uni")</f>
        <v xml:space="preserve">   Royaume-Uni</v>
      </c>
      <c r="C2683">
        <v>51723102</v>
      </c>
      <c r="D2683">
        <v>20700</v>
      </c>
    </row>
    <row r="2684" spans="1:4" x14ac:dyDescent="0.25">
      <c r="A2684" t="str">
        <f>T("   IT")</f>
        <v xml:space="preserve">   IT</v>
      </c>
      <c r="B2684" t="str">
        <f>T("   Italie")</f>
        <v xml:space="preserve">   Italie</v>
      </c>
      <c r="C2684">
        <v>165299296</v>
      </c>
      <c r="D2684">
        <v>68500</v>
      </c>
    </row>
    <row r="2685" spans="1:4" x14ac:dyDescent="0.25">
      <c r="A2685" t="str">
        <f>T("   SA")</f>
        <v xml:space="preserve">   SA</v>
      </c>
      <c r="B2685" t="str">
        <f>T("   Arabie Saoudite")</f>
        <v xml:space="preserve">   Arabie Saoudite</v>
      </c>
      <c r="C2685">
        <v>44674389</v>
      </c>
      <c r="D2685">
        <v>20640</v>
      </c>
    </row>
    <row r="2686" spans="1:4" x14ac:dyDescent="0.25">
      <c r="A2686" t="str">
        <f>T("   TN")</f>
        <v xml:space="preserve">   TN</v>
      </c>
      <c r="B2686" t="str">
        <f>T("   Tunisie")</f>
        <v xml:space="preserve">   Tunisie</v>
      </c>
      <c r="C2686">
        <v>14815454</v>
      </c>
      <c r="D2686">
        <v>6088</v>
      </c>
    </row>
    <row r="2687" spans="1:4" x14ac:dyDescent="0.25">
      <c r="A2687" t="str">
        <f>T("282420")</f>
        <v>282420</v>
      </c>
      <c r="B2687" t="str">
        <f>T("Minium et mine orange")</f>
        <v>Minium et mine orange</v>
      </c>
    </row>
    <row r="2688" spans="1:4" x14ac:dyDescent="0.25">
      <c r="A2688" t="str">
        <f>T("   ZZZ_Monde")</f>
        <v xml:space="preserve">   ZZZ_Monde</v>
      </c>
      <c r="B2688" t="str">
        <f>T("   ZZZ_Monde")</f>
        <v xml:space="preserve">   ZZZ_Monde</v>
      </c>
      <c r="C2688">
        <v>567228</v>
      </c>
      <c r="D2688">
        <v>200</v>
      </c>
    </row>
    <row r="2689" spans="1:4" x14ac:dyDescent="0.25">
      <c r="A2689" t="str">
        <f>T("   IT")</f>
        <v xml:space="preserve">   IT</v>
      </c>
      <c r="B2689" t="str">
        <f>T("   Italie")</f>
        <v xml:space="preserve">   Italie</v>
      </c>
      <c r="C2689">
        <v>567228</v>
      </c>
      <c r="D2689">
        <v>200</v>
      </c>
    </row>
    <row r="2690" spans="1:4" x14ac:dyDescent="0.25">
      <c r="A2690" t="str">
        <f>T("282619")</f>
        <v>282619</v>
      </c>
      <c r="B2690" t="str">
        <f>T("FLUORURES (À L'EXCL. DES FLUORURES D'ALUMINIUM ET DU MERCURE)")</f>
        <v>FLUORURES (À L'EXCL. DES FLUORURES D'ALUMINIUM ET DU MERCURE)</v>
      </c>
    </row>
    <row r="2691" spans="1:4" x14ac:dyDescent="0.25">
      <c r="A2691" t="str">
        <f>T("   ZZZ_Monde")</f>
        <v xml:space="preserve">   ZZZ_Monde</v>
      </c>
      <c r="B2691" t="str">
        <f>T("   ZZZ_Monde")</f>
        <v xml:space="preserve">   ZZZ_Monde</v>
      </c>
      <c r="C2691">
        <v>84240568</v>
      </c>
      <c r="D2691">
        <v>4105</v>
      </c>
    </row>
    <row r="2692" spans="1:4" x14ac:dyDescent="0.25">
      <c r="A2692" t="str">
        <f>T("   FR")</f>
        <v xml:space="preserve">   FR</v>
      </c>
      <c r="B2692" t="str">
        <f>T("   France")</f>
        <v xml:space="preserve">   France</v>
      </c>
      <c r="C2692">
        <v>84240568</v>
      </c>
      <c r="D2692">
        <v>4105</v>
      </c>
    </row>
    <row r="2693" spans="1:4" x14ac:dyDescent="0.25">
      <c r="A2693" t="str">
        <f>T("282720")</f>
        <v>282720</v>
      </c>
      <c r="B2693" t="str">
        <f>T("Chlorure de calcium")</f>
        <v>Chlorure de calcium</v>
      </c>
    </row>
    <row r="2694" spans="1:4" x14ac:dyDescent="0.25">
      <c r="A2694" t="str">
        <f>T("   ZZZ_Monde")</f>
        <v xml:space="preserve">   ZZZ_Monde</v>
      </c>
      <c r="B2694" t="str">
        <f>T("   ZZZ_Monde")</f>
        <v xml:space="preserve">   ZZZ_Monde</v>
      </c>
      <c r="C2694">
        <v>6397950</v>
      </c>
      <c r="D2694">
        <v>14353</v>
      </c>
    </row>
    <row r="2695" spans="1:4" x14ac:dyDescent="0.25">
      <c r="A2695" t="str">
        <f>T("   CH")</f>
        <v xml:space="preserve">   CH</v>
      </c>
      <c r="B2695" t="str">
        <f>T("   Suisse")</f>
        <v xml:space="preserve">   Suisse</v>
      </c>
      <c r="C2695">
        <v>1509154</v>
      </c>
      <c r="D2695">
        <v>2140</v>
      </c>
    </row>
    <row r="2696" spans="1:4" x14ac:dyDescent="0.25">
      <c r="A2696" t="str">
        <f>T("   FR")</f>
        <v xml:space="preserve">   FR</v>
      </c>
      <c r="B2696" t="str">
        <f>T("   France")</f>
        <v xml:space="preserve">   France</v>
      </c>
      <c r="C2696">
        <v>4423796</v>
      </c>
      <c r="D2696">
        <v>6388</v>
      </c>
    </row>
    <row r="2697" spans="1:4" x14ac:dyDescent="0.25">
      <c r="A2697" t="str">
        <f>T("   NG")</f>
        <v xml:space="preserve">   NG</v>
      </c>
      <c r="B2697" t="str">
        <f>T("   Nigéria")</f>
        <v xml:space="preserve">   Nigéria</v>
      </c>
      <c r="C2697">
        <v>465000</v>
      </c>
      <c r="D2697">
        <v>5825</v>
      </c>
    </row>
    <row r="2698" spans="1:4" x14ac:dyDescent="0.25">
      <c r="A2698" t="str">
        <f>T("282739")</f>
        <v>282739</v>
      </c>
      <c r="B2698" t="str">
        <f>T("CHLORURES (À L'EXCL. DES CHLORURES D'AMMONIUM, DE CALCIUM, DE MAGNÉSIUM, D'ALUMINIUM, DE NICKEL ET DE MERCURE)")</f>
        <v>CHLORURES (À L'EXCL. DES CHLORURES D'AMMONIUM, DE CALCIUM, DE MAGNÉSIUM, D'ALUMINIUM, DE NICKEL ET DE MERCURE)</v>
      </c>
    </row>
    <row r="2699" spans="1:4" x14ac:dyDescent="0.25">
      <c r="A2699" t="str">
        <f>T("   ZZZ_Monde")</f>
        <v xml:space="preserve">   ZZZ_Monde</v>
      </c>
      <c r="B2699" t="str">
        <f>T("   ZZZ_Monde")</f>
        <v xml:space="preserve">   ZZZ_Monde</v>
      </c>
      <c r="C2699">
        <v>1580480</v>
      </c>
      <c r="D2699">
        <v>1056</v>
      </c>
    </row>
    <row r="2700" spans="1:4" x14ac:dyDescent="0.25">
      <c r="A2700" t="str">
        <f>T("   DE")</f>
        <v xml:space="preserve">   DE</v>
      </c>
      <c r="B2700" t="str">
        <f>T("   Allemagne")</f>
        <v xml:space="preserve">   Allemagne</v>
      </c>
      <c r="C2700">
        <v>349052</v>
      </c>
      <c r="D2700">
        <v>2</v>
      </c>
    </row>
    <row r="2701" spans="1:4" x14ac:dyDescent="0.25">
      <c r="A2701" t="str">
        <f>T("   FR")</f>
        <v xml:space="preserve">   FR</v>
      </c>
      <c r="B2701" t="str">
        <f>T("   France")</f>
        <v xml:space="preserve">   France</v>
      </c>
      <c r="C2701">
        <v>1208928</v>
      </c>
      <c r="D2701">
        <v>904</v>
      </c>
    </row>
    <row r="2702" spans="1:4" x14ac:dyDescent="0.25">
      <c r="A2702" t="str">
        <f>T("   NG")</f>
        <v xml:space="preserve">   NG</v>
      </c>
      <c r="B2702" t="str">
        <f>T("   Nigéria")</f>
        <v xml:space="preserve">   Nigéria</v>
      </c>
      <c r="C2702">
        <v>22500</v>
      </c>
      <c r="D2702">
        <v>150</v>
      </c>
    </row>
    <row r="2703" spans="1:4" x14ac:dyDescent="0.25">
      <c r="A2703" t="str">
        <f>T("282759")</f>
        <v>282759</v>
      </c>
      <c r="B2703" t="str">
        <f>T("Bromures et oxybromures (à l'excl. des bromures de sodium ou de potassium)")</f>
        <v>Bromures et oxybromures (à l'excl. des bromures de sodium ou de potassium)</v>
      </c>
    </row>
    <row r="2704" spans="1:4" x14ac:dyDescent="0.25">
      <c r="A2704" t="str">
        <f>T("   ZZZ_Monde")</f>
        <v xml:space="preserve">   ZZZ_Monde</v>
      </c>
      <c r="B2704" t="str">
        <f>T("   ZZZ_Monde")</f>
        <v xml:space="preserve">   ZZZ_Monde</v>
      </c>
      <c r="C2704">
        <v>99915</v>
      </c>
      <c r="D2704">
        <v>0.25</v>
      </c>
    </row>
    <row r="2705" spans="1:4" x14ac:dyDescent="0.25">
      <c r="A2705" t="str">
        <f>T("   DE")</f>
        <v xml:space="preserve">   DE</v>
      </c>
      <c r="B2705" t="str">
        <f>T("   Allemagne")</f>
        <v xml:space="preserve">   Allemagne</v>
      </c>
      <c r="C2705">
        <v>99915</v>
      </c>
      <c r="D2705">
        <v>0.25</v>
      </c>
    </row>
    <row r="2706" spans="1:4" x14ac:dyDescent="0.25">
      <c r="A2706" t="str">
        <f>T("282810")</f>
        <v>282810</v>
      </c>
      <c r="B2706" t="str">
        <f>T("Hypochlorites de calcium, y.c. l'hypochlorite de calcium du commerce")</f>
        <v>Hypochlorites de calcium, y.c. l'hypochlorite de calcium du commerce</v>
      </c>
    </row>
    <row r="2707" spans="1:4" x14ac:dyDescent="0.25">
      <c r="A2707" t="str">
        <f>T("   ZZZ_Monde")</f>
        <v xml:space="preserve">   ZZZ_Monde</v>
      </c>
      <c r="B2707" t="str">
        <f>T("   ZZZ_Monde")</f>
        <v xml:space="preserve">   ZZZ_Monde</v>
      </c>
      <c r="C2707">
        <v>17256066</v>
      </c>
      <c r="D2707">
        <v>47030</v>
      </c>
    </row>
    <row r="2708" spans="1:4" x14ac:dyDescent="0.25">
      <c r="A2708" t="str">
        <f>T("   BE")</f>
        <v xml:space="preserve">   BE</v>
      </c>
      <c r="B2708" t="str">
        <f>T("   Belgique")</f>
        <v xml:space="preserve">   Belgique</v>
      </c>
      <c r="C2708">
        <v>391609</v>
      </c>
      <c r="D2708">
        <v>641</v>
      </c>
    </row>
    <row r="2709" spans="1:4" x14ac:dyDescent="0.25">
      <c r="A2709" t="str">
        <f>T("   NG")</f>
        <v xml:space="preserve">   NG</v>
      </c>
      <c r="B2709" t="str">
        <f>T("   Nigéria")</f>
        <v xml:space="preserve">   Nigéria</v>
      </c>
      <c r="C2709">
        <v>27000</v>
      </c>
      <c r="D2709">
        <v>360</v>
      </c>
    </row>
    <row r="2710" spans="1:4" x14ac:dyDescent="0.25">
      <c r="A2710" t="str">
        <f>T("   TG")</f>
        <v xml:space="preserve">   TG</v>
      </c>
      <c r="B2710" t="str">
        <f>T("   Togo")</f>
        <v xml:space="preserve">   Togo</v>
      </c>
      <c r="C2710">
        <v>67456</v>
      </c>
      <c r="D2710">
        <v>270</v>
      </c>
    </row>
    <row r="2711" spans="1:4" x14ac:dyDescent="0.25">
      <c r="A2711" t="str">
        <f>T("   US")</f>
        <v xml:space="preserve">   US</v>
      </c>
      <c r="B2711" t="str">
        <f>T("   Etats-Unis")</f>
        <v xml:space="preserve">   Etats-Unis</v>
      </c>
      <c r="C2711">
        <v>16770001</v>
      </c>
      <c r="D2711">
        <v>45759</v>
      </c>
    </row>
    <row r="2712" spans="1:4" x14ac:dyDescent="0.25">
      <c r="A2712" t="str">
        <f>T("282890")</f>
        <v>282890</v>
      </c>
      <c r="B2712" t="str">
        <f>T("Hypochlorites, chlorites et hypobromites (à l'excl. des hypochlorites de calcium)")</f>
        <v>Hypochlorites, chlorites et hypobromites (à l'excl. des hypochlorites de calcium)</v>
      </c>
    </row>
    <row r="2713" spans="1:4" x14ac:dyDescent="0.25">
      <c r="A2713" t="str">
        <f>T("   ZZZ_Monde")</f>
        <v xml:space="preserve">   ZZZ_Monde</v>
      </c>
      <c r="B2713" t="str">
        <f>T("   ZZZ_Monde")</f>
        <v xml:space="preserve">   ZZZ_Monde</v>
      </c>
      <c r="C2713">
        <v>102946809</v>
      </c>
      <c r="D2713">
        <v>282979.20000000001</v>
      </c>
    </row>
    <row r="2714" spans="1:4" x14ac:dyDescent="0.25">
      <c r="A2714" t="str">
        <f>T("   BE")</f>
        <v xml:space="preserve">   BE</v>
      </c>
      <c r="B2714" t="str">
        <f>T("   Belgique")</f>
        <v xml:space="preserve">   Belgique</v>
      </c>
      <c r="C2714">
        <v>5602323</v>
      </c>
      <c r="D2714">
        <v>15445</v>
      </c>
    </row>
    <row r="2715" spans="1:4" x14ac:dyDescent="0.25">
      <c r="A2715" t="str">
        <f>T("   ES")</f>
        <v xml:space="preserve">   ES</v>
      </c>
      <c r="B2715" t="str">
        <f>T("   Espagne")</f>
        <v xml:space="preserve">   Espagne</v>
      </c>
      <c r="C2715">
        <v>167866</v>
      </c>
      <c r="D2715">
        <v>500</v>
      </c>
    </row>
    <row r="2716" spans="1:4" x14ac:dyDescent="0.25">
      <c r="A2716" t="str">
        <f>T("   FR")</f>
        <v xml:space="preserve">   FR</v>
      </c>
      <c r="B2716" t="str">
        <f>T("   France")</f>
        <v xml:space="preserve">   France</v>
      </c>
      <c r="C2716">
        <v>21299338</v>
      </c>
      <c r="D2716">
        <v>60683.199999999997</v>
      </c>
    </row>
    <row r="2717" spans="1:4" x14ac:dyDescent="0.25">
      <c r="A2717" t="str">
        <f>T("   GH")</f>
        <v xml:space="preserve">   GH</v>
      </c>
      <c r="B2717" t="str">
        <f>T("   Ghana")</f>
        <v xml:space="preserve">   Ghana</v>
      </c>
      <c r="C2717">
        <v>1000000</v>
      </c>
      <c r="D2717">
        <v>800</v>
      </c>
    </row>
    <row r="2718" spans="1:4" x14ac:dyDescent="0.25">
      <c r="A2718" t="str">
        <f>T("   NG")</f>
        <v xml:space="preserve">   NG</v>
      </c>
      <c r="B2718" t="str">
        <f>T("   Nigéria")</f>
        <v xml:space="preserve">   Nigéria</v>
      </c>
      <c r="C2718">
        <v>35272075</v>
      </c>
      <c r="D2718">
        <v>123316</v>
      </c>
    </row>
    <row r="2719" spans="1:4" x14ac:dyDescent="0.25">
      <c r="A2719" t="str">
        <f>T("   SN")</f>
        <v xml:space="preserve">   SN</v>
      </c>
      <c r="B2719" t="str">
        <f>T("   Sénégal")</f>
        <v xml:space="preserve">   Sénégal</v>
      </c>
      <c r="C2719">
        <v>38704843</v>
      </c>
      <c r="D2719">
        <v>72985</v>
      </c>
    </row>
    <row r="2720" spans="1:4" x14ac:dyDescent="0.25">
      <c r="A2720" t="str">
        <f>T("   TG")</f>
        <v xml:space="preserve">   TG</v>
      </c>
      <c r="B2720" t="str">
        <f>T("   Togo")</f>
        <v xml:space="preserve">   Togo</v>
      </c>
      <c r="C2720">
        <v>900364</v>
      </c>
      <c r="D2720">
        <v>9250</v>
      </c>
    </row>
    <row r="2721" spans="1:4" x14ac:dyDescent="0.25">
      <c r="A2721" t="str">
        <f>T("282990")</f>
        <v>282990</v>
      </c>
      <c r="B2721" t="str">
        <f>T("PERCHLORATES; BROMATES ET PERBROMATES; IODATES ET PERIODATES (À L'EXCL. DES COMPOSÉS INORGANIQUES OU ORGANIQUES DU MERCURE)")</f>
        <v>PERCHLORATES; BROMATES ET PERBROMATES; IODATES ET PERIODATES (À L'EXCL. DES COMPOSÉS INORGANIQUES OU ORGANIQUES DU MERCURE)</v>
      </c>
    </row>
    <row r="2722" spans="1:4" x14ac:dyDescent="0.25">
      <c r="A2722" t="str">
        <f>T("   ZZZ_Monde")</f>
        <v xml:space="preserve">   ZZZ_Monde</v>
      </c>
      <c r="B2722" t="str">
        <f>T("   ZZZ_Monde")</f>
        <v xml:space="preserve">   ZZZ_Monde</v>
      </c>
      <c r="C2722">
        <v>235940940</v>
      </c>
      <c r="D2722">
        <v>40000</v>
      </c>
    </row>
    <row r="2723" spans="1:4" x14ac:dyDescent="0.25">
      <c r="A2723" t="str">
        <f>T("   DE")</f>
        <v xml:space="preserve">   DE</v>
      </c>
      <c r="B2723" t="str">
        <f>T("   Allemagne")</f>
        <v xml:space="preserve">   Allemagne</v>
      </c>
      <c r="C2723">
        <v>235940940</v>
      </c>
      <c r="D2723">
        <v>40000</v>
      </c>
    </row>
    <row r="2724" spans="1:4" x14ac:dyDescent="0.25">
      <c r="A2724" t="str">
        <f>T("283220")</f>
        <v>283220</v>
      </c>
      <c r="B2724" t="str">
        <f>T("Sulfites (autres que de sodium)")</f>
        <v>Sulfites (autres que de sodium)</v>
      </c>
    </row>
    <row r="2725" spans="1:4" x14ac:dyDescent="0.25">
      <c r="A2725" t="str">
        <f>T("   ZZZ_Monde")</f>
        <v xml:space="preserve">   ZZZ_Monde</v>
      </c>
      <c r="B2725" t="str">
        <f>T("   ZZZ_Monde")</f>
        <v xml:space="preserve">   ZZZ_Monde</v>
      </c>
      <c r="C2725">
        <v>3855733</v>
      </c>
      <c r="D2725">
        <v>1420</v>
      </c>
    </row>
    <row r="2726" spans="1:4" x14ac:dyDescent="0.25">
      <c r="A2726" t="str">
        <f>T("   FR")</f>
        <v xml:space="preserve">   FR</v>
      </c>
      <c r="B2726" t="str">
        <f>T("   France")</f>
        <v xml:space="preserve">   France</v>
      </c>
      <c r="C2726">
        <v>3855733</v>
      </c>
      <c r="D2726">
        <v>1420</v>
      </c>
    </row>
    <row r="2727" spans="1:4" x14ac:dyDescent="0.25">
      <c r="A2727" t="str">
        <f>T("283322")</f>
        <v>283322</v>
      </c>
      <c r="B2727" t="str">
        <f>T("SULFATE D'ALUMINIUM")</f>
        <v>SULFATE D'ALUMINIUM</v>
      </c>
    </row>
    <row r="2728" spans="1:4" x14ac:dyDescent="0.25">
      <c r="A2728" t="str">
        <f>T("   ZZZ_Monde")</f>
        <v xml:space="preserve">   ZZZ_Monde</v>
      </c>
      <c r="B2728" t="str">
        <f>T("   ZZZ_Monde")</f>
        <v xml:space="preserve">   ZZZ_Monde</v>
      </c>
      <c r="C2728">
        <v>64665853</v>
      </c>
      <c r="D2728">
        <v>341281</v>
      </c>
    </row>
    <row r="2729" spans="1:4" x14ac:dyDescent="0.25">
      <c r="A2729" t="str">
        <f>T("   CN")</f>
        <v xml:space="preserve">   CN</v>
      </c>
      <c r="B2729" t="str">
        <f>T("   Chine")</f>
        <v xml:space="preserve">   Chine</v>
      </c>
      <c r="C2729">
        <v>18393124</v>
      </c>
      <c r="D2729">
        <v>40080</v>
      </c>
    </row>
    <row r="2730" spans="1:4" x14ac:dyDescent="0.25">
      <c r="A2730" t="str">
        <f>T("   FR")</f>
        <v xml:space="preserve">   FR</v>
      </c>
      <c r="B2730" t="str">
        <f>T("   France")</f>
        <v xml:space="preserve">   France</v>
      </c>
      <c r="C2730">
        <v>93146</v>
      </c>
      <c r="D2730">
        <v>1</v>
      </c>
    </row>
    <row r="2731" spans="1:4" x14ac:dyDescent="0.25">
      <c r="A2731" t="str">
        <f>T("   TN")</f>
        <v xml:space="preserve">   TN</v>
      </c>
      <c r="B2731" t="str">
        <f>T("   Tunisie")</f>
        <v xml:space="preserve">   Tunisie</v>
      </c>
      <c r="C2731">
        <v>46179583</v>
      </c>
      <c r="D2731">
        <v>301200</v>
      </c>
    </row>
    <row r="2732" spans="1:4" x14ac:dyDescent="0.25">
      <c r="A2732" t="str">
        <f>T("283326")</f>
        <v>283326</v>
      </c>
      <c r="B2732" t="str">
        <f>T("SULFATE DE ZINC")</f>
        <v>SULFATE DE ZINC</v>
      </c>
    </row>
    <row r="2733" spans="1:4" x14ac:dyDescent="0.25">
      <c r="A2733" t="str">
        <f>T("   ZZZ_Monde")</f>
        <v xml:space="preserve">   ZZZ_Monde</v>
      </c>
      <c r="B2733" t="str">
        <f>T("   ZZZ_Monde")</f>
        <v xml:space="preserve">   ZZZ_Monde</v>
      </c>
      <c r="C2733">
        <v>498884</v>
      </c>
      <c r="D2733">
        <v>38</v>
      </c>
    </row>
    <row r="2734" spans="1:4" x14ac:dyDescent="0.25">
      <c r="A2734" t="str">
        <f>T("   BE")</f>
        <v xml:space="preserve">   BE</v>
      </c>
      <c r="B2734" t="str">
        <f>T("   Belgique")</f>
        <v xml:space="preserve">   Belgique</v>
      </c>
      <c r="C2734">
        <v>410631</v>
      </c>
      <c r="D2734">
        <v>24</v>
      </c>
    </row>
    <row r="2735" spans="1:4" x14ac:dyDescent="0.25">
      <c r="A2735" t="str">
        <f>T("   CH")</f>
        <v xml:space="preserve">   CH</v>
      </c>
      <c r="B2735" t="str">
        <f>T("   Suisse")</f>
        <v xml:space="preserve">   Suisse</v>
      </c>
      <c r="C2735">
        <v>88253</v>
      </c>
      <c r="D2735">
        <v>14</v>
      </c>
    </row>
    <row r="2736" spans="1:4" x14ac:dyDescent="0.25">
      <c r="A2736" t="str">
        <f>T("283329")</f>
        <v>283329</v>
      </c>
      <c r="B2736" t="str">
        <f>T("SULFATES (AUTRES QUE DE SODIUM, DE MAGNÉSIUM, D'ALUMINIUM, DE NICKEL, DE CUIVRE, DE BARYUM OU DE MERCURE)")</f>
        <v>SULFATES (AUTRES QUE DE SODIUM, DE MAGNÉSIUM, D'ALUMINIUM, DE NICKEL, DE CUIVRE, DE BARYUM OU DE MERCURE)</v>
      </c>
    </row>
    <row r="2737" spans="1:4" x14ac:dyDescent="0.25">
      <c r="A2737" t="str">
        <f>T("   ZZZ_Monde")</f>
        <v xml:space="preserve">   ZZZ_Monde</v>
      </c>
      <c r="B2737" t="str">
        <f>T("   ZZZ_Monde")</f>
        <v xml:space="preserve">   ZZZ_Monde</v>
      </c>
      <c r="C2737">
        <v>3175830</v>
      </c>
      <c r="D2737">
        <v>16390</v>
      </c>
    </row>
    <row r="2738" spans="1:4" x14ac:dyDescent="0.25">
      <c r="A2738" t="str">
        <f>T("   BE")</f>
        <v xml:space="preserve">   BE</v>
      </c>
      <c r="B2738" t="str">
        <f>T("   Belgique")</f>
        <v xml:space="preserve">   Belgique</v>
      </c>
      <c r="C2738">
        <v>2074802</v>
      </c>
      <c r="D2738">
        <v>16144</v>
      </c>
    </row>
    <row r="2739" spans="1:4" x14ac:dyDescent="0.25">
      <c r="A2739" t="str">
        <f>T("   DE")</f>
        <v xml:space="preserve">   DE</v>
      </c>
      <c r="B2739" t="str">
        <f>T("   Allemagne")</f>
        <v xml:space="preserve">   Allemagne</v>
      </c>
      <c r="C2739">
        <v>538871</v>
      </c>
      <c r="D2739">
        <v>28</v>
      </c>
    </row>
    <row r="2740" spans="1:4" x14ac:dyDescent="0.25">
      <c r="A2740" t="str">
        <f>T("   FR")</f>
        <v xml:space="preserve">   FR</v>
      </c>
      <c r="B2740" t="str">
        <f>T("   France")</f>
        <v xml:space="preserve">   France</v>
      </c>
      <c r="C2740">
        <v>562157</v>
      </c>
      <c r="D2740">
        <v>218</v>
      </c>
    </row>
    <row r="2741" spans="1:4" x14ac:dyDescent="0.25">
      <c r="A2741" t="str">
        <f>T("283330")</f>
        <v>283330</v>
      </c>
      <c r="B2741" t="str">
        <f>T("Aluns")</f>
        <v>Aluns</v>
      </c>
    </row>
    <row r="2742" spans="1:4" x14ac:dyDescent="0.25">
      <c r="A2742" t="str">
        <f>T("   ZZZ_Monde")</f>
        <v xml:space="preserve">   ZZZ_Monde</v>
      </c>
      <c r="B2742" t="str">
        <f>T("   ZZZ_Monde")</f>
        <v xml:space="preserve">   ZZZ_Monde</v>
      </c>
      <c r="C2742">
        <v>396000</v>
      </c>
      <c r="D2742">
        <v>1980</v>
      </c>
    </row>
    <row r="2743" spans="1:4" x14ac:dyDescent="0.25">
      <c r="A2743" t="str">
        <f>T("   NG")</f>
        <v xml:space="preserve">   NG</v>
      </c>
      <c r="B2743" t="str">
        <f>T("   Nigéria")</f>
        <v xml:space="preserve">   Nigéria</v>
      </c>
      <c r="C2743">
        <v>396000</v>
      </c>
      <c r="D2743">
        <v>1980</v>
      </c>
    </row>
    <row r="2744" spans="1:4" x14ac:dyDescent="0.25">
      <c r="A2744" t="str">
        <f>T("283421")</f>
        <v>283421</v>
      </c>
      <c r="B2744" t="str">
        <f>T("Nitrate de potassium")</f>
        <v>Nitrate de potassium</v>
      </c>
    </row>
    <row r="2745" spans="1:4" x14ac:dyDescent="0.25">
      <c r="A2745" t="str">
        <f>T("   ZZZ_Monde")</f>
        <v xml:space="preserve">   ZZZ_Monde</v>
      </c>
      <c r="B2745" t="str">
        <f>T("   ZZZ_Monde")</f>
        <v xml:space="preserve">   ZZZ_Monde</v>
      </c>
      <c r="C2745">
        <v>70844</v>
      </c>
      <c r="D2745">
        <v>9</v>
      </c>
    </row>
    <row r="2746" spans="1:4" x14ac:dyDescent="0.25">
      <c r="A2746" t="str">
        <f>T("   FR")</f>
        <v xml:space="preserve">   FR</v>
      </c>
      <c r="B2746" t="str">
        <f>T("   France")</f>
        <v xml:space="preserve">   France</v>
      </c>
      <c r="C2746">
        <v>70844</v>
      </c>
      <c r="D2746">
        <v>9</v>
      </c>
    </row>
    <row r="2747" spans="1:4" x14ac:dyDescent="0.25">
      <c r="A2747" t="str">
        <f>T("283429")</f>
        <v>283429</v>
      </c>
      <c r="B2747" t="str">
        <f>T("NITRATES (AUTRES QUE DE POTASSIUM OU DE MERCURE)")</f>
        <v>NITRATES (AUTRES QUE DE POTASSIUM OU DE MERCURE)</v>
      </c>
    </row>
    <row r="2748" spans="1:4" x14ac:dyDescent="0.25">
      <c r="A2748" t="str">
        <f>T("   ZZZ_Monde")</f>
        <v xml:space="preserve">   ZZZ_Monde</v>
      </c>
      <c r="B2748" t="str">
        <f>T("   ZZZ_Monde")</f>
        <v xml:space="preserve">   ZZZ_Monde</v>
      </c>
      <c r="C2748">
        <v>4207570</v>
      </c>
      <c r="D2748">
        <v>20616</v>
      </c>
    </row>
    <row r="2749" spans="1:4" x14ac:dyDescent="0.25">
      <c r="A2749" t="str">
        <f>T("   FR")</f>
        <v xml:space="preserve">   FR</v>
      </c>
      <c r="B2749" t="str">
        <f>T("   France")</f>
        <v xml:space="preserve">   France</v>
      </c>
      <c r="C2749">
        <v>3546297</v>
      </c>
      <c r="D2749">
        <v>20605</v>
      </c>
    </row>
    <row r="2750" spans="1:4" x14ac:dyDescent="0.25">
      <c r="A2750" t="str">
        <f>T("   NL")</f>
        <v xml:space="preserve">   NL</v>
      </c>
      <c r="B2750" t="str">
        <f>T("   Pays-bas")</f>
        <v xml:space="preserve">   Pays-bas</v>
      </c>
      <c r="C2750">
        <v>661273</v>
      </c>
      <c r="D2750">
        <v>11</v>
      </c>
    </row>
    <row r="2751" spans="1:4" x14ac:dyDescent="0.25">
      <c r="A2751" t="str">
        <f>T("283524")</f>
        <v>283524</v>
      </c>
      <c r="B2751" t="str">
        <f>T("Phosphates de potassium")</f>
        <v>Phosphates de potassium</v>
      </c>
    </row>
    <row r="2752" spans="1:4" x14ac:dyDescent="0.25">
      <c r="A2752" t="str">
        <f>T("   ZZZ_Monde")</f>
        <v xml:space="preserve">   ZZZ_Monde</v>
      </c>
      <c r="B2752" t="str">
        <f>T("   ZZZ_Monde")</f>
        <v xml:space="preserve">   ZZZ_Monde</v>
      </c>
      <c r="C2752">
        <v>794040</v>
      </c>
      <c r="D2752">
        <v>13</v>
      </c>
    </row>
    <row r="2753" spans="1:4" x14ac:dyDescent="0.25">
      <c r="A2753" t="str">
        <f>T("   NL")</f>
        <v xml:space="preserve">   NL</v>
      </c>
      <c r="B2753" t="str">
        <f>T("   Pays-bas")</f>
        <v xml:space="preserve">   Pays-bas</v>
      </c>
      <c r="C2753">
        <v>794040</v>
      </c>
      <c r="D2753">
        <v>13</v>
      </c>
    </row>
    <row r="2754" spans="1:4" x14ac:dyDescent="0.25">
      <c r="A2754" t="str">
        <f>T("283525")</f>
        <v>283525</v>
      </c>
      <c r="B2754" t="str">
        <f>T("Hydrogénoorthophosphate de calcium [phosphate dicalcique]")</f>
        <v>Hydrogénoorthophosphate de calcium [phosphate dicalcique]</v>
      </c>
    </row>
    <row r="2755" spans="1:4" x14ac:dyDescent="0.25">
      <c r="A2755" t="str">
        <f>T("   ZZZ_Monde")</f>
        <v xml:space="preserve">   ZZZ_Monde</v>
      </c>
      <c r="B2755" t="str">
        <f>T("   ZZZ_Monde")</f>
        <v xml:space="preserve">   ZZZ_Monde</v>
      </c>
      <c r="C2755">
        <v>7095519</v>
      </c>
      <c r="D2755">
        <v>44658</v>
      </c>
    </row>
    <row r="2756" spans="1:4" x14ac:dyDescent="0.25">
      <c r="A2756" t="str">
        <f>T("   BE")</f>
        <v xml:space="preserve">   BE</v>
      </c>
      <c r="B2756" t="str">
        <f>T("   Belgique")</f>
        <v xml:space="preserve">   Belgique</v>
      </c>
      <c r="C2756">
        <v>7095519</v>
      </c>
      <c r="D2756">
        <v>44658</v>
      </c>
    </row>
    <row r="2757" spans="1:4" x14ac:dyDescent="0.25">
      <c r="A2757" t="str">
        <f>T("283526")</f>
        <v>283526</v>
      </c>
      <c r="B2757" t="str">
        <f>T("Phosphates de calcium (à l'excl. de l'hydrogénoorthophosphate de calcium [phosphate dicalcique])")</f>
        <v>Phosphates de calcium (à l'excl. de l'hydrogénoorthophosphate de calcium [phosphate dicalcique])</v>
      </c>
    </row>
    <row r="2758" spans="1:4" x14ac:dyDescent="0.25">
      <c r="A2758" t="str">
        <f>T("   ZZZ_Monde")</f>
        <v xml:space="preserve">   ZZZ_Monde</v>
      </c>
      <c r="B2758" t="str">
        <f>T("   ZZZ_Monde")</f>
        <v xml:space="preserve">   ZZZ_Monde</v>
      </c>
      <c r="C2758">
        <v>3633362</v>
      </c>
      <c r="D2758">
        <v>20203</v>
      </c>
    </row>
    <row r="2759" spans="1:4" x14ac:dyDescent="0.25">
      <c r="A2759" t="str">
        <f>T("   BE")</f>
        <v xml:space="preserve">   BE</v>
      </c>
      <c r="B2759" t="str">
        <f>T("   Belgique")</f>
        <v xml:space="preserve">   Belgique</v>
      </c>
      <c r="C2759">
        <v>3633362</v>
      </c>
      <c r="D2759">
        <v>20203</v>
      </c>
    </row>
    <row r="2760" spans="1:4" x14ac:dyDescent="0.25">
      <c r="A2760" t="str">
        <f>T("283529")</f>
        <v>283529</v>
      </c>
      <c r="B2760" t="str">
        <f>T("PHOSPHATES (À L'EXCL. DES PHOSPHATES DE MONOSODIUM, DE DISODIUM, DE POTASSIUM, DE CALCIUM ET DU MERCURE)")</f>
        <v>PHOSPHATES (À L'EXCL. DES PHOSPHATES DE MONOSODIUM, DE DISODIUM, DE POTASSIUM, DE CALCIUM ET DU MERCURE)</v>
      </c>
    </row>
    <row r="2761" spans="1:4" x14ac:dyDescent="0.25">
      <c r="A2761" t="str">
        <f>T("   ZZZ_Monde")</f>
        <v xml:space="preserve">   ZZZ_Monde</v>
      </c>
      <c r="B2761" t="str">
        <f>T("   ZZZ_Monde")</f>
        <v xml:space="preserve">   ZZZ_Monde</v>
      </c>
      <c r="C2761">
        <v>3087184</v>
      </c>
      <c r="D2761">
        <v>2604</v>
      </c>
    </row>
    <row r="2762" spans="1:4" x14ac:dyDescent="0.25">
      <c r="A2762" t="str">
        <f>T("   FR")</f>
        <v xml:space="preserve">   FR</v>
      </c>
      <c r="B2762" t="str">
        <f>T("   France")</f>
        <v xml:space="preserve">   France</v>
      </c>
      <c r="C2762">
        <v>1051504</v>
      </c>
      <c r="D2762">
        <v>300</v>
      </c>
    </row>
    <row r="2763" spans="1:4" x14ac:dyDescent="0.25">
      <c r="A2763" t="str">
        <f>T("   TN")</f>
        <v xml:space="preserve">   TN</v>
      </c>
      <c r="B2763" t="str">
        <f>T("   Tunisie")</f>
        <v xml:space="preserve">   Tunisie</v>
      </c>
      <c r="C2763">
        <v>2035680</v>
      </c>
      <c r="D2763">
        <v>2304</v>
      </c>
    </row>
    <row r="2764" spans="1:4" x14ac:dyDescent="0.25">
      <c r="A2764" t="str">
        <f>T("283539")</f>
        <v>283539</v>
      </c>
      <c r="B2764" t="str">
        <f>T("Polyphosphates, de constitution chimique définie ou non (à l'excl. du triphosphate de sodium [tripolyphosphate de sodium])")</f>
        <v>Polyphosphates, de constitution chimique définie ou non (à l'excl. du triphosphate de sodium [tripolyphosphate de sodium])</v>
      </c>
    </row>
    <row r="2765" spans="1:4" x14ac:dyDescent="0.25">
      <c r="A2765" t="str">
        <f>T("   ZZZ_Monde")</f>
        <v xml:space="preserve">   ZZZ_Monde</v>
      </c>
      <c r="B2765" t="str">
        <f>T("   ZZZ_Monde")</f>
        <v xml:space="preserve">   ZZZ_Monde</v>
      </c>
      <c r="C2765">
        <v>1156202</v>
      </c>
      <c r="D2765">
        <v>1004</v>
      </c>
    </row>
    <row r="2766" spans="1:4" x14ac:dyDescent="0.25">
      <c r="A2766" t="str">
        <f>T("   TN")</f>
        <v xml:space="preserve">   TN</v>
      </c>
      <c r="B2766" t="str">
        <f>T("   Tunisie")</f>
        <v xml:space="preserve">   Tunisie</v>
      </c>
      <c r="C2766">
        <v>1156202</v>
      </c>
      <c r="D2766">
        <v>1004</v>
      </c>
    </row>
    <row r="2767" spans="1:4" x14ac:dyDescent="0.25">
      <c r="A2767" t="str">
        <f>T("283610")</f>
        <v>283610</v>
      </c>
      <c r="B2767" t="str">
        <f>T("Carbonates d'ammonium, y.c. le carbonate d'ammonium du commerce")</f>
        <v>Carbonates d'ammonium, y.c. le carbonate d'ammonium du commerce</v>
      </c>
    </row>
    <row r="2768" spans="1:4" x14ac:dyDescent="0.25">
      <c r="A2768" t="str">
        <f>T("   ZZZ_Monde")</f>
        <v xml:space="preserve">   ZZZ_Monde</v>
      </c>
      <c r="B2768" t="str">
        <f>T("   ZZZ_Monde")</f>
        <v xml:space="preserve">   ZZZ_Monde</v>
      </c>
      <c r="C2768">
        <v>205543</v>
      </c>
      <c r="D2768">
        <v>835</v>
      </c>
    </row>
    <row r="2769" spans="1:4" x14ac:dyDescent="0.25">
      <c r="A2769" t="str">
        <f>T("   LB")</f>
        <v xml:space="preserve">   LB</v>
      </c>
      <c r="B2769" t="str">
        <f>T("   Liban")</f>
        <v xml:space="preserve">   Liban</v>
      </c>
      <c r="C2769">
        <v>205543</v>
      </c>
      <c r="D2769">
        <v>835</v>
      </c>
    </row>
    <row r="2770" spans="1:4" x14ac:dyDescent="0.25">
      <c r="A2770" t="str">
        <f>T("283630")</f>
        <v>283630</v>
      </c>
      <c r="B2770" t="str">
        <f>T("Hydrogénocarbonate [bicarbonate] de sodium")</f>
        <v>Hydrogénocarbonate [bicarbonate] de sodium</v>
      </c>
    </row>
    <row r="2771" spans="1:4" x14ac:dyDescent="0.25">
      <c r="A2771" t="str">
        <f>T("   ZZZ_Monde")</f>
        <v xml:space="preserve">   ZZZ_Monde</v>
      </c>
      <c r="B2771" t="str">
        <f>T("   ZZZ_Monde")</f>
        <v xml:space="preserve">   ZZZ_Monde</v>
      </c>
      <c r="C2771">
        <v>6712537</v>
      </c>
      <c r="D2771">
        <v>25499</v>
      </c>
    </row>
    <row r="2772" spans="1:4" x14ac:dyDescent="0.25">
      <c r="A2772" t="str">
        <f>T("   BE")</f>
        <v xml:space="preserve">   BE</v>
      </c>
      <c r="B2772" t="str">
        <f>T("   Belgique")</f>
        <v xml:space="preserve">   Belgique</v>
      </c>
      <c r="C2772">
        <v>4408051</v>
      </c>
      <c r="D2772">
        <v>22171</v>
      </c>
    </row>
    <row r="2773" spans="1:4" x14ac:dyDescent="0.25">
      <c r="A2773" t="str">
        <f>T("   FR")</f>
        <v xml:space="preserve">   FR</v>
      </c>
      <c r="B2773" t="str">
        <f>T("   France")</f>
        <v xml:space="preserve">   France</v>
      </c>
      <c r="C2773">
        <v>1819358</v>
      </c>
      <c r="D2773">
        <v>458</v>
      </c>
    </row>
    <row r="2774" spans="1:4" x14ac:dyDescent="0.25">
      <c r="A2774" t="str">
        <f>T("   NG")</f>
        <v xml:space="preserve">   NG</v>
      </c>
      <c r="B2774" t="str">
        <f>T("   Nigéria")</f>
        <v xml:space="preserve">   Nigéria</v>
      </c>
      <c r="C2774">
        <v>37500</v>
      </c>
      <c r="D2774">
        <v>250</v>
      </c>
    </row>
    <row r="2775" spans="1:4" x14ac:dyDescent="0.25">
      <c r="A2775" t="str">
        <f>T("   TG")</f>
        <v xml:space="preserve">   TG</v>
      </c>
      <c r="B2775" t="str">
        <f>T("   Togo")</f>
        <v xml:space="preserve">   Togo</v>
      </c>
      <c r="C2775">
        <v>447628</v>
      </c>
      <c r="D2775">
        <v>2620</v>
      </c>
    </row>
    <row r="2776" spans="1:4" x14ac:dyDescent="0.25">
      <c r="A2776" t="str">
        <f>T("283650")</f>
        <v>283650</v>
      </c>
      <c r="B2776" t="str">
        <f>T("Carbonate de calcium")</f>
        <v>Carbonate de calcium</v>
      </c>
    </row>
    <row r="2777" spans="1:4" x14ac:dyDescent="0.25">
      <c r="A2777" t="str">
        <f>T("   ZZZ_Monde")</f>
        <v xml:space="preserve">   ZZZ_Monde</v>
      </c>
      <c r="B2777" t="str">
        <f>T("   ZZZ_Monde")</f>
        <v xml:space="preserve">   ZZZ_Monde</v>
      </c>
      <c r="C2777">
        <v>299243267</v>
      </c>
      <c r="D2777">
        <v>3051485</v>
      </c>
    </row>
    <row r="2778" spans="1:4" x14ac:dyDescent="0.25">
      <c r="A2778" t="str">
        <f>T("   BE")</f>
        <v xml:space="preserve">   BE</v>
      </c>
      <c r="B2778" t="str">
        <f>T("   Belgique")</f>
        <v xml:space="preserve">   Belgique</v>
      </c>
      <c r="C2778">
        <v>3508074</v>
      </c>
      <c r="D2778">
        <v>24312</v>
      </c>
    </row>
    <row r="2779" spans="1:4" x14ac:dyDescent="0.25">
      <c r="A2779" t="str">
        <f>T("   CN")</f>
        <v xml:space="preserve">   CN</v>
      </c>
      <c r="B2779" t="str">
        <f>T("   Chine")</f>
        <v xml:space="preserve">   Chine</v>
      </c>
      <c r="C2779">
        <v>14792250</v>
      </c>
      <c r="D2779">
        <v>71550</v>
      </c>
    </row>
    <row r="2780" spans="1:4" x14ac:dyDescent="0.25">
      <c r="A2780" t="str">
        <f>T("   CO")</f>
        <v xml:space="preserve">   CO</v>
      </c>
      <c r="B2780" t="str">
        <f>T("   Colombie")</f>
        <v xml:space="preserve">   Colombie</v>
      </c>
      <c r="C2780">
        <v>4360822</v>
      </c>
      <c r="D2780">
        <v>19440</v>
      </c>
    </row>
    <row r="2781" spans="1:4" x14ac:dyDescent="0.25">
      <c r="A2781" t="str">
        <f>T("   EG")</f>
        <v xml:space="preserve">   EG</v>
      </c>
      <c r="B2781" t="str">
        <f>T("   Egypte")</f>
        <v xml:space="preserve">   Egypte</v>
      </c>
      <c r="C2781">
        <v>39764571</v>
      </c>
      <c r="D2781">
        <v>564596</v>
      </c>
    </row>
    <row r="2782" spans="1:4" x14ac:dyDescent="0.25">
      <c r="A2782" t="str">
        <f>T("   ES")</f>
        <v xml:space="preserve">   ES</v>
      </c>
      <c r="B2782" t="str">
        <f>T("   Espagne")</f>
        <v xml:space="preserve">   Espagne</v>
      </c>
      <c r="C2782">
        <v>63301504</v>
      </c>
      <c r="D2782">
        <v>544669</v>
      </c>
    </row>
    <row r="2783" spans="1:4" x14ac:dyDescent="0.25">
      <c r="A2783" t="str">
        <f>T("   FR")</f>
        <v xml:space="preserve">   FR</v>
      </c>
      <c r="B2783" t="str">
        <f>T("   France")</f>
        <v xml:space="preserve">   France</v>
      </c>
      <c r="C2783">
        <v>67603396</v>
      </c>
      <c r="D2783">
        <v>598702</v>
      </c>
    </row>
    <row r="2784" spans="1:4" x14ac:dyDescent="0.25">
      <c r="A2784" t="str">
        <f>T("   IT")</f>
        <v xml:space="preserve">   IT</v>
      </c>
      <c r="B2784" t="str">
        <f>T("   Italie")</f>
        <v xml:space="preserve">   Italie</v>
      </c>
      <c r="C2784">
        <v>54928211</v>
      </c>
      <c r="D2784">
        <v>526536</v>
      </c>
    </row>
    <row r="2785" spans="1:4" x14ac:dyDescent="0.25">
      <c r="A2785" t="str">
        <f>T("   NG")</f>
        <v xml:space="preserve">   NG</v>
      </c>
      <c r="B2785" t="str">
        <f>T("   Nigéria")</f>
        <v xml:space="preserve">   Nigéria</v>
      </c>
      <c r="C2785">
        <v>8236671</v>
      </c>
      <c r="D2785">
        <v>100000</v>
      </c>
    </row>
    <row r="2786" spans="1:4" x14ac:dyDescent="0.25">
      <c r="A2786" t="str">
        <f>T("   TG")</f>
        <v xml:space="preserve">   TG</v>
      </c>
      <c r="B2786" t="str">
        <f>T("   Togo")</f>
        <v xml:space="preserve">   Togo</v>
      </c>
      <c r="C2786">
        <v>573750</v>
      </c>
      <c r="D2786">
        <v>11475</v>
      </c>
    </row>
    <row r="2787" spans="1:4" x14ac:dyDescent="0.25">
      <c r="A2787" t="str">
        <f>T("   TN")</f>
        <v xml:space="preserve">   TN</v>
      </c>
      <c r="B2787" t="str">
        <f>T("   Tunisie")</f>
        <v xml:space="preserve">   Tunisie</v>
      </c>
      <c r="C2787">
        <v>42174018</v>
      </c>
      <c r="D2787">
        <v>590205</v>
      </c>
    </row>
    <row r="2788" spans="1:4" x14ac:dyDescent="0.25">
      <c r="A2788" t="str">
        <f>T("283670")</f>
        <v>283670</v>
      </c>
      <c r="B2788" t="str">
        <f>T("Carbonates de plomb")</f>
        <v>Carbonates de plomb</v>
      </c>
    </row>
    <row r="2789" spans="1:4" x14ac:dyDescent="0.25">
      <c r="A2789" t="str">
        <f>T("   ZZZ_Monde")</f>
        <v xml:space="preserve">   ZZZ_Monde</v>
      </c>
      <c r="B2789" t="str">
        <f>T("   ZZZ_Monde")</f>
        <v xml:space="preserve">   ZZZ_Monde</v>
      </c>
      <c r="C2789">
        <v>14358760</v>
      </c>
      <c r="D2789">
        <v>3800</v>
      </c>
    </row>
    <row r="2790" spans="1:4" x14ac:dyDescent="0.25">
      <c r="A2790" t="str">
        <f>T("   FR")</f>
        <v xml:space="preserve">   FR</v>
      </c>
      <c r="B2790" t="str">
        <f>T("   France")</f>
        <v xml:space="preserve">   France</v>
      </c>
      <c r="C2790">
        <v>14358760</v>
      </c>
      <c r="D2790">
        <v>3800</v>
      </c>
    </row>
    <row r="2791" spans="1:4" x14ac:dyDescent="0.25">
      <c r="A2791" t="str">
        <f>T("283699")</f>
        <v>283699</v>
      </c>
      <c r="B2791" t="str">
        <f>T("CARBONATES ET PEROXOCARBONATES [PERCARBONATES]; CARBONATES D'AMMONIUM - Y.C. LE CARBONATE D'AMMONIUM DU COMMERCE CONTENANT DU CARBAMATE D'AMMONIUM (À L'EXCL. DE L'HYDROGÉNOCARBONATE [BICARBONATE] DE SODIUM, DES CARBONATES DE DISODIUM, DE POTASSIUM, DE CAL")</f>
        <v>CARBONATES ET PEROXOCARBONATES [PERCARBONATES]; CARBONATES D'AMMONIUM - Y.C. LE CARBONATE D'AMMONIUM DU COMMERCE CONTENANT DU CARBAMATE D'AMMONIUM (À L'EXCL. DE L'HYDROGÉNOCARBONATE [BICARBONATE] DE SODIUM, DES CARBONATES DE DISODIUM, DE POTASSIUM, DE CAL</v>
      </c>
    </row>
    <row r="2792" spans="1:4" x14ac:dyDescent="0.25">
      <c r="A2792" t="str">
        <f>T("   ZZZ_Monde")</f>
        <v xml:space="preserve">   ZZZ_Monde</v>
      </c>
      <c r="B2792" t="str">
        <f>T("   ZZZ_Monde")</f>
        <v xml:space="preserve">   ZZZ_Monde</v>
      </c>
      <c r="C2792">
        <v>7450958</v>
      </c>
      <c r="D2792">
        <v>1824</v>
      </c>
    </row>
    <row r="2793" spans="1:4" x14ac:dyDescent="0.25">
      <c r="A2793" t="str">
        <f>T("   FR")</f>
        <v xml:space="preserve">   FR</v>
      </c>
      <c r="B2793" t="str">
        <f>T("   France")</f>
        <v xml:space="preserve">   France</v>
      </c>
      <c r="C2793">
        <v>7450958</v>
      </c>
      <c r="D2793">
        <v>1824</v>
      </c>
    </row>
    <row r="2794" spans="1:4" x14ac:dyDescent="0.25">
      <c r="A2794" t="str">
        <f>T("283719")</f>
        <v>283719</v>
      </c>
      <c r="B2794" t="str">
        <f>T("Cyanures et oxycyanures (autres que de sodium)")</f>
        <v>Cyanures et oxycyanures (autres que de sodium)</v>
      </c>
    </row>
    <row r="2795" spans="1:4" x14ac:dyDescent="0.25">
      <c r="A2795" t="str">
        <f>T("   ZZZ_Monde")</f>
        <v xml:space="preserve">   ZZZ_Monde</v>
      </c>
      <c r="B2795" t="str">
        <f>T("   ZZZ_Monde")</f>
        <v xml:space="preserve">   ZZZ_Monde</v>
      </c>
      <c r="C2795">
        <v>237661</v>
      </c>
      <c r="D2795">
        <v>6</v>
      </c>
    </row>
    <row r="2796" spans="1:4" x14ac:dyDescent="0.25">
      <c r="A2796" t="str">
        <f>T("   FR")</f>
        <v xml:space="preserve">   FR</v>
      </c>
      <c r="B2796" t="str">
        <f>T("   France")</f>
        <v xml:space="preserve">   France</v>
      </c>
      <c r="C2796">
        <v>237661</v>
      </c>
      <c r="D2796">
        <v>6</v>
      </c>
    </row>
    <row r="2797" spans="1:4" x14ac:dyDescent="0.25">
      <c r="A2797" t="str">
        <f>T("284019")</f>
        <v>284019</v>
      </c>
      <c r="B2797" t="str">
        <f>T("Tétraborate de disodium [borax raffiné] (à l'excl. du tétraborate de disodium anhydre)")</f>
        <v>Tétraborate de disodium [borax raffiné] (à l'excl. du tétraborate de disodium anhydre)</v>
      </c>
    </row>
    <row r="2798" spans="1:4" x14ac:dyDescent="0.25">
      <c r="A2798" t="str">
        <f>T("   ZZZ_Monde")</f>
        <v xml:space="preserve">   ZZZ_Monde</v>
      </c>
      <c r="B2798" t="str">
        <f>T("   ZZZ_Monde")</f>
        <v xml:space="preserve">   ZZZ_Monde</v>
      </c>
      <c r="C2798">
        <v>1488382</v>
      </c>
      <c r="D2798">
        <v>3000</v>
      </c>
    </row>
    <row r="2799" spans="1:4" x14ac:dyDescent="0.25">
      <c r="A2799" t="str">
        <f>T("   CN")</f>
        <v xml:space="preserve">   CN</v>
      </c>
      <c r="B2799" t="str">
        <f>T("   Chine")</f>
        <v xml:space="preserve">   Chine</v>
      </c>
      <c r="C2799">
        <v>1488382</v>
      </c>
      <c r="D2799">
        <v>3000</v>
      </c>
    </row>
    <row r="2800" spans="1:4" x14ac:dyDescent="0.25">
      <c r="A2800" t="str">
        <f>T("284150")</f>
        <v>284150</v>
      </c>
      <c r="B2800" t="str">
        <f>T("Chromates, dichromates et peroxochromates (à l'excl. des chromates de zinc ou de plomb ainsi que du dichromate de sodium)")</f>
        <v>Chromates, dichromates et peroxochromates (à l'excl. des chromates de zinc ou de plomb ainsi que du dichromate de sodium)</v>
      </c>
    </row>
    <row r="2801" spans="1:4" x14ac:dyDescent="0.25">
      <c r="A2801" t="str">
        <f>T("   ZZZ_Monde")</f>
        <v xml:space="preserve">   ZZZ_Monde</v>
      </c>
      <c r="B2801" t="str">
        <f>T("   ZZZ_Monde")</f>
        <v xml:space="preserve">   ZZZ_Monde</v>
      </c>
      <c r="C2801">
        <v>253201</v>
      </c>
      <c r="D2801">
        <v>3</v>
      </c>
    </row>
    <row r="2802" spans="1:4" x14ac:dyDescent="0.25">
      <c r="A2802" t="str">
        <f>T("   US")</f>
        <v xml:space="preserve">   US</v>
      </c>
      <c r="B2802" t="str">
        <f>T("   Etats-Unis")</f>
        <v xml:space="preserve">   Etats-Unis</v>
      </c>
      <c r="C2802">
        <v>253201</v>
      </c>
      <c r="D2802">
        <v>3</v>
      </c>
    </row>
    <row r="2803" spans="1:4" x14ac:dyDescent="0.25">
      <c r="A2803" t="str">
        <f>T("284161")</f>
        <v>284161</v>
      </c>
      <c r="B2803" t="str">
        <f>T("PERMANGANATE DE POTASSIUM")</f>
        <v>PERMANGANATE DE POTASSIUM</v>
      </c>
    </row>
    <row r="2804" spans="1:4" x14ac:dyDescent="0.25">
      <c r="A2804" t="str">
        <f>T("   ZZZ_Monde")</f>
        <v xml:space="preserve">   ZZZ_Monde</v>
      </c>
      <c r="B2804" t="str">
        <f>T("   ZZZ_Monde")</f>
        <v xml:space="preserve">   ZZZ_Monde</v>
      </c>
      <c r="C2804">
        <v>579869</v>
      </c>
      <c r="D2804">
        <v>130</v>
      </c>
    </row>
    <row r="2805" spans="1:4" x14ac:dyDescent="0.25">
      <c r="A2805" t="str">
        <f>T("   SN")</f>
        <v xml:space="preserve">   SN</v>
      </c>
      <c r="B2805" t="str">
        <f>T("   Sénégal")</f>
        <v xml:space="preserve">   Sénégal</v>
      </c>
      <c r="C2805">
        <v>579869</v>
      </c>
      <c r="D2805">
        <v>130</v>
      </c>
    </row>
    <row r="2806" spans="1:4" x14ac:dyDescent="0.25">
      <c r="A2806" t="str">
        <f>T("284290")</f>
        <v>284290</v>
      </c>
      <c r="B2806" t="str">
        <f>T("SELS DES ACIDES OU PEROXOACIDES INORGANIQUES (À L'EXCL. DES AZOTURES, DES SELS DES ACIDES OXOMÉTALLIQUES OU PEROXOMÉTALLIQUES AINSI QUE DES SILICATES DOUBLES OU COMPLEXES [Y.C. LES ALUMINOSILICATES DE CONSTITUTION CHIMIQUE DÉFINIE OU NON] AINSI QUE DES CO")</f>
        <v>SELS DES ACIDES OU PEROXOACIDES INORGANIQUES (À L'EXCL. DES AZOTURES, DES SELS DES ACIDES OXOMÉTALLIQUES OU PEROXOMÉTALLIQUES AINSI QUE DES SILICATES DOUBLES OU COMPLEXES [Y.C. LES ALUMINOSILICATES DE CONSTITUTION CHIMIQUE DÉFINIE OU NON] AINSI QUE DES CO</v>
      </c>
    </row>
    <row r="2807" spans="1:4" x14ac:dyDescent="0.25">
      <c r="A2807" t="str">
        <f>T("   ZZZ_Monde")</f>
        <v xml:space="preserve">   ZZZ_Monde</v>
      </c>
      <c r="B2807" t="str">
        <f>T("   ZZZ_Monde")</f>
        <v xml:space="preserve">   ZZZ_Monde</v>
      </c>
      <c r="C2807">
        <v>1035000</v>
      </c>
      <c r="D2807">
        <v>140560</v>
      </c>
    </row>
    <row r="2808" spans="1:4" x14ac:dyDescent="0.25">
      <c r="A2808" t="str">
        <f>T("   Z2")</f>
        <v xml:space="preserve">   Z2</v>
      </c>
      <c r="B2808" t="str">
        <f>T("   Pays non défini")</f>
        <v xml:space="preserve">   Pays non défini</v>
      </c>
      <c r="C2808">
        <v>1035000</v>
      </c>
      <c r="D2808">
        <v>140560</v>
      </c>
    </row>
    <row r="2809" spans="1:4" x14ac:dyDescent="0.25">
      <c r="A2809" t="str">
        <f>T("284321")</f>
        <v>284321</v>
      </c>
      <c r="B2809" t="str">
        <f>T("Nitrate d'argent")</f>
        <v>Nitrate d'argent</v>
      </c>
    </row>
    <row r="2810" spans="1:4" x14ac:dyDescent="0.25">
      <c r="A2810" t="str">
        <f>T("   ZZZ_Monde")</f>
        <v xml:space="preserve">   ZZZ_Monde</v>
      </c>
      <c r="B2810" t="str">
        <f>T("   ZZZ_Monde")</f>
        <v xml:space="preserve">   ZZZ_Monde</v>
      </c>
      <c r="C2810">
        <v>313549</v>
      </c>
      <c r="D2810">
        <v>12</v>
      </c>
    </row>
    <row r="2811" spans="1:4" x14ac:dyDescent="0.25">
      <c r="A2811" t="str">
        <f>T("   FR")</f>
        <v xml:space="preserve">   FR</v>
      </c>
      <c r="B2811" t="str">
        <f>T("   France")</f>
        <v xml:space="preserve">   France</v>
      </c>
      <c r="C2811">
        <v>313549</v>
      </c>
      <c r="D2811">
        <v>12</v>
      </c>
    </row>
    <row r="2812" spans="1:4" x14ac:dyDescent="0.25">
      <c r="A2812" t="str">
        <f>T("284590")</f>
        <v>284590</v>
      </c>
      <c r="B2812" t="str">
        <f>T("ISOTOPES, NON-RADIOACTIFS ET LEURS COMPOSÉS INORGANIQUES OU ORGANIQUES, DE CONSTITUTION CHIMIQUE DÉFINIE OU NON (À L'EXCL. DE L'EAU LOURDE [OXYDE DE DEUTÉRIUM])")</f>
        <v>ISOTOPES, NON-RADIOACTIFS ET LEURS COMPOSÉS INORGANIQUES OU ORGANIQUES, DE CONSTITUTION CHIMIQUE DÉFINIE OU NON (À L'EXCL. DE L'EAU LOURDE [OXYDE DE DEUTÉRIUM])</v>
      </c>
    </row>
    <row r="2813" spans="1:4" x14ac:dyDescent="0.25">
      <c r="A2813" t="str">
        <f>T("   ZZZ_Monde")</f>
        <v xml:space="preserve">   ZZZ_Monde</v>
      </c>
      <c r="B2813" t="str">
        <f>T("   ZZZ_Monde")</f>
        <v xml:space="preserve">   ZZZ_Monde</v>
      </c>
      <c r="C2813">
        <v>582087</v>
      </c>
      <c r="D2813">
        <v>2978</v>
      </c>
    </row>
    <row r="2814" spans="1:4" x14ac:dyDescent="0.25">
      <c r="A2814" t="str">
        <f>T("   TG")</f>
        <v xml:space="preserve">   TG</v>
      </c>
      <c r="B2814" t="str">
        <f>T("   Togo")</f>
        <v xml:space="preserve">   Togo</v>
      </c>
      <c r="C2814">
        <v>582087</v>
      </c>
      <c r="D2814">
        <v>2978</v>
      </c>
    </row>
    <row r="2815" spans="1:4" x14ac:dyDescent="0.25">
      <c r="A2815" t="str">
        <f>T("284700")</f>
        <v>284700</v>
      </c>
      <c r="B2815" t="str">
        <f>T("Peroxyde d'hydrogène [eau oxygénée], même solidifié avec de l'urée")</f>
        <v>Peroxyde d'hydrogène [eau oxygénée], même solidifié avec de l'urée</v>
      </c>
    </row>
    <row r="2816" spans="1:4" x14ac:dyDescent="0.25">
      <c r="A2816" t="str">
        <f>T("   ZZZ_Monde")</f>
        <v xml:space="preserve">   ZZZ_Monde</v>
      </c>
      <c r="B2816" t="str">
        <f>T("   ZZZ_Monde")</f>
        <v xml:space="preserve">   ZZZ_Monde</v>
      </c>
      <c r="C2816">
        <v>7645334</v>
      </c>
      <c r="D2816">
        <v>28192</v>
      </c>
    </row>
    <row r="2817" spans="1:4" x14ac:dyDescent="0.25">
      <c r="A2817" t="str">
        <f>T("   FR")</f>
        <v xml:space="preserve">   FR</v>
      </c>
      <c r="B2817" t="str">
        <f>T("   France")</f>
        <v xml:space="preserve">   France</v>
      </c>
      <c r="C2817">
        <v>1878670</v>
      </c>
      <c r="D2817">
        <v>281</v>
      </c>
    </row>
    <row r="2818" spans="1:4" x14ac:dyDescent="0.25">
      <c r="A2818" t="str">
        <f>T("   GH")</f>
        <v xml:space="preserve">   GH</v>
      </c>
      <c r="B2818" t="str">
        <f>T("   Ghana")</f>
        <v xml:space="preserve">   Ghana</v>
      </c>
      <c r="C2818">
        <v>2800000</v>
      </c>
      <c r="D2818">
        <v>14253</v>
      </c>
    </row>
    <row r="2819" spans="1:4" x14ac:dyDescent="0.25">
      <c r="A2819" t="str">
        <f>T("   NG")</f>
        <v xml:space="preserve">   NG</v>
      </c>
      <c r="B2819" t="str">
        <f>T("   Nigéria")</f>
        <v xml:space="preserve">   Nigéria</v>
      </c>
      <c r="C2819">
        <v>50460</v>
      </c>
      <c r="D2819">
        <v>58</v>
      </c>
    </row>
    <row r="2820" spans="1:4" x14ac:dyDescent="0.25">
      <c r="A2820" t="str">
        <f>T("   TG")</f>
        <v xml:space="preserve">   TG</v>
      </c>
      <c r="B2820" t="str">
        <f>T("   Togo")</f>
        <v xml:space="preserve">   Togo</v>
      </c>
      <c r="C2820">
        <v>2916204</v>
      </c>
      <c r="D2820">
        <v>13600</v>
      </c>
    </row>
    <row r="2821" spans="1:4" x14ac:dyDescent="0.25">
      <c r="A2821" t="str">
        <f>T("284910")</f>
        <v>284910</v>
      </c>
      <c r="B2821" t="str">
        <f>T("Carbure de calcium, de constitution chimique définie ou non")</f>
        <v>Carbure de calcium, de constitution chimique définie ou non</v>
      </c>
    </row>
    <row r="2822" spans="1:4" x14ac:dyDescent="0.25">
      <c r="A2822" t="str">
        <f>T("   ZZZ_Monde")</f>
        <v xml:space="preserve">   ZZZ_Monde</v>
      </c>
      <c r="B2822" t="str">
        <f>T("   ZZZ_Monde")</f>
        <v xml:space="preserve">   ZZZ_Monde</v>
      </c>
      <c r="C2822">
        <v>46381406</v>
      </c>
      <c r="D2822">
        <v>320300</v>
      </c>
    </row>
    <row r="2823" spans="1:4" x14ac:dyDescent="0.25">
      <c r="A2823" t="str">
        <f>T("   CN")</f>
        <v xml:space="preserve">   CN</v>
      </c>
      <c r="B2823" t="str">
        <f>T("   Chine")</f>
        <v xml:space="preserve">   Chine</v>
      </c>
      <c r="C2823">
        <v>13959342</v>
      </c>
      <c r="D2823">
        <v>56601</v>
      </c>
    </row>
    <row r="2824" spans="1:4" x14ac:dyDescent="0.25">
      <c r="A2824" t="str">
        <f>T("   GB")</f>
        <v xml:space="preserve">   GB</v>
      </c>
      <c r="B2824" t="str">
        <f>T("   Royaume-Uni")</f>
        <v xml:space="preserve">   Royaume-Uni</v>
      </c>
      <c r="C2824">
        <v>10572064</v>
      </c>
      <c r="D2824">
        <v>19800</v>
      </c>
    </row>
    <row r="2825" spans="1:4" x14ac:dyDescent="0.25">
      <c r="A2825" t="str">
        <f>T("   TG")</f>
        <v xml:space="preserve">   TG</v>
      </c>
      <c r="B2825" t="str">
        <f>T("   Togo")</f>
        <v xml:space="preserve">   Togo</v>
      </c>
      <c r="C2825">
        <v>21850000</v>
      </c>
      <c r="D2825">
        <v>243899</v>
      </c>
    </row>
    <row r="2826" spans="1:4" x14ac:dyDescent="0.25">
      <c r="A2826" t="str">
        <f>T("284990")</f>
        <v>284990</v>
      </c>
      <c r="B2826" t="str">
        <f>T("Carbures, de constitution chimique définie ou non (à l'excl. des carbures de calcium et de silicium)")</f>
        <v>Carbures, de constitution chimique définie ou non (à l'excl. des carbures de calcium et de silicium)</v>
      </c>
    </row>
    <row r="2827" spans="1:4" x14ac:dyDescent="0.25">
      <c r="A2827" t="str">
        <f>T("   ZZZ_Monde")</f>
        <v xml:space="preserve">   ZZZ_Monde</v>
      </c>
      <c r="B2827" t="str">
        <f>T("   ZZZ_Monde")</f>
        <v xml:space="preserve">   ZZZ_Monde</v>
      </c>
      <c r="C2827">
        <v>1535000</v>
      </c>
      <c r="D2827">
        <v>10150</v>
      </c>
    </row>
    <row r="2828" spans="1:4" x14ac:dyDescent="0.25">
      <c r="A2828" t="str">
        <f>T("   NG")</f>
        <v xml:space="preserve">   NG</v>
      </c>
      <c r="B2828" t="str">
        <f>T("   Nigéria")</f>
        <v xml:space="preserve">   Nigéria</v>
      </c>
      <c r="C2828">
        <v>1535000</v>
      </c>
      <c r="D2828">
        <v>10150</v>
      </c>
    </row>
    <row r="2829" spans="1:4" x14ac:dyDescent="0.25">
      <c r="A2829" t="str">
        <f>T("285100")</f>
        <v>285100</v>
      </c>
      <c r="B2829" t="str">
        <f>T("Composés inorganiques, y.c. les eaux distillées, de conductibilité ou de même degré de pureté, n.d.a.; air liquide, y.c. l'air liquide dont les gaz ont été éliminés; air comprimé; amalgames (autres que de métaux précieux)")</f>
        <v>Composés inorganiques, y.c. les eaux distillées, de conductibilité ou de même degré de pureté, n.d.a.; air liquide, y.c. l'air liquide dont les gaz ont été éliminés; air comprimé; amalgames (autres que de métaux précieux)</v>
      </c>
    </row>
    <row r="2830" spans="1:4" x14ac:dyDescent="0.25">
      <c r="A2830" t="str">
        <f>T("   ZZZ_Monde")</f>
        <v xml:space="preserve">   ZZZ_Monde</v>
      </c>
      <c r="B2830" t="str">
        <f>T("   ZZZ_Monde")</f>
        <v xml:space="preserve">   ZZZ_Monde</v>
      </c>
      <c r="C2830">
        <v>52781456</v>
      </c>
      <c r="D2830">
        <v>115263</v>
      </c>
    </row>
    <row r="2831" spans="1:4" x14ac:dyDescent="0.25">
      <c r="A2831" t="str">
        <f>T("   ES")</f>
        <v xml:space="preserve">   ES</v>
      </c>
      <c r="B2831" t="str">
        <f>T("   Espagne")</f>
        <v xml:space="preserve">   Espagne</v>
      </c>
      <c r="C2831">
        <v>50860678</v>
      </c>
      <c r="D2831">
        <v>73720</v>
      </c>
    </row>
    <row r="2832" spans="1:4" x14ac:dyDescent="0.25">
      <c r="A2832" t="str">
        <f>T("   FR")</f>
        <v xml:space="preserve">   FR</v>
      </c>
      <c r="B2832" t="str">
        <f>T("   France")</f>
        <v xml:space="preserve">   France</v>
      </c>
      <c r="C2832">
        <v>360778</v>
      </c>
      <c r="D2832">
        <v>175</v>
      </c>
    </row>
    <row r="2833" spans="1:4" x14ac:dyDescent="0.25">
      <c r="A2833" t="str">
        <f>T("   GH")</f>
        <v xml:space="preserve">   GH</v>
      </c>
      <c r="B2833" t="str">
        <f>T("   Ghana")</f>
        <v xml:space="preserve">   Ghana</v>
      </c>
      <c r="C2833">
        <v>400000</v>
      </c>
      <c r="D2833">
        <v>1350</v>
      </c>
    </row>
    <row r="2834" spans="1:4" x14ac:dyDescent="0.25">
      <c r="A2834" t="str">
        <f>T("   Z2")</f>
        <v xml:space="preserve">   Z2</v>
      </c>
      <c r="B2834" t="str">
        <f>T("   Pays non défini")</f>
        <v xml:space="preserve">   Pays non défini</v>
      </c>
      <c r="C2834">
        <v>1160000</v>
      </c>
      <c r="D2834">
        <v>40018</v>
      </c>
    </row>
    <row r="2835" spans="1:4" x14ac:dyDescent="0.25">
      <c r="A2835" t="str">
        <f>T("290110")</f>
        <v>290110</v>
      </c>
      <c r="B2835" t="str">
        <f>T("Hydrocarbures acycliques, saturés")</f>
        <v>Hydrocarbures acycliques, saturés</v>
      </c>
    </row>
    <row r="2836" spans="1:4" x14ac:dyDescent="0.25">
      <c r="A2836" t="str">
        <f>T("   ZZZ_Monde")</f>
        <v xml:space="preserve">   ZZZ_Monde</v>
      </c>
      <c r="B2836" t="str">
        <f>T("   ZZZ_Monde")</f>
        <v xml:space="preserve">   ZZZ_Monde</v>
      </c>
      <c r="C2836">
        <v>348396332</v>
      </c>
      <c r="D2836">
        <v>324722</v>
      </c>
    </row>
    <row r="2837" spans="1:4" x14ac:dyDescent="0.25">
      <c r="A2837" t="str">
        <f>T("   CI")</f>
        <v xml:space="preserve">   CI</v>
      </c>
      <c r="B2837" t="str">
        <f>T("   Côte d'Ivoire")</f>
        <v xml:space="preserve">   Côte d'Ivoire</v>
      </c>
      <c r="C2837">
        <v>173976656</v>
      </c>
      <c r="D2837">
        <v>148253</v>
      </c>
    </row>
    <row r="2838" spans="1:4" x14ac:dyDescent="0.25">
      <c r="A2838" t="str">
        <f>T("   GH")</f>
        <v xml:space="preserve">   GH</v>
      </c>
      <c r="B2838" t="str">
        <f>T("   Ghana")</f>
        <v xml:space="preserve">   Ghana</v>
      </c>
      <c r="C2838">
        <v>200000</v>
      </c>
      <c r="D2838">
        <v>800</v>
      </c>
    </row>
    <row r="2839" spans="1:4" x14ac:dyDescent="0.25">
      <c r="A2839" t="str">
        <f>T("   IE")</f>
        <v xml:space="preserve">   IE</v>
      </c>
      <c r="B2839" t="str">
        <f>T("   Irlande")</f>
        <v xml:space="preserve">   Irlande</v>
      </c>
      <c r="C2839">
        <v>1478258</v>
      </c>
      <c r="D2839">
        <v>17</v>
      </c>
    </row>
    <row r="2840" spans="1:4" x14ac:dyDescent="0.25">
      <c r="A2840" t="str">
        <f>T("   IT")</f>
        <v xml:space="preserve">   IT</v>
      </c>
      <c r="B2840" t="str">
        <f>T("   Italie")</f>
        <v xml:space="preserve">   Italie</v>
      </c>
      <c r="C2840">
        <v>39897455</v>
      </c>
      <c r="D2840">
        <v>45900</v>
      </c>
    </row>
    <row r="2841" spans="1:4" x14ac:dyDescent="0.25">
      <c r="A2841" t="str">
        <f>T("   NL")</f>
        <v xml:space="preserve">   NL</v>
      </c>
      <c r="B2841" t="str">
        <f>T("   Pays-bas")</f>
        <v xml:space="preserve">   Pays-bas</v>
      </c>
      <c r="C2841">
        <v>107140820</v>
      </c>
      <c r="D2841">
        <v>108320</v>
      </c>
    </row>
    <row r="2842" spans="1:4" x14ac:dyDescent="0.25">
      <c r="A2842" t="str">
        <f>T("   TG")</f>
        <v xml:space="preserve">   TG</v>
      </c>
      <c r="B2842" t="str">
        <f>T("   Togo")</f>
        <v xml:space="preserve">   Togo</v>
      </c>
      <c r="C2842">
        <v>25703143</v>
      </c>
      <c r="D2842">
        <v>21432</v>
      </c>
    </row>
    <row r="2843" spans="1:4" x14ac:dyDescent="0.25">
      <c r="A2843" t="str">
        <f>T("290219")</f>
        <v>290219</v>
      </c>
      <c r="B2843" t="str">
        <f>T("Hydrocarbures cyclaniques, cycléniques ou cycloterpéniques (à l'excl. du cyclohexane)")</f>
        <v>Hydrocarbures cyclaniques, cycléniques ou cycloterpéniques (à l'excl. du cyclohexane)</v>
      </c>
    </row>
    <row r="2844" spans="1:4" x14ac:dyDescent="0.25">
      <c r="A2844" t="str">
        <f>T("   ZZZ_Monde")</f>
        <v xml:space="preserve">   ZZZ_Monde</v>
      </c>
      <c r="B2844" t="str">
        <f>T("   ZZZ_Monde")</f>
        <v xml:space="preserve">   ZZZ_Monde</v>
      </c>
      <c r="C2844">
        <v>2333250</v>
      </c>
      <c r="D2844">
        <v>1080</v>
      </c>
    </row>
    <row r="2845" spans="1:4" x14ac:dyDescent="0.25">
      <c r="A2845" t="str">
        <f>T("   FR")</f>
        <v xml:space="preserve">   FR</v>
      </c>
      <c r="B2845" t="str">
        <f>T("   France")</f>
        <v xml:space="preserve">   France</v>
      </c>
      <c r="C2845">
        <v>2333250</v>
      </c>
      <c r="D2845">
        <v>1080</v>
      </c>
    </row>
    <row r="2846" spans="1:4" x14ac:dyDescent="0.25">
      <c r="A2846" t="str">
        <f>T("290230")</f>
        <v>290230</v>
      </c>
      <c r="B2846" t="str">
        <f>T("Toluène")</f>
        <v>Toluène</v>
      </c>
    </row>
    <row r="2847" spans="1:4" x14ac:dyDescent="0.25">
      <c r="A2847" t="str">
        <f>T("   ZZZ_Monde")</f>
        <v xml:space="preserve">   ZZZ_Monde</v>
      </c>
      <c r="B2847" t="str">
        <f>T("   ZZZ_Monde")</f>
        <v xml:space="preserve">   ZZZ_Monde</v>
      </c>
      <c r="C2847">
        <v>89331259</v>
      </c>
      <c r="D2847">
        <v>82480</v>
      </c>
    </row>
    <row r="2848" spans="1:4" x14ac:dyDescent="0.25">
      <c r="A2848" t="str">
        <f>T("   BE")</f>
        <v xml:space="preserve">   BE</v>
      </c>
      <c r="B2848" t="str">
        <f>T("   Belgique")</f>
        <v xml:space="preserve">   Belgique</v>
      </c>
      <c r="C2848">
        <v>12644285</v>
      </c>
      <c r="D2848">
        <v>18000</v>
      </c>
    </row>
    <row r="2849" spans="1:4" x14ac:dyDescent="0.25">
      <c r="A2849" t="str">
        <f>T("   FR")</f>
        <v xml:space="preserve">   FR</v>
      </c>
      <c r="B2849" t="str">
        <f>T("   France")</f>
        <v xml:space="preserve">   France</v>
      </c>
      <c r="C2849">
        <v>7183418</v>
      </c>
      <c r="D2849">
        <v>7869</v>
      </c>
    </row>
    <row r="2850" spans="1:4" x14ac:dyDescent="0.25">
      <c r="A2850" t="str">
        <f>T("   GB")</f>
        <v xml:space="preserve">   GB</v>
      </c>
      <c r="B2850" t="str">
        <f>T("   Royaume-Uni")</f>
        <v xml:space="preserve">   Royaume-Uni</v>
      </c>
      <c r="C2850">
        <v>58795665</v>
      </c>
      <c r="D2850">
        <v>42211</v>
      </c>
    </row>
    <row r="2851" spans="1:4" x14ac:dyDescent="0.25">
      <c r="A2851" t="str">
        <f>T("   IT")</f>
        <v xml:space="preserve">   IT</v>
      </c>
      <c r="B2851" t="str">
        <f>T("   Italie")</f>
        <v xml:space="preserve">   Italie</v>
      </c>
      <c r="C2851">
        <v>10707891</v>
      </c>
      <c r="D2851">
        <v>14400</v>
      </c>
    </row>
    <row r="2852" spans="1:4" x14ac:dyDescent="0.25">
      <c r="A2852" t="str">
        <f>T("290241")</f>
        <v>290241</v>
      </c>
      <c r="B2852" t="str">
        <f>T("o-Xylène")</f>
        <v>o-Xylène</v>
      </c>
    </row>
    <row r="2853" spans="1:4" x14ac:dyDescent="0.25">
      <c r="A2853" t="str">
        <f>T("   ZZZ_Monde")</f>
        <v xml:space="preserve">   ZZZ_Monde</v>
      </c>
      <c r="B2853" t="str">
        <f>T("   ZZZ_Monde")</f>
        <v xml:space="preserve">   ZZZ_Monde</v>
      </c>
      <c r="C2853">
        <v>59413053</v>
      </c>
      <c r="D2853">
        <v>105400</v>
      </c>
    </row>
    <row r="2854" spans="1:4" x14ac:dyDescent="0.25">
      <c r="A2854" t="str">
        <f>T("   IT")</f>
        <v xml:space="preserve">   IT</v>
      </c>
      <c r="B2854" t="str">
        <f>T("   Italie")</f>
        <v xml:space="preserve">   Italie</v>
      </c>
      <c r="C2854">
        <v>59413053</v>
      </c>
      <c r="D2854">
        <v>105400</v>
      </c>
    </row>
    <row r="2855" spans="1:4" x14ac:dyDescent="0.25">
      <c r="A2855" t="str">
        <f>T("290244")</f>
        <v>290244</v>
      </c>
      <c r="B2855" t="str">
        <f>T("Isomères du xylène en mélange")</f>
        <v>Isomères du xylène en mélange</v>
      </c>
    </row>
    <row r="2856" spans="1:4" x14ac:dyDescent="0.25">
      <c r="A2856" t="str">
        <f>T("   ZZZ_Monde")</f>
        <v xml:space="preserve">   ZZZ_Monde</v>
      </c>
      <c r="B2856" t="str">
        <f>T("   ZZZ_Monde")</f>
        <v xml:space="preserve">   ZZZ_Monde</v>
      </c>
      <c r="C2856">
        <v>1946889</v>
      </c>
      <c r="D2856">
        <v>1825</v>
      </c>
    </row>
    <row r="2857" spans="1:4" x14ac:dyDescent="0.25">
      <c r="A2857" t="str">
        <f>T("   BE")</f>
        <v xml:space="preserve">   BE</v>
      </c>
      <c r="B2857" t="str">
        <f>T("   Belgique")</f>
        <v xml:space="preserve">   Belgique</v>
      </c>
      <c r="C2857">
        <v>1946889</v>
      </c>
      <c r="D2857">
        <v>1825</v>
      </c>
    </row>
    <row r="2858" spans="1:4" x14ac:dyDescent="0.25">
      <c r="A2858" t="str">
        <f>T("290311")</f>
        <v>290311</v>
      </c>
      <c r="B2858" t="str">
        <f>T("Chlorométhane [chlorure de méthyle] et chloroéthane [chlorure d'éthyle]")</f>
        <v>Chlorométhane [chlorure de méthyle] et chloroéthane [chlorure d'éthyle]</v>
      </c>
    </row>
    <row r="2859" spans="1:4" x14ac:dyDescent="0.25">
      <c r="A2859" t="str">
        <f>T("   ZZZ_Monde")</f>
        <v xml:space="preserve">   ZZZ_Monde</v>
      </c>
      <c r="B2859" t="str">
        <f>T("   ZZZ_Monde")</f>
        <v xml:space="preserve">   ZZZ_Monde</v>
      </c>
      <c r="C2859">
        <v>850000</v>
      </c>
      <c r="D2859">
        <v>7020</v>
      </c>
    </row>
    <row r="2860" spans="1:4" x14ac:dyDescent="0.25">
      <c r="A2860" t="str">
        <f>T("   Z2")</f>
        <v xml:space="preserve">   Z2</v>
      </c>
      <c r="B2860" t="str">
        <f>T("   Pays non défini")</f>
        <v xml:space="preserve">   Pays non défini</v>
      </c>
      <c r="C2860">
        <v>850000</v>
      </c>
      <c r="D2860">
        <v>7020</v>
      </c>
    </row>
    <row r="2861" spans="1:4" x14ac:dyDescent="0.25">
      <c r="A2861" t="str">
        <f>T("290312")</f>
        <v>290312</v>
      </c>
      <c r="B2861" t="str">
        <f>T("Dichlorométhane [chlorure de méthylène]")</f>
        <v>Dichlorométhane [chlorure de méthylène]</v>
      </c>
    </row>
    <row r="2862" spans="1:4" x14ac:dyDescent="0.25">
      <c r="A2862" t="str">
        <f>T("   ZZZ_Monde")</f>
        <v xml:space="preserve">   ZZZ_Monde</v>
      </c>
      <c r="B2862" t="str">
        <f>T("   ZZZ_Monde")</f>
        <v xml:space="preserve">   ZZZ_Monde</v>
      </c>
      <c r="C2862">
        <v>14199477</v>
      </c>
      <c r="D2862">
        <v>25995</v>
      </c>
    </row>
    <row r="2863" spans="1:4" x14ac:dyDescent="0.25">
      <c r="A2863" t="str">
        <f>T("   CN")</f>
        <v xml:space="preserve">   CN</v>
      </c>
      <c r="B2863" t="str">
        <f>T("   Chine")</f>
        <v xml:space="preserve">   Chine</v>
      </c>
      <c r="C2863">
        <v>3733635</v>
      </c>
      <c r="D2863">
        <v>4795</v>
      </c>
    </row>
    <row r="2864" spans="1:4" x14ac:dyDescent="0.25">
      <c r="A2864" t="str">
        <f>T("   FR")</f>
        <v xml:space="preserve">   FR</v>
      </c>
      <c r="B2864" t="str">
        <f>T("   France")</f>
        <v xml:space="preserve">   France</v>
      </c>
      <c r="C2864">
        <v>10465842</v>
      </c>
      <c r="D2864">
        <v>21200</v>
      </c>
    </row>
    <row r="2865" spans="1:4" x14ac:dyDescent="0.25">
      <c r="A2865" t="str">
        <f>T("290349")</f>
        <v>290349</v>
      </c>
      <c r="B2865" t="str">
        <f>T("Dérivés halogénés des hydrocarbures acycliques contenant au moins deux halogènes différents (à l'excl. des dérivés perhalogénés)")</f>
        <v>Dérivés halogénés des hydrocarbures acycliques contenant au moins deux halogènes différents (à l'excl. des dérivés perhalogénés)</v>
      </c>
    </row>
    <row r="2866" spans="1:4" x14ac:dyDescent="0.25">
      <c r="A2866" t="str">
        <f>T("   ZZZ_Monde")</f>
        <v xml:space="preserve">   ZZZ_Monde</v>
      </c>
      <c r="B2866" t="str">
        <f>T("   ZZZ_Monde")</f>
        <v xml:space="preserve">   ZZZ_Monde</v>
      </c>
      <c r="C2866">
        <v>20674423</v>
      </c>
      <c r="D2866">
        <v>20391</v>
      </c>
    </row>
    <row r="2867" spans="1:4" x14ac:dyDescent="0.25">
      <c r="A2867" t="str">
        <f>T("   AE")</f>
        <v xml:space="preserve">   AE</v>
      </c>
      <c r="B2867" t="str">
        <f>T("   Emirats Arabes Unis")</f>
        <v xml:space="preserve">   Emirats Arabes Unis</v>
      </c>
      <c r="C2867">
        <v>1399759</v>
      </c>
      <c r="D2867">
        <v>1561</v>
      </c>
    </row>
    <row r="2868" spans="1:4" x14ac:dyDescent="0.25">
      <c r="A2868" t="str">
        <f>T("   CN")</f>
        <v xml:space="preserve">   CN</v>
      </c>
      <c r="B2868" t="str">
        <f>T("   Chine")</f>
        <v xml:space="preserve">   Chine</v>
      </c>
      <c r="C2868">
        <v>19274664</v>
      </c>
      <c r="D2868">
        <v>18830</v>
      </c>
    </row>
    <row r="2869" spans="1:4" x14ac:dyDescent="0.25">
      <c r="A2869" t="str">
        <f>T("290511")</f>
        <v>290511</v>
      </c>
      <c r="B2869" t="str">
        <f>T("Méthanol [alcool méthylique]")</f>
        <v>Méthanol [alcool méthylique]</v>
      </c>
    </row>
    <row r="2870" spans="1:4" x14ac:dyDescent="0.25">
      <c r="A2870" t="str">
        <f>T("   ZZZ_Monde")</f>
        <v xml:space="preserve">   ZZZ_Monde</v>
      </c>
      <c r="B2870" t="str">
        <f>T("   ZZZ_Monde")</f>
        <v xml:space="preserve">   ZZZ_Monde</v>
      </c>
      <c r="C2870">
        <v>113481</v>
      </c>
      <c r="D2870">
        <v>29</v>
      </c>
    </row>
    <row r="2871" spans="1:4" x14ac:dyDescent="0.25">
      <c r="A2871" t="str">
        <f>T("   FR")</f>
        <v xml:space="preserve">   FR</v>
      </c>
      <c r="B2871" t="str">
        <f>T("   France")</f>
        <v xml:space="preserve">   France</v>
      </c>
      <c r="C2871">
        <v>113481</v>
      </c>
      <c r="D2871">
        <v>29</v>
      </c>
    </row>
    <row r="2872" spans="1:4" x14ac:dyDescent="0.25">
      <c r="A2872" t="str">
        <f>T("290512")</f>
        <v>290512</v>
      </c>
      <c r="B2872" t="str">
        <f>T("Propane-1-ol [alcool propylique] et propane-2-ol [alcool isopropylique]")</f>
        <v>Propane-1-ol [alcool propylique] et propane-2-ol [alcool isopropylique]</v>
      </c>
    </row>
    <row r="2873" spans="1:4" x14ac:dyDescent="0.25">
      <c r="A2873" t="str">
        <f>T("   ZZZ_Monde")</f>
        <v xml:space="preserve">   ZZZ_Monde</v>
      </c>
      <c r="B2873" t="str">
        <f>T("   ZZZ_Monde")</f>
        <v xml:space="preserve">   ZZZ_Monde</v>
      </c>
      <c r="C2873">
        <v>2922958</v>
      </c>
      <c r="D2873">
        <v>1000</v>
      </c>
    </row>
    <row r="2874" spans="1:4" x14ac:dyDescent="0.25">
      <c r="A2874" t="str">
        <f>T("   DE")</f>
        <v xml:space="preserve">   DE</v>
      </c>
      <c r="B2874" t="str">
        <f>T("   Allemagne")</f>
        <v xml:space="preserve">   Allemagne</v>
      </c>
      <c r="C2874">
        <v>2922958</v>
      </c>
      <c r="D2874">
        <v>1000</v>
      </c>
    </row>
    <row r="2875" spans="1:4" x14ac:dyDescent="0.25">
      <c r="A2875" t="str">
        <f>T("290513")</f>
        <v>290513</v>
      </c>
      <c r="B2875" t="str">
        <f>T("Butane-1-ol [alcool n-butylique]")</f>
        <v>Butane-1-ol [alcool n-butylique]</v>
      </c>
    </row>
    <row r="2876" spans="1:4" x14ac:dyDescent="0.25">
      <c r="A2876" t="str">
        <f>T("   ZZZ_Monde")</f>
        <v xml:space="preserve">   ZZZ_Monde</v>
      </c>
      <c r="B2876" t="str">
        <f>T("   ZZZ_Monde")</f>
        <v xml:space="preserve">   ZZZ_Monde</v>
      </c>
      <c r="C2876">
        <v>846844</v>
      </c>
      <c r="D2876">
        <v>791</v>
      </c>
    </row>
    <row r="2877" spans="1:4" x14ac:dyDescent="0.25">
      <c r="A2877" t="str">
        <f>T("   FR")</f>
        <v xml:space="preserve">   FR</v>
      </c>
      <c r="B2877" t="str">
        <f>T("   France")</f>
        <v xml:space="preserve">   France</v>
      </c>
      <c r="C2877">
        <v>846844</v>
      </c>
      <c r="D2877">
        <v>791</v>
      </c>
    </row>
    <row r="2878" spans="1:4" x14ac:dyDescent="0.25">
      <c r="A2878" t="str">
        <f>T("290514")</f>
        <v>290514</v>
      </c>
      <c r="B2878" t="str">
        <f>T("Butanols (à l'excl. du butane-1-ol [alcool n-butylique])")</f>
        <v>Butanols (à l'excl. du butane-1-ol [alcool n-butylique])</v>
      </c>
    </row>
    <row r="2879" spans="1:4" x14ac:dyDescent="0.25">
      <c r="A2879" t="str">
        <f>T("   ZZZ_Monde")</f>
        <v xml:space="preserve">   ZZZ_Monde</v>
      </c>
      <c r="B2879" t="str">
        <f>T("   ZZZ_Monde")</f>
        <v xml:space="preserve">   ZZZ_Monde</v>
      </c>
      <c r="C2879">
        <v>4005949</v>
      </c>
      <c r="D2879">
        <v>2896</v>
      </c>
    </row>
    <row r="2880" spans="1:4" x14ac:dyDescent="0.25">
      <c r="A2880" t="str">
        <f>T("   BE")</f>
        <v xml:space="preserve">   BE</v>
      </c>
      <c r="B2880" t="str">
        <f>T("   Belgique")</f>
        <v xml:space="preserve">   Belgique</v>
      </c>
      <c r="C2880">
        <v>2153518</v>
      </c>
      <c r="D2880">
        <v>1500</v>
      </c>
    </row>
    <row r="2881" spans="1:4" x14ac:dyDescent="0.25">
      <c r="A2881" t="str">
        <f>T("   GB")</f>
        <v xml:space="preserve">   GB</v>
      </c>
      <c r="B2881" t="str">
        <f>T("   Royaume-Uni")</f>
        <v xml:space="preserve">   Royaume-Uni</v>
      </c>
      <c r="C2881">
        <v>1852431</v>
      </c>
      <c r="D2881">
        <v>1396</v>
      </c>
    </row>
    <row r="2882" spans="1:4" x14ac:dyDescent="0.25">
      <c r="A2882" t="str">
        <f>T("290517")</f>
        <v>290517</v>
      </c>
      <c r="B2882" t="str">
        <f>T("Dodécane-1-ol [alcool laurique], hexadécane-1-ol [alcool cétylique] et octadécane-1-ol [alcool stéarique]")</f>
        <v>Dodécane-1-ol [alcool laurique], hexadécane-1-ol [alcool cétylique] et octadécane-1-ol [alcool stéarique]</v>
      </c>
    </row>
    <row r="2883" spans="1:4" x14ac:dyDescent="0.25">
      <c r="A2883" t="str">
        <f>T("   ZZZ_Monde")</f>
        <v xml:space="preserve">   ZZZ_Monde</v>
      </c>
      <c r="B2883" t="str">
        <f>T("   ZZZ_Monde")</f>
        <v xml:space="preserve">   ZZZ_Monde</v>
      </c>
      <c r="C2883">
        <v>601515</v>
      </c>
      <c r="D2883">
        <v>125</v>
      </c>
    </row>
    <row r="2884" spans="1:4" x14ac:dyDescent="0.25">
      <c r="A2884" t="str">
        <f>T("   FR")</f>
        <v xml:space="preserve">   FR</v>
      </c>
      <c r="B2884" t="str">
        <f>T("   France")</f>
        <v xml:space="preserve">   France</v>
      </c>
      <c r="C2884">
        <v>601515</v>
      </c>
      <c r="D2884">
        <v>125</v>
      </c>
    </row>
    <row r="2885" spans="1:4" x14ac:dyDescent="0.25">
      <c r="A2885" t="str">
        <f>T("290519")</f>
        <v>290519</v>
      </c>
      <c r="B2885" t="str">
        <f>T("Monoalcools acycliques saturés (à l'excl. du méthanol [alcool méthylique], du propane-1-ol [alcool propylique], du propane-2-ol [alcool isopropylique], des butanols, du pentanol [alcool amylique] et ses isomères, de l'octanol [alcool octylique] et ses iso")</f>
        <v>Monoalcools acycliques saturés (à l'excl. du méthanol [alcool méthylique], du propane-1-ol [alcool propylique], du propane-2-ol [alcool isopropylique], des butanols, du pentanol [alcool amylique] et ses isomères, de l'octanol [alcool octylique] et ses iso</v>
      </c>
    </row>
    <row r="2886" spans="1:4" x14ac:dyDescent="0.25">
      <c r="A2886" t="str">
        <f>T("   ZZZ_Monde")</f>
        <v xml:space="preserve">   ZZZ_Monde</v>
      </c>
      <c r="B2886" t="str">
        <f>T("   ZZZ_Monde")</f>
        <v xml:space="preserve">   ZZZ_Monde</v>
      </c>
      <c r="C2886">
        <v>181045</v>
      </c>
      <c r="D2886">
        <v>45</v>
      </c>
    </row>
    <row r="2887" spans="1:4" x14ac:dyDescent="0.25">
      <c r="A2887" t="str">
        <f>T("   FR")</f>
        <v xml:space="preserve">   FR</v>
      </c>
      <c r="B2887" t="str">
        <f>T("   France")</f>
        <v xml:space="preserve">   France</v>
      </c>
      <c r="C2887">
        <v>181045</v>
      </c>
      <c r="D2887">
        <v>45</v>
      </c>
    </row>
    <row r="2888" spans="1:4" x14ac:dyDescent="0.25">
      <c r="A2888" t="str">
        <f>T("290531")</f>
        <v>290531</v>
      </c>
      <c r="B2888" t="str">
        <f>T("ÉTHYLÈNE GLYCOL [ÉTHANEDIOL]")</f>
        <v>ÉTHYLÈNE GLYCOL [ÉTHANEDIOL]</v>
      </c>
    </row>
    <row r="2889" spans="1:4" x14ac:dyDescent="0.25">
      <c r="A2889" t="str">
        <f>T("   ZZZ_Monde")</f>
        <v xml:space="preserve">   ZZZ_Monde</v>
      </c>
      <c r="B2889" t="str">
        <f>T("   ZZZ_Monde")</f>
        <v xml:space="preserve">   ZZZ_Monde</v>
      </c>
      <c r="C2889">
        <v>4152844</v>
      </c>
      <c r="D2889">
        <v>5525</v>
      </c>
    </row>
    <row r="2890" spans="1:4" x14ac:dyDescent="0.25">
      <c r="A2890" t="str">
        <f>T("   BE")</f>
        <v xml:space="preserve">   BE</v>
      </c>
      <c r="B2890" t="str">
        <f>T("   Belgique")</f>
        <v xml:space="preserve">   Belgique</v>
      </c>
      <c r="C2890">
        <v>2231537</v>
      </c>
      <c r="D2890">
        <v>2760</v>
      </c>
    </row>
    <row r="2891" spans="1:4" x14ac:dyDescent="0.25">
      <c r="A2891" t="str">
        <f>T("   FR")</f>
        <v xml:space="preserve">   FR</v>
      </c>
      <c r="B2891" t="str">
        <f>T("   France")</f>
        <v xml:space="preserve">   France</v>
      </c>
      <c r="C2891">
        <v>1921307</v>
      </c>
      <c r="D2891">
        <v>2765</v>
      </c>
    </row>
    <row r="2892" spans="1:4" x14ac:dyDescent="0.25">
      <c r="A2892" t="str">
        <f>T("290532")</f>
        <v>290532</v>
      </c>
      <c r="B2892" t="str">
        <f>T("Propylène glycol [propane-1,2-diol]")</f>
        <v>Propylène glycol [propane-1,2-diol]</v>
      </c>
    </row>
    <row r="2893" spans="1:4" x14ac:dyDescent="0.25">
      <c r="A2893" t="str">
        <f>T("   ZZZ_Monde")</f>
        <v xml:space="preserve">   ZZZ_Monde</v>
      </c>
      <c r="B2893" t="str">
        <f>T("   ZZZ_Monde")</f>
        <v xml:space="preserve">   ZZZ_Monde</v>
      </c>
      <c r="C2893">
        <v>30063283</v>
      </c>
      <c r="D2893">
        <v>6075</v>
      </c>
    </row>
    <row r="2894" spans="1:4" x14ac:dyDescent="0.25">
      <c r="A2894" t="str">
        <f>T("   FR")</f>
        <v xml:space="preserve">   FR</v>
      </c>
      <c r="B2894" t="str">
        <f>T("   France")</f>
        <v xml:space="preserve">   France</v>
      </c>
      <c r="C2894">
        <v>27752664</v>
      </c>
      <c r="D2894">
        <v>4323</v>
      </c>
    </row>
    <row r="2895" spans="1:4" x14ac:dyDescent="0.25">
      <c r="A2895" t="str">
        <f>T("   TN")</f>
        <v xml:space="preserve">   TN</v>
      </c>
      <c r="B2895" t="str">
        <f>T("   Tunisie")</f>
        <v xml:space="preserve">   Tunisie</v>
      </c>
      <c r="C2895">
        <v>2310619</v>
      </c>
      <c r="D2895">
        <v>1752</v>
      </c>
    </row>
    <row r="2896" spans="1:4" x14ac:dyDescent="0.25">
      <c r="A2896" t="str">
        <f>T("290542")</f>
        <v>290542</v>
      </c>
      <c r="B2896" t="str">
        <f>T("PENTAÉRYÈRITOL [PENTAÉRYÈRITE]")</f>
        <v>PENTAÉRYÈRITOL [PENTAÉRYÈRITE]</v>
      </c>
    </row>
    <row r="2897" spans="1:4" x14ac:dyDescent="0.25">
      <c r="A2897" t="str">
        <f>T("   ZZZ_Monde")</f>
        <v xml:space="preserve">   ZZZ_Monde</v>
      </c>
      <c r="B2897" t="str">
        <f>T("   ZZZ_Monde")</f>
        <v xml:space="preserve">   ZZZ_Monde</v>
      </c>
      <c r="C2897">
        <v>658584</v>
      </c>
      <c r="D2897">
        <v>190</v>
      </c>
    </row>
    <row r="2898" spans="1:4" x14ac:dyDescent="0.25">
      <c r="A2898" t="str">
        <f>T("   FR")</f>
        <v xml:space="preserve">   FR</v>
      </c>
      <c r="B2898" t="str">
        <f>T("   France")</f>
        <v xml:space="preserve">   France</v>
      </c>
      <c r="C2898">
        <v>658584</v>
      </c>
      <c r="D2898">
        <v>190</v>
      </c>
    </row>
    <row r="2899" spans="1:4" x14ac:dyDescent="0.25">
      <c r="A2899" t="str">
        <f>T("290545")</f>
        <v>290545</v>
      </c>
      <c r="B2899" t="str">
        <f>T("Glycérol")</f>
        <v>Glycérol</v>
      </c>
    </row>
    <row r="2900" spans="1:4" x14ac:dyDescent="0.25">
      <c r="A2900" t="str">
        <f>T("   ZZZ_Monde")</f>
        <v xml:space="preserve">   ZZZ_Monde</v>
      </c>
      <c r="B2900" t="str">
        <f>T("   ZZZ_Monde")</f>
        <v xml:space="preserve">   ZZZ_Monde</v>
      </c>
      <c r="C2900">
        <v>1531588</v>
      </c>
      <c r="D2900">
        <v>7735</v>
      </c>
    </row>
    <row r="2901" spans="1:4" x14ac:dyDescent="0.25">
      <c r="A2901" t="str">
        <f>T("   TG")</f>
        <v xml:space="preserve">   TG</v>
      </c>
      <c r="B2901" t="str">
        <f>T("   Togo")</f>
        <v xml:space="preserve">   Togo</v>
      </c>
      <c r="C2901">
        <v>1531588</v>
      </c>
      <c r="D2901">
        <v>7735</v>
      </c>
    </row>
    <row r="2902" spans="1:4" x14ac:dyDescent="0.25">
      <c r="A2902" t="str">
        <f>T("290549")</f>
        <v>290549</v>
      </c>
      <c r="B2902" t="str">
        <f>T("Triols, tétrols et autres polyalcools acycliques (à l'excl. des diols, du 2-éthyl-2-(hydroxyméthyl)propane-1,3-diol [triméthylolpropane], du pentaérythritol, du mannitol, du D-glucitol [sorbitol] et du glycérol)")</f>
        <v>Triols, tétrols et autres polyalcools acycliques (à l'excl. des diols, du 2-éthyl-2-(hydroxyméthyl)propane-1,3-diol [triméthylolpropane], du pentaérythritol, du mannitol, du D-glucitol [sorbitol] et du glycérol)</v>
      </c>
    </row>
    <row r="2903" spans="1:4" x14ac:dyDescent="0.25">
      <c r="A2903" t="str">
        <f>T("   ZZZ_Monde")</f>
        <v xml:space="preserve">   ZZZ_Monde</v>
      </c>
      <c r="B2903" t="str">
        <f>T("   ZZZ_Monde")</f>
        <v xml:space="preserve">   ZZZ_Monde</v>
      </c>
      <c r="C2903">
        <v>27685225</v>
      </c>
      <c r="D2903">
        <v>19840</v>
      </c>
    </row>
    <row r="2904" spans="1:4" x14ac:dyDescent="0.25">
      <c r="A2904" t="str">
        <f>T("   CN")</f>
        <v xml:space="preserve">   CN</v>
      </c>
      <c r="B2904" t="str">
        <f>T("   Chine")</f>
        <v xml:space="preserve">   Chine</v>
      </c>
      <c r="C2904">
        <v>26619513</v>
      </c>
      <c r="D2904">
        <v>18180</v>
      </c>
    </row>
    <row r="2905" spans="1:4" x14ac:dyDescent="0.25">
      <c r="A2905" t="str">
        <f>T("   TR")</f>
        <v xml:space="preserve">   TR</v>
      </c>
      <c r="B2905" t="str">
        <f>T("   Turquie")</f>
        <v xml:space="preserve">   Turquie</v>
      </c>
      <c r="C2905">
        <v>1065712</v>
      </c>
      <c r="D2905">
        <v>1660</v>
      </c>
    </row>
    <row r="2906" spans="1:4" x14ac:dyDescent="0.25">
      <c r="A2906" t="str">
        <f>T("290611")</f>
        <v>290611</v>
      </c>
      <c r="B2906" t="str">
        <f>T("Menthol")</f>
        <v>Menthol</v>
      </c>
    </row>
    <row r="2907" spans="1:4" x14ac:dyDescent="0.25">
      <c r="A2907" t="str">
        <f>T("   ZZZ_Monde")</f>
        <v xml:space="preserve">   ZZZ_Monde</v>
      </c>
      <c r="B2907" t="str">
        <f>T("   ZZZ_Monde")</f>
        <v xml:space="preserve">   ZZZ_Monde</v>
      </c>
      <c r="C2907">
        <v>172518</v>
      </c>
      <c r="D2907">
        <v>17</v>
      </c>
    </row>
    <row r="2908" spans="1:4" x14ac:dyDescent="0.25">
      <c r="A2908" t="str">
        <f>T("   FR")</f>
        <v xml:space="preserve">   FR</v>
      </c>
      <c r="B2908" t="str">
        <f>T("   France")</f>
        <v xml:space="preserve">   France</v>
      </c>
      <c r="C2908">
        <v>172518</v>
      </c>
      <c r="D2908">
        <v>17</v>
      </c>
    </row>
    <row r="2909" spans="1:4" x14ac:dyDescent="0.25">
      <c r="A2909" t="str">
        <f>T("290911")</f>
        <v>290911</v>
      </c>
      <c r="B2909" t="str">
        <f>T("Ether diéthylique [oxyde de diéthyle]")</f>
        <v>Ether diéthylique [oxyde de diéthyle]</v>
      </c>
    </row>
    <row r="2910" spans="1:4" x14ac:dyDescent="0.25">
      <c r="A2910" t="str">
        <f>T("   ZZZ_Monde")</f>
        <v xml:space="preserve">   ZZZ_Monde</v>
      </c>
      <c r="B2910" t="str">
        <f>T("   ZZZ_Monde")</f>
        <v xml:space="preserve">   ZZZ_Monde</v>
      </c>
      <c r="C2910">
        <v>10482241</v>
      </c>
      <c r="D2910">
        <v>1075</v>
      </c>
    </row>
    <row r="2911" spans="1:4" x14ac:dyDescent="0.25">
      <c r="A2911" t="str">
        <f>T("   FR")</f>
        <v xml:space="preserve">   FR</v>
      </c>
      <c r="B2911" t="str">
        <f>T("   France")</f>
        <v xml:space="preserve">   France</v>
      </c>
      <c r="C2911">
        <v>10482241</v>
      </c>
      <c r="D2911">
        <v>1075</v>
      </c>
    </row>
    <row r="2912" spans="1:4" x14ac:dyDescent="0.25">
      <c r="A2912" t="str">
        <f>T("290943")</f>
        <v>290943</v>
      </c>
      <c r="B2912" t="str">
        <f>T("Ethers monobutyliques de l'éthylène-glycol ou du diéthylène-glycol")</f>
        <v>Ethers monobutyliques de l'éthylène-glycol ou du diéthylène-glycol</v>
      </c>
    </row>
    <row r="2913" spans="1:4" x14ac:dyDescent="0.25">
      <c r="A2913" t="str">
        <f>T("   ZZZ_Monde")</f>
        <v xml:space="preserve">   ZZZ_Monde</v>
      </c>
      <c r="B2913" t="str">
        <f>T("   ZZZ_Monde")</f>
        <v xml:space="preserve">   ZZZ_Monde</v>
      </c>
      <c r="C2913">
        <v>8066339</v>
      </c>
      <c r="D2913">
        <v>5106</v>
      </c>
    </row>
    <row r="2914" spans="1:4" x14ac:dyDescent="0.25">
      <c r="A2914" t="str">
        <f>T("   BE")</f>
        <v xml:space="preserve">   BE</v>
      </c>
      <c r="B2914" t="str">
        <f>T("   Belgique")</f>
        <v xml:space="preserve">   Belgique</v>
      </c>
      <c r="C2914">
        <v>3505450</v>
      </c>
      <c r="D2914">
        <v>2268</v>
      </c>
    </row>
    <row r="2915" spans="1:4" x14ac:dyDescent="0.25">
      <c r="A2915" t="str">
        <f>T("   GB")</f>
        <v xml:space="preserve">   GB</v>
      </c>
      <c r="B2915" t="str">
        <f>T("   Royaume-Uni")</f>
        <v xml:space="preserve">   Royaume-Uni</v>
      </c>
      <c r="C2915">
        <v>4560889</v>
      </c>
      <c r="D2915">
        <v>2838</v>
      </c>
    </row>
    <row r="2916" spans="1:4" x14ac:dyDescent="0.25">
      <c r="A2916" t="str">
        <f>T("290944")</f>
        <v>290944</v>
      </c>
      <c r="B2916" t="str">
        <f>T("Ethers monoalkyliques de l'éthylène-glycol ou du diéthylène-glycol (à l'excl. du 2,2'-oxydiéthanol [diéthylène-glycol] ainsi que des éthers monométhyliques ou monobutyliques)")</f>
        <v>Ethers monoalkyliques de l'éthylène-glycol ou du diéthylène-glycol (à l'excl. du 2,2'-oxydiéthanol [diéthylène-glycol] ainsi que des éthers monométhyliques ou monobutyliques)</v>
      </c>
    </row>
    <row r="2917" spans="1:4" x14ac:dyDescent="0.25">
      <c r="A2917" t="str">
        <f>T("   ZZZ_Monde")</f>
        <v xml:space="preserve">   ZZZ_Monde</v>
      </c>
      <c r="B2917" t="str">
        <f>T("   ZZZ_Monde")</f>
        <v xml:space="preserve">   ZZZ_Monde</v>
      </c>
      <c r="C2917">
        <v>4593032</v>
      </c>
      <c r="D2917">
        <v>1801</v>
      </c>
    </row>
    <row r="2918" spans="1:4" x14ac:dyDescent="0.25">
      <c r="A2918" t="str">
        <f>T("   BE")</f>
        <v xml:space="preserve">   BE</v>
      </c>
      <c r="B2918" t="str">
        <f>T("   Belgique")</f>
        <v xml:space="preserve">   Belgique</v>
      </c>
      <c r="C2918">
        <v>4593032</v>
      </c>
      <c r="D2918">
        <v>1801</v>
      </c>
    </row>
    <row r="2919" spans="1:4" x14ac:dyDescent="0.25">
      <c r="A2919" t="str">
        <f>T("290949")</f>
        <v>290949</v>
      </c>
      <c r="B2919" t="str">
        <f>T("ÉTHERS-ALCOOLS ET LEURS DÉRIVÉS HALOGÉNÉS, SULFONÉS, NITRÉS OU NITROSÉS (À L'EXCL. DU 2,2'-OXYDIÉTHANOL [DIÉTHYLÈNE-GLYCOL] AINSI QUE DES ÉTHERS MONOALKYLIQUES DE L'ÉTHYLÈNE-GLYCOL OU DU DIÉTHYLÈNE-GLYCOL)")</f>
        <v>ÉTHERS-ALCOOLS ET LEURS DÉRIVÉS HALOGÉNÉS, SULFONÉS, NITRÉS OU NITROSÉS (À L'EXCL. DU 2,2'-OXYDIÉTHANOL [DIÉTHYLÈNE-GLYCOL] AINSI QUE DES ÉTHERS MONOALKYLIQUES DE L'ÉTHYLÈNE-GLYCOL OU DU DIÉTHYLÈNE-GLYCOL)</v>
      </c>
    </row>
    <row r="2920" spans="1:4" x14ac:dyDescent="0.25">
      <c r="A2920" t="str">
        <f>T("   ZZZ_Monde")</f>
        <v xml:space="preserve">   ZZZ_Monde</v>
      </c>
      <c r="B2920" t="str">
        <f>T("   ZZZ_Monde")</f>
        <v xml:space="preserve">   ZZZ_Monde</v>
      </c>
      <c r="C2920">
        <v>1356335</v>
      </c>
      <c r="D2920">
        <v>361</v>
      </c>
    </row>
    <row r="2921" spans="1:4" x14ac:dyDescent="0.25">
      <c r="A2921" t="str">
        <f>T("   FR")</f>
        <v xml:space="preserve">   FR</v>
      </c>
      <c r="B2921" t="str">
        <f>T("   France")</f>
        <v xml:space="preserve">   France</v>
      </c>
      <c r="C2921">
        <v>1356335</v>
      </c>
      <c r="D2921">
        <v>361</v>
      </c>
    </row>
    <row r="2922" spans="1:4" x14ac:dyDescent="0.25">
      <c r="A2922" t="str">
        <f>T("291100")</f>
        <v>291100</v>
      </c>
      <c r="B2922" t="str">
        <f>T("Acétals et hémi-acétals, même contenant d'autres fonctions oxygénées, et leurs dérivés halogénés, sulfonés, nitrés ou nitrosés")</f>
        <v>Acétals et hémi-acétals, même contenant d'autres fonctions oxygénées, et leurs dérivés halogénés, sulfonés, nitrés ou nitrosés</v>
      </c>
    </row>
    <row r="2923" spans="1:4" x14ac:dyDescent="0.25">
      <c r="A2923" t="str">
        <f>T("   ZZZ_Monde")</f>
        <v xml:space="preserve">   ZZZ_Monde</v>
      </c>
      <c r="B2923" t="str">
        <f>T("   ZZZ_Monde")</f>
        <v xml:space="preserve">   ZZZ_Monde</v>
      </c>
      <c r="C2923">
        <v>432934</v>
      </c>
      <c r="D2923">
        <v>86</v>
      </c>
    </row>
    <row r="2924" spans="1:4" x14ac:dyDescent="0.25">
      <c r="A2924" t="str">
        <f>T("   FR")</f>
        <v xml:space="preserve">   FR</v>
      </c>
      <c r="B2924" t="str">
        <f>T("   France")</f>
        <v xml:space="preserve">   France</v>
      </c>
      <c r="C2924">
        <v>432934</v>
      </c>
      <c r="D2924">
        <v>86</v>
      </c>
    </row>
    <row r="2925" spans="1:4" x14ac:dyDescent="0.25">
      <c r="A2925" t="str">
        <f>T("291411")</f>
        <v>291411</v>
      </c>
      <c r="B2925" t="str">
        <f>T("Acétone")</f>
        <v>Acétone</v>
      </c>
    </row>
    <row r="2926" spans="1:4" x14ac:dyDescent="0.25">
      <c r="A2926" t="str">
        <f>T("   ZZZ_Monde")</f>
        <v xml:space="preserve">   ZZZ_Monde</v>
      </c>
      <c r="B2926" t="str">
        <f>T("   ZZZ_Monde")</f>
        <v xml:space="preserve">   ZZZ_Monde</v>
      </c>
      <c r="C2926">
        <v>4357185</v>
      </c>
      <c r="D2926">
        <v>3045</v>
      </c>
    </row>
    <row r="2927" spans="1:4" x14ac:dyDescent="0.25">
      <c r="A2927" t="str">
        <f>T("   BE")</f>
        <v xml:space="preserve">   BE</v>
      </c>
      <c r="B2927" t="str">
        <f>T("   Belgique")</f>
        <v xml:space="preserve">   Belgique</v>
      </c>
      <c r="C2927">
        <v>3227454</v>
      </c>
      <c r="D2927">
        <v>2560</v>
      </c>
    </row>
    <row r="2928" spans="1:4" x14ac:dyDescent="0.25">
      <c r="A2928" t="str">
        <f>T("   BR")</f>
        <v xml:space="preserve">   BR</v>
      </c>
      <c r="B2928" t="str">
        <f>T("   Brésil")</f>
        <v xml:space="preserve">   Brésil</v>
      </c>
      <c r="C2928">
        <v>192000</v>
      </c>
      <c r="D2928">
        <v>170</v>
      </c>
    </row>
    <row r="2929" spans="1:4" x14ac:dyDescent="0.25">
      <c r="A2929" t="str">
        <f>T("   DE")</f>
        <v xml:space="preserve">   DE</v>
      </c>
      <c r="B2929" t="str">
        <f>T("   Allemagne")</f>
        <v xml:space="preserve">   Allemagne</v>
      </c>
      <c r="C2929">
        <v>374631</v>
      </c>
      <c r="D2929">
        <v>5</v>
      </c>
    </row>
    <row r="2930" spans="1:4" x14ac:dyDescent="0.25">
      <c r="A2930" t="str">
        <f>T("   TG")</f>
        <v xml:space="preserve">   TG</v>
      </c>
      <c r="B2930" t="str">
        <f>T("   Togo")</f>
        <v xml:space="preserve">   Togo</v>
      </c>
      <c r="C2930">
        <v>563100</v>
      </c>
      <c r="D2930">
        <v>310</v>
      </c>
    </row>
    <row r="2931" spans="1:4" x14ac:dyDescent="0.25">
      <c r="A2931" t="str">
        <f>T("291412")</f>
        <v>291412</v>
      </c>
      <c r="B2931" t="str">
        <f>T("Butanone [méthyléthylcétone]")</f>
        <v>Butanone [méthyléthylcétone]</v>
      </c>
    </row>
    <row r="2932" spans="1:4" x14ac:dyDescent="0.25">
      <c r="A2932" t="str">
        <f>T("   ZZZ_Monde")</f>
        <v xml:space="preserve">   ZZZ_Monde</v>
      </c>
      <c r="B2932" t="str">
        <f>T("   ZZZ_Monde")</f>
        <v xml:space="preserve">   ZZZ_Monde</v>
      </c>
      <c r="C2932">
        <v>1874734</v>
      </c>
      <c r="D2932">
        <v>98</v>
      </c>
    </row>
    <row r="2933" spans="1:4" x14ac:dyDescent="0.25">
      <c r="A2933" t="str">
        <f>T("   FR")</f>
        <v xml:space="preserve">   FR</v>
      </c>
      <c r="B2933" t="str">
        <f>T("   France")</f>
        <v xml:space="preserve">   France</v>
      </c>
      <c r="C2933">
        <v>1874734</v>
      </c>
      <c r="D2933">
        <v>98</v>
      </c>
    </row>
    <row r="2934" spans="1:4" x14ac:dyDescent="0.25">
      <c r="A2934" t="str">
        <f>T("291413")</f>
        <v>291413</v>
      </c>
      <c r="B2934" t="str">
        <f>T("4-Méthylpentane-2-one [méthylisobutylcétone]")</f>
        <v>4-Méthylpentane-2-one [méthylisobutylcétone]</v>
      </c>
    </row>
    <row r="2935" spans="1:4" x14ac:dyDescent="0.25">
      <c r="A2935" t="str">
        <f>T("   ZZZ_Monde")</f>
        <v xml:space="preserve">   ZZZ_Monde</v>
      </c>
      <c r="B2935" t="str">
        <f>T("   ZZZ_Monde")</f>
        <v xml:space="preserve">   ZZZ_Monde</v>
      </c>
      <c r="C2935">
        <v>3982989</v>
      </c>
      <c r="D2935">
        <v>5152</v>
      </c>
    </row>
    <row r="2936" spans="1:4" x14ac:dyDescent="0.25">
      <c r="A2936" t="str">
        <f>T("   FR")</f>
        <v xml:space="preserve">   FR</v>
      </c>
      <c r="B2936" t="str">
        <f>T("   France")</f>
        <v xml:space="preserve">   France</v>
      </c>
      <c r="C2936">
        <v>3982989</v>
      </c>
      <c r="D2936">
        <v>5152</v>
      </c>
    </row>
    <row r="2937" spans="1:4" x14ac:dyDescent="0.25">
      <c r="A2937" t="str">
        <f>T("291440")</f>
        <v>291440</v>
      </c>
      <c r="B2937" t="str">
        <f>T("Cétones-alcools et cétones-aldéhydes")</f>
        <v>Cétones-alcools et cétones-aldéhydes</v>
      </c>
    </row>
    <row r="2938" spans="1:4" x14ac:dyDescent="0.25">
      <c r="A2938" t="str">
        <f>T("   ZZZ_Monde")</f>
        <v xml:space="preserve">   ZZZ_Monde</v>
      </c>
      <c r="B2938" t="str">
        <f>T("   ZZZ_Monde")</f>
        <v xml:space="preserve">   ZZZ_Monde</v>
      </c>
      <c r="C2938">
        <v>3657633</v>
      </c>
      <c r="D2938">
        <v>2950</v>
      </c>
    </row>
    <row r="2939" spans="1:4" x14ac:dyDescent="0.25">
      <c r="A2939" t="str">
        <f>T("   BE")</f>
        <v xml:space="preserve">   BE</v>
      </c>
      <c r="B2939" t="str">
        <f>T("   Belgique")</f>
        <v xml:space="preserve">   Belgique</v>
      </c>
      <c r="C2939">
        <v>3657633</v>
      </c>
      <c r="D2939">
        <v>2950</v>
      </c>
    </row>
    <row r="2940" spans="1:4" x14ac:dyDescent="0.25">
      <c r="A2940" t="str">
        <f>T("291521")</f>
        <v>291521</v>
      </c>
      <c r="B2940" t="str">
        <f>T("Acide acétique")</f>
        <v>Acide acétique</v>
      </c>
    </row>
    <row r="2941" spans="1:4" x14ac:dyDescent="0.25">
      <c r="A2941" t="str">
        <f>T("   ZZZ_Monde")</f>
        <v xml:space="preserve">   ZZZ_Monde</v>
      </c>
      <c r="B2941" t="str">
        <f>T("   ZZZ_Monde")</f>
        <v xml:space="preserve">   ZZZ_Monde</v>
      </c>
      <c r="C2941">
        <v>20990</v>
      </c>
      <c r="D2941">
        <v>5</v>
      </c>
    </row>
    <row r="2942" spans="1:4" x14ac:dyDescent="0.25">
      <c r="A2942" t="str">
        <f>T("   FR")</f>
        <v xml:space="preserve">   FR</v>
      </c>
      <c r="B2942" t="str">
        <f>T("   France")</f>
        <v xml:space="preserve">   France</v>
      </c>
      <c r="C2942">
        <v>20990</v>
      </c>
      <c r="D2942">
        <v>5</v>
      </c>
    </row>
    <row r="2943" spans="1:4" x14ac:dyDescent="0.25">
      <c r="A2943" t="str">
        <f>T("291531")</f>
        <v>291531</v>
      </c>
      <c r="B2943" t="str">
        <f>T("Acétate d'éthyle")</f>
        <v>Acétate d'éthyle</v>
      </c>
    </row>
    <row r="2944" spans="1:4" x14ac:dyDescent="0.25">
      <c r="A2944" t="str">
        <f>T("   ZZZ_Monde")</f>
        <v xml:space="preserve">   ZZZ_Monde</v>
      </c>
      <c r="B2944" t="str">
        <f>T("   ZZZ_Monde")</f>
        <v xml:space="preserve">   ZZZ_Monde</v>
      </c>
      <c r="C2944">
        <v>793712</v>
      </c>
      <c r="D2944">
        <v>756</v>
      </c>
    </row>
    <row r="2945" spans="1:4" x14ac:dyDescent="0.25">
      <c r="A2945" t="str">
        <f>T("   BE")</f>
        <v xml:space="preserve">   BE</v>
      </c>
      <c r="B2945" t="str">
        <f>T("   Belgique")</f>
        <v xml:space="preserve">   Belgique</v>
      </c>
      <c r="C2945">
        <v>793712</v>
      </c>
      <c r="D2945">
        <v>756</v>
      </c>
    </row>
    <row r="2946" spans="1:4" x14ac:dyDescent="0.25">
      <c r="A2946" t="str">
        <f>T("291533")</f>
        <v>291533</v>
      </c>
      <c r="B2946" t="str">
        <f>T("Acétate de n-butyle")</f>
        <v>Acétate de n-butyle</v>
      </c>
    </row>
    <row r="2947" spans="1:4" x14ac:dyDescent="0.25">
      <c r="A2947" t="str">
        <f>T("   ZZZ_Monde")</f>
        <v xml:space="preserve">   ZZZ_Monde</v>
      </c>
      <c r="B2947" t="str">
        <f>T("   ZZZ_Monde")</f>
        <v xml:space="preserve">   ZZZ_Monde</v>
      </c>
      <c r="C2947">
        <v>7809893</v>
      </c>
      <c r="D2947">
        <v>3499</v>
      </c>
    </row>
    <row r="2948" spans="1:4" x14ac:dyDescent="0.25">
      <c r="A2948" t="str">
        <f>T("   BE")</f>
        <v xml:space="preserve">   BE</v>
      </c>
      <c r="B2948" t="str">
        <f>T("   Belgique")</f>
        <v xml:space="preserve">   Belgique</v>
      </c>
      <c r="C2948">
        <v>947862</v>
      </c>
      <c r="D2948">
        <v>725</v>
      </c>
    </row>
    <row r="2949" spans="1:4" x14ac:dyDescent="0.25">
      <c r="A2949" t="str">
        <f>T("   DE")</f>
        <v xml:space="preserve">   DE</v>
      </c>
      <c r="B2949" t="str">
        <f>T("   Allemagne")</f>
        <v xml:space="preserve">   Allemagne</v>
      </c>
      <c r="C2949">
        <v>413911</v>
      </c>
      <c r="D2949">
        <v>159</v>
      </c>
    </row>
    <row r="2950" spans="1:4" x14ac:dyDescent="0.25">
      <c r="A2950" t="str">
        <f>T("   FR")</f>
        <v xml:space="preserve">   FR</v>
      </c>
      <c r="B2950" t="str">
        <f>T("   France")</f>
        <v xml:space="preserve">   France</v>
      </c>
      <c r="C2950">
        <v>6448120</v>
      </c>
      <c r="D2950">
        <v>2615</v>
      </c>
    </row>
    <row r="2951" spans="1:4" x14ac:dyDescent="0.25">
      <c r="A2951" t="str">
        <f>T("291534")</f>
        <v>291534</v>
      </c>
      <c r="B2951" t="str">
        <f>T("Acétate d'isobutyle")</f>
        <v>Acétate d'isobutyle</v>
      </c>
    </row>
    <row r="2952" spans="1:4" x14ac:dyDescent="0.25">
      <c r="A2952" t="str">
        <f>T("   ZZZ_Monde")</f>
        <v xml:space="preserve">   ZZZ_Monde</v>
      </c>
      <c r="B2952" t="str">
        <f>T("   ZZZ_Monde")</f>
        <v xml:space="preserve">   ZZZ_Monde</v>
      </c>
      <c r="C2952">
        <v>1335535</v>
      </c>
      <c r="D2952">
        <v>1248</v>
      </c>
    </row>
    <row r="2953" spans="1:4" x14ac:dyDescent="0.25">
      <c r="A2953" t="str">
        <f>T("   FR")</f>
        <v xml:space="preserve">   FR</v>
      </c>
      <c r="B2953" t="str">
        <f>T("   France")</f>
        <v xml:space="preserve">   France</v>
      </c>
      <c r="C2953">
        <v>1335535</v>
      </c>
      <c r="D2953">
        <v>1248</v>
      </c>
    </row>
    <row r="2954" spans="1:4" x14ac:dyDescent="0.25">
      <c r="A2954" t="str">
        <f>T("291539")</f>
        <v>291539</v>
      </c>
      <c r="B2954" t="str">
        <f>T("Esters de l'acide acétique (à l'excl. des acétates d'éthyle, de vinyle, de n-butyle, d'isobutyle et de 2-éthoxyéthyle)")</f>
        <v>Esters de l'acide acétique (à l'excl. des acétates d'éthyle, de vinyle, de n-butyle, d'isobutyle et de 2-éthoxyéthyle)</v>
      </c>
    </row>
    <row r="2955" spans="1:4" x14ac:dyDescent="0.25">
      <c r="A2955" t="str">
        <f>T("   ZZZ_Monde")</f>
        <v xml:space="preserve">   ZZZ_Monde</v>
      </c>
      <c r="B2955" t="str">
        <f>T("   ZZZ_Monde")</f>
        <v xml:space="preserve">   ZZZ_Monde</v>
      </c>
      <c r="C2955">
        <v>8569113</v>
      </c>
      <c r="D2955">
        <v>5717</v>
      </c>
    </row>
    <row r="2956" spans="1:4" x14ac:dyDescent="0.25">
      <c r="A2956" t="str">
        <f>T("   BE")</f>
        <v xml:space="preserve">   BE</v>
      </c>
      <c r="B2956" t="str">
        <f>T("   Belgique")</f>
        <v xml:space="preserve">   Belgique</v>
      </c>
      <c r="C2956">
        <v>6271633</v>
      </c>
      <c r="D2956">
        <v>4842</v>
      </c>
    </row>
    <row r="2957" spans="1:4" x14ac:dyDescent="0.25">
      <c r="A2957" t="str">
        <f>T("   FR")</f>
        <v xml:space="preserve">   FR</v>
      </c>
      <c r="B2957" t="str">
        <f>T("   France")</f>
        <v xml:space="preserve">   France</v>
      </c>
      <c r="C2957">
        <v>2297480</v>
      </c>
      <c r="D2957">
        <v>875</v>
      </c>
    </row>
    <row r="2958" spans="1:4" x14ac:dyDescent="0.25">
      <c r="A2958" t="str">
        <f>T("291560")</f>
        <v>291560</v>
      </c>
      <c r="B2958" t="str">
        <f>T("Acides butanoïques, acides pentanoïques, leurs sels et leurs esters")</f>
        <v>Acides butanoïques, acides pentanoïques, leurs sels et leurs esters</v>
      </c>
    </row>
    <row r="2959" spans="1:4" x14ac:dyDescent="0.25">
      <c r="A2959" t="str">
        <f>T("   ZZZ_Monde")</f>
        <v xml:space="preserve">   ZZZ_Monde</v>
      </c>
      <c r="B2959" t="str">
        <f>T("   ZZZ_Monde")</f>
        <v xml:space="preserve">   ZZZ_Monde</v>
      </c>
      <c r="C2959">
        <v>5058966</v>
      </c>
      <c r="D2959">
        <v>3195</v>
      </c>
    </row>
    <row r="2960" spans="1:4" x14ac:dyDescent="0.25">
      <c r="A2960" t="str">
        <f>T("   BE")</f>
        <v xml:space="preserve">   BE</v>
      </c>
      <c r="B2960" t="str">
        <f>T("   Belgique")</f>
        <v xml:space="preserve">   Belgique</v>
      </c>
      <c r="C2960">
        <v>4590611</v>
      </c>
      <c r="D2960">
        <v>3120</v>
      </c>
    </row>
    <row r="2961" spans="1:4" x14ac:dyDescent="0.25">
      <c r="A2961" t="str">
        <f>T("   FR")</f>
        <v xml:space="preserve">   FR</v>
      </c>
      <c r="B2961" t="str">
        <f>T("   France")</f>
        <v xml:space="preserve">   France</v>
      </c>
      <c r="C2961">
        <v>468355</v>
      </c>
      <c r="D2961">
        <v>75</v>
      </c>
    </row>
    <row r="2962" spans="1:4" x14ac:dyDescent="0.25">
      <c r="A2962" t="str">
        <f>T("291570")</f>
        <v>291570</v>
      </c>
      <c r="B2962" t="str">
        <f>T("Acide palmitique, acide stéarique, leurs sels et leurs esters")</f>
        <v>Acide palmitique, acide stéarique, leurs sels et leurs esters</v>
      </c>
    </row>
    <row r="2963" spans="1:4" x14ac:dyDescent="0.25">
      <c r="A2963" t="str">
        <f>T("   ZZZ_Monde")</f>
        <v xml:space="preserve">   ZZZ_Monde</v>
      </c>
      <c r="B2963" t="str">
        <f>T("   ZZZ_Monde")</f>
        <v xml:space="preserve">   ZZZ_Monde</v>
      </c>
      <c r="C2963">
        <v>4898054</v>
      </c>
      <c r="D2963">
        <v>3619</v>
      </c>
    </row>
    <row r="2964" spans="1:4" x14ac:dyDescent="0.25">
      <c r="A2964" t="str">
        <f>T("   FR")</f>
        <v xml:space="preserve">   FR</v>
      </c>
      <c r="B2964" t="str">
        <f>T("   France")</f>
        <v xml:space="preserve">   France</v>
      </c>
      <c r="C2964">
        <v>4898054</v>
      </c>
      <c r="D2964">
        <v>3619</v>
      </c>
    </row>
    <row r="2965" spans="1:4" x14ac:dyDescent="0.25">
      <c r="A2965" t="str">
        <f>T("291590")</f>
        <v>291590</v>
      </c>
      <c r="B2965" t="str">
        <f>T("ACIDES MONOCARBOXYLIQUES ACYCLIQUES SATURÉS, ANHYDRIDES, HALOGÉNURES, PEROXYDES, PEROXYACIDES ET DÉRIVÉS HALOGÉNÉS, SULFONÉS, NITRÉS OU NITROSÉS (À L'EXCL. DES ACIDES FORMIQUE, ACÉTIQUE, MONO- OU TRICHLOROACÉTIQUES, PROPIONIQUE, BUTANOÏQUES, PENTANOÏQUES,")</f>
        <v>ACIDES MONOCARBOXYLIQUES ACYCLIQUES SATURÉS, ANHYDRIDES, HALOGÉNURES, PEROXYDES, PEROXYACIDES ET DÉRIVÉS HALOGÉNÉS, SULFONÉS, NITRÉS OU NITROSÉS (À L'EXCL. DES ACIDES FORMIQUE, ACÉTIQUE, MONO- OU TRICHLOROACÉTIQUES, PROPIONIQUE, BUTANOÏQUES, PENTANOÏQUES,</v>
      </c>
    </row>
    <row r="2966" spans="1:4" x14ac:dyDescent="0.25">
      <c r="A2966" t="str">
        <f>T("   ZZZ_Monde")</f>
        <v xml:space="preserve">   ZZZ_Monde</v>
      </c>
      <c r="B2966" t="str">
        <f>T("   ZZZ_Monde")</f>
        <v xml:space="preserve">   ZZZ_Monde</v>
      </c>
      <c r="C2966">
        <v>14308196</v>
      </c>
      <c r="D2966">
        <v>9797</v>
      </c>
    </row>
    <row r="2967" spans="1:4" x14ac:dyDescent="0.25">
      <c r="A2967" t="str">
        <f>T("   BE")</f>
        <v xml:space="preserve">   BE</v>
      </c>
      <c r="B2967" t="str">
        <f>T("   Belgique")</f>
        <v xml:space="preserve">   Belgique</v>
      </c>
      <c r="C2967">
        <v>3522505</v>
      </c>
      <c r="D2967">
        <v>1915</v>
      </c>
    </row>
    <row r="2968" spans="1:4" x14ac:dyDescent="0.25">
      <c r="A2968" t="str">
        <f>T("   CN")</f>
        <v xml:space="preserve">   CN</v>
      </c>
      <c r="B2968" t="str">
        <f>T("   Chine")</f>
        <v xml:space="preserve">   Chine</v>
      </c>
      <c r="C2968">
        <v>2111847</v>
      </c>
      <c r="D2968">
        <v>550</v>
      </c>
    </row>
    <row r="2969" spans="1:4" x14ac:dyDescent="0.25">
      <c r="A2969" t="str">
        <f>T("   FR")</f>
        <v xml:space="preserve">   FR</v>
      </c>
      <c r="B2969" t="str">
        <f>T("   France")</f>
        <v xml:space="preserve">   France</v>
      </c>
      <c r="C2969">
        <v>11499</v>
      </c>
      <c r="D2969">
        <v>2</v>
      </c>
    </row>
    <row r="2970" spans="1:4" x14ac:dyDescent="0.25">
      <c r="A2970" t="str">
        <f>T("   GH")</f>
        <v xml:space="preserve">   GH</v>
      </c>
      <c r="B2970" t="str">
        <f>T("   Ghana")</f>
        <v xml:space="preserve">   Ghana</v>
      </c>
      <c r="C2970">
        <v>8662345</v>
      </c>
      <c r="D2970">
        <v>7330</v>
      </c>
    </row>
    <row r="2971" spans="1:4" x14ac:dyDescent="0.25">
      <c r="A2971" t="str">
        <f>T("291631")</f>
        <v>291631</v>
      </c>
      <c r="B2971" t="str">
        <f>T("Acide benzoïque, ses sels et ses esters")</f>
        <v>Acide benzoïque, ses sels et ses esters</v>
      </c>
    </row>
    <row r="2972" spans="1:4" x14ac:dyDescent="0.25">
      <c r="A2972" t="str">
        <f>T("   ZZZ_Monde")</f>
        <v xml:space="preserve">   ZZZ_Monde</v>
      </c>
      <c r="B2972" t="str">
        <f>T("   ZZZ_Monde")</f>
        <v xml:space="preserve">   ZZZ_Monde</v>
      </c>
      <c r="C2972">
        <v>4860412</v>
      </c>
      <c r="D2972">
        <v>1400</v>
      </c>
    </row>
    <row r="2973" spans="1:4" x14ac:dyDescent="0.25">
      <c r="A2973" t="str">
        <f>T("   FR")</f>
        <v xml:space="preserve">   FR</v>
      </c>
      <c r="B2973" t="str">
        <f>T("   France")</f>
        <v xml:space="preserve">   France</v>
      </c>
      <c r="C2973">
        <v>3205579</v>
      </c>
      <c r="D2973">
        <v>1025</v>
      </c>
    </row>
    <row r="2974" spans="1:4" x14ac:dyDescent="0.25">
      <c r="A2974" t="str">
        <f>T("   GB")</f>
        <v xml:space="preserve">   GB</v>
      </c>
      <c r="B2974" t="str">
        <f>T("   Royaume-Uni")</f>
        <v xml:space="preserve">   Royaume-Uni</v>
      </c>
      <c r="C2974">
        <v>1654833</v>
      </c>
      <c r="D2974">
        <v>375</v>
      </c>
    </row>
    <row r="2975" spans="1:4" x14ac:dyDescent="0.25">
      <c r="A2975" t="str">
        <f>T("291632")</f>
        <v>291632</v>
      </c>
      <c r="B2975" t="str">
        <f>T("Peroxyde de benzoyle et chlorure de benzoyle")</f>
        <v>Peroxyde de benzoyle et chlorure de benzoyle</v>
      </c>
    </row>
    <row r="2976" spans="1:4" x14ac:dyDescent="0.25">
      <c r="A2976" t="str">
        <f>T("   ZZZ_Monde")</f>
        <v xml:space="preserve">   ZZZ_Monde</v>
      </c>
      <c r="B2976" t="str">
        <f>T("   ZZZ_Monde")</f>
        <v xml:space="preserve">   ZZZ_Monde</v>
      </c>
      <c r="C2976">
        <v>4731157</v>
      </c>
      <c r="D2976">
        <v>12732</v>
      </c>
    </row>
    <row r="2977" spans="1:4" x14ac:dyDescent="0.25">
      <c r="A2977" t="str">
        <f>T("   LB")</f>
        <v xml:space="preserve">   LB</v>
      </c>
      <c r="B2977" t="str">
        <f>T("   Liban")</f>
        <v xml:space="preserve">   Liban</v>
      </c>
      <c r="C2977">
        <v>4731157</v>
      </c>
      <c r="D2977">
        <v>12732</v>
      </c>
    </row>
    <row r="2978" spans="1:4" x14ac:dyDescent="0.25">
      <c r="A2978" t="str">
        <f>T("291639")</f>
        <v>291639</v>
      </c>
      <c r="B2978" t="str">
        <f>T("Acides monocarboxyliques aromatiques, leurs anhydrides, halogénures, peroxydes, peroxyacides et leurs dérivés halogénés, sulfonés, nitrés ou nitrosés (à l'excl. des acides benzoïque ou phénylacétique et des sels et esters de ces produits ainsi qu'à l'excl")</f>
        <v>Acides monocarboxyliques aromatiques, leurs anhydrides, halogénures, peroxydes, peroxyacides et leurs dérivés halogénés, sulfonés, nitrés ou nitrosés (à l'excl. des acides benzoïque ou phénylacétique et des sels et esters de ces produits ainsi qu'à l'excl</v>
      </c>
    </row>
    <row r="2979" spans="1:4" x14ac:dyDescent="0.25">
      <c r="A2979" t="str">
        <f>T("   ZZZ_Monde")</f>
        <v xml:space="preserve">   ZZZ_Monde</v>
      </c>
      <c r="B2979" t="str">
        <f>T("   ZZZ_Monde")</f>
        <v xml:space="preserve">   ZZZ_Monde</v>
      </c>
      <c r="C2979">
        <v>350742</v>
      </c>
      <c r="D2979">
        <v>255</v>
      </c>
    </row>
    <row r="2980" spans="1:4" x14ac:dyDescent="0.25">
      <c r="A2980" t="str">
        <f>T("   FR")</f>
        <v xml:space="preserve">   FR</v>
      </c>
      <c r="B2980" t="str">
        <f>T("   France")</f>
        <v xml:space="preserve">   France</v>
      </c>
      <c r="C2980">
        <v>350742</v>
      </c>
      <c r="D2980">
        <v>255</v>
      </c>
    </row>
    <row r="2981" spans="1:4" x14ac:dyDescent="0.25">
      <c r="A2981" t="str">
        <f>T("291732")</f>
        <v>291732</v>
      </c>
      <c r="B2981" t="str">
        <f>T("Orthophtalates de dioctyle")</f>
        <v>Orthophtalates de dioctyle</v>
      </c>
    </row>
    <row r="2982" spans="1:4" x14ac:dyDescent="0.25">
      <c r="A2982" t="str">
        <f>T("   ZZZ_Monde")</f>
        <v xml:space="preserve">   ZZZ_Monde</v>
      </c>
      <c r="B2982" t="str">
        <f>T("   ZZZ_Monde")</f>
        <v xml:space="preserve">   ZZZ_Monde</v>
      </c>
      <c r="C2982">
        <v>1269939</v>
      </c>
      <c r="D2982">
        <v>536</v>
      </c>
    </row>
    <row r="2983" spans="1:4" x14ac:dyDescent="0.25">
      <c r="A2983" t="str">
        <f>T("   FR")</f>
        <v xml:space="preserve">   FR</v>
      </c>
      <c r="B2983" t="str">
        <f>T("   France")</f>
        <v xml:space="preserve">   France</v>
      </c>
      <c r="C2983">
        <v>1269939</v>
      </c>
      <c r="D2983">
        <v>536</v>
      </c>
    </row>
    <row r="2984" spans="1:4" x14ac:dyDescent="0.25">
      <c r="A2984" t="str">
        <f>T("291734")</f>
        <v>291734</v>
      </c>
      <c r="B2984" t="str">
        <f>T("ESTERS DE L'ACIDE ORTHOPHTALIQUE (À L'EXCL. DES ORTHOPHTALATES DE DIOCTYLE, DE DINONYLE OU DE DIDÉCYLE)")</f>
        <v>ESTERS DE L'ACIDE ORTHOPHTALIQUE (À L'EXCL. DES ORTHOPHTALATES DE DIOCTYLE, DE DINONYLE OU DE DIDÉCYLE)</v>
      </c>
    </row>
    <row r="2985" spans="1:4" x14ac:dyDescent="0.25">
      <c r="A2985" t="str">
        <f>T("   ZZZ_Monde")</f>
        <v xml:space="preserve">   ZZZ_Monde</v>
      </c>
      <c r="B2985" t="str">
        <f>T("   ZZZ_Monde")</f>
        <v xml:space="preserve">   ZZZ_Monde</v>
      </c>
      <c r="C2985">
        <v>1399065</v>
      </c>
      <c r="D2985">
        <v>1018</v>
      </c>
    </row>
    <row r="2986" spans="1:4" x14ac:dyDescent="0.25">
      <c r="A2986" t="str">
        <f>T("   BE")</f>
        <v xml:space="preserve">   BE</v>
      </c>
      <c r="B2986" t="str">
        <f>T("   Belgique")</f>
        <v xml:space="preserve">   Belgique</v>
      </c>
      <c r="C2986">
        <v>1399065</v>
      </c>
      <c r="D2986">
        <v>1018</v>
      </c>
    </row>
    <row r="2987" spans="1:4" x14ac:dyDescent="0.25">
      <c r="A2987" t="str">
        <f>T("291814")</f>
        <v>291814</v>
      </c>
      <c r="B2987" t="str">
        <f>T("Acide citrique")</f>
        <v>Acide citrique</v>
      </c>
    </row>
    <row r="2988" spans="1:4" x14ac:dyDescent="0.25">
      <c r="A2988" t="str">
        <f>T("   ZZZ_Monde")</f>
        <v xml:space="preserve">   ZZZ_Monde</v>
      </c>
      <c r="B2988" t="str">
        <f>T("   ZZZ_Monde")</f>
        <v xml:space="preserve">   ZZZ_Monde</v>
      </c>
      <c r="C2988">
        <v>38435945</v>
      </c>
      <c r="D2988">
        <v>28272</v>
      </c>
    </row>
    <row r="2989" spans="1:4" x14ac:dyDescent="0.25">
      <c r="A2989" t="str">
        <f>T("   DE")</f>
        <v xml:space="preserve">   DE</v>
      </c>
      <c r="B2989" t="str">
        <f>T("   Allemagne")</f>
        <v xml:space="preserve">   Allemagne</v>
      </c>
      <c r="C2989">
        <v>8007304</v>
      </c>
      <c r="D2989">
        <v>6048</v>
      </c>
    </row>
    <row r="2990" spans="1:4" x14ac:dyDescent="0.25">
      <c r="A2990" t="str">
        <f>T("   FR")</f>
        <v xml:space="preserve">   FR</v>
      </c>
      <c r="B2990" t="str">
        <f>T("   France")</f>
        <v xml:space="preserve">   France</v>
      </c>
      <c r="C2990">
        <v>19384531</v>
      </c>
      <c r="D2990">
        <v>14160</v>
      </c>
    </row>
    <row r="2991" spans="1:4" x14ac:dyDescent="0.25">
      <c r="A2991" t="str">
        <f>T("   IE")</f>
        <v xml:space="preserve">   IE</v>
      </c>
      <c r="B2991" t="str">
        <f>T("   Irlande")</f>
        <v xml:space="preserve">   Irlande</v>
      </c>
      <c r="C2991">
        <v>11044110</v>
      </c>
      <c r="D2991">
        <v>8064</v>
      </c>
    </row>
    <row r="2992" spans="1:4" x14ac:dyDescent="0.25">
      <c r="A2992" t="str">
        <f>T("291890")</f>
        <v>291890</v>
      </c>
      <c r="B2992" t="str">
        <f>T("Acides carboxyliques contenant des fonctions oxygénées supplémentaires, leurs anhydrides, halogénures, peroxydes, peroxyacides et leurs dérivés halogénés, sulfonés, nitrés ou nitrosés (à l'excl. des acides contenant uniquement la fonction alcool, phénol,")</f>
        <v>Acides carboxyliques contenant des fonctions oxygénées supplémentaires, leurs anhydrides, halogénures, peroxydes, peroxyacides et leurs dérivés halogénés, sulfonés, nitrés ou nitrosés (à l'excl. des acides contenant uniquement la fonction alcool, phénol,</v>
      </c>
    </row>
    <row r="2993" spans="1:4" x14ac:dyDescent="0.25">
      <c r="A2993" t="str">
        <f>T("   ZZZ_Monde")</f>
        <v xml:space="preserve">   ZZZ_Monde</v>
      </c>
      <c r="B2993" t="str">
        <f>T("   ZZZ_Monde")</f>
        <v xml:space="preserve">   ZZZ_Monde</v>
      </c>
      <c r="C2993">
        <v>44604</v>
      </c>
      <c r="D2993">
        <v>1</v>
      </c>
    </row>
    <row r="2994" spans="1:4" x14ac:dyDescent="0.25">
      <c r="A2994" t="str">
        <f>T("   FR")</f>
        <v xml:space="preserve">   FR</v>
      </c>
      <c r="B2994" t="str">
        <f>T("   France")</f>
        <v xml:space="preserve">   France</v>
      </c>
      <c r="C2994">
        <v>44604</v>
      </c>
      <c r="D2994">
        <v>1</v>
      </c>
    </row>
    <row r="2995" spans="1:4" x14ac:dyDescent="0.25">
      <c r="A2995" t="str">
        <f>T("292129")</f>
        <v>292129</v>
      </c>
      <c r="B2995" t="str">
        <f>T("Polyamines acycliques et leurs dérivés; sels de ces produits (à l'excl. de l'éthylènediamine, de l'hexaméthylènediamine et des sels de ces produits)")</f>
        <v>Polyamines acycliques et leurs dérivés; sels de ces produits (à l'excl. de l'éthylènediamine, de l'hexaméthylènediamine et des sels de ces produits)</v>
      </c>
    </row>
    <row r="2996" spans="1:4" x14ac:dyDescent="0.25">
      <c r="A2996" t="str">
        <f>T("   ZZZ_Monde")</f>
        <v xml:space="preserve">   ZZZ_Monde</v>
      </c>
      <c r="B2996" t="str">
        <f>T("   ZZZ_Monde")</f>
        <v xml:space="preserve">   ZZZ_Monde</v>
      </c>
      <c r="C2996">
        <v>5533304</v>
      </c>
      <c r="D2996">
        <v>900</v>
      </c>
    </row>
    <row r="2997" spans="1:4" x14ac:dyDescent="0.25">
      <c r="A2997" t="str">
        <f>T("   CN")</f>
        <v xml:space="preserve">   CN</v>
      </c>
      <c r="B2997" t="str">
        <f>T("   Chine")</f>
        <v xml:space="preserve">   Chine</v>
      </c>
      <c r="C2997">
        <v>5533304</v>
      </c>
      <c r="D2997">
        <v>900</v>
      </c>
    </row>
    <row r="2998" spans="1:4" x14ac:dyDescent="0.25">
      <c r="A2998" t="str">
        <f>T("292241")</f>
        <v>292241</v>
      </c>
      <c r="B2998" t="str">
        <f>T("Lysine et ses esters; sels de ces produits")</f>
        <v>Lysine et ses esters; sels de ces produits</v>
      </c>
    </row>
    <row r="2999" spans="1:4" x14ac:dyDescent="0.25">
      <c r="A2999" t="str">
        <f>T("   ZZZ_Monde")</f>
        <v xml:space="preserve">   ZZZ_Monde</v>
      </c>
      <c r="B2999" t="str">
        <f>T("   ZZZ_Monde")</f>
        <v xml:space="preserve">   ZZZ_Monde</v>
      </c>
      <c r="C2999">
        <v>15428181</v>
      </c>
      <c r="D2999">
        <v>20685</v>
      </c>
    </row>
    <row r="3000" spans="1:4" x14ac:dyDescent="0.25">
      <c r="A3000" t="str">
        <f>T("   BE")</f>
        <v xml:space="preserve">   BE</v>
      </c>
      <c r="B3000" t="str">
        <f>T("   Belgique")</f>
        <v xml:space="preserve">   Belgique</v>
      </c>
      <c r="C3000">
        <v>15428181</v>
      </c>
      <c r="D3000">
        <v>20685</v>
      </c>
    </row>
    <row r="3001" spans="1:4" x14ac:dyDescent="0.25">
      <c r="A3001" t="str">
        <f>T("292242")</f>
        <v>292242</v>
      </c>
      <c r="B3001" t="str">
        <f>T("Acide glutamique et ses sels")</f>
        <v>Acide glutamique et ses sels</v>
      </c>
    </row>
    <row r="3002" spans="1:4" x14ac:dyDescent="0.25">
      <c r="A3002" t="str">
        <f>T("   ZZZ_Monde")</f>
        <v xml:space="preserve">   ZZZ_Monde</v>
      </c>
      <c r="B3002" t="str">
        <f>T("   ZZZ_Monde")</f>
        <v xml:space="preserve">   ZZZ_Monde</v>
      </c>
      <c r="C3002">
        <v>41496770</v>
      </c>
      <c r="D3002">
        <v>148920</v>
      </c>
    </row>
    <row r="3003" spans="1:4" x14ac:dyDescent="0.25">
      <c r="A3003" t="str">
        <f>T("   BR")</f>
        <v xml:space="preserve">   BR</v>
      </c>
      <c r="B3003" t="str">
        <f>T("   Brésil")</f>
        <v xml:space="preserve">   Brésil</v>
      </c>
      <c r="C3003">
        <v>12000480</v>
      </c>
      <c r="D3003">
        <v>40000</v>
      </c>
    </row>
    <row r="3004" spans="1:4" x14ac:dyDescent="0.25">
      <c r="A3004" t="str">
        <f>T("   CN")</f>
        <v xml:space="preserve">   CN</v>
      </c>
      <c r="B3004" t="str">
        <f>T("   Chine")</f>
        <v xml:space="preserve">   Chine</v>
      </c>
      <c r="C3004">
        <v>12000480</v>
      </c>
      <c r="D3004">
        <v>38000</v>
      </c>
    </row>
    <row r="3005" spans="1:4" x14ac:dyDescent="0.25">
      <c r="A3005" t="str">
        <f>T("   TG")</f>
        <v xml:space="preserve">   TG</v>
      </c>
      <c r="B3005" t="str">
        <f>T("   Togo")</f>
        <v xml:space="preserve">   Togo</v>
      </c>
      <c r="C3005">
        <v>17495810</v>
      </c>
      <c r="D3005">
        <v>70920</v>
      </c>
    </row>
    <row r="3006" spans="1:4" x14ac:dyDescent="0.25">
      <c r="A3006" t="str">
        <f>T("292310")</f>
        <v>292310</v>
      </c>
      <c r="B3006" t="str">
        <f>T("Choline et ses sels")</f>
        <v>Choline et ses sels</v>
      </c>
    </row>
    <row r="3007" spans="1:4" x14ac:dyDescent="0.25">
      <c r="A3007" t="str">
        <f>T("   ZZZ_Monde")</f>
        <v xml:space="preserve">   ZZZ_Monde</v>
      </c>
      <c r="B3007" t="str">
        <f>T("   ZZZ_Monde")</f>
        <v xml:space="preserve">   ZZZ_Monde</v>
      </c>
      <c r="C3007">
        <v>17961498</v>
      </c>
      <c r="D3007">
        <v>20126</v>
      </c>
    </row>
    <row r="3008" spans="1:4" x14ac:dyDescent="0.25">
      <c r="A3008" t="str">
        <f>T("   BE")</f>
        <v xml:space="preserve">   BE</v>
      </c>
      <c r="B3008" t="str">
        <f>T("   Belgique")</f>
        <v xml:space="preserve">   Belgique</v>
      </c>
      <c r="C3008">
        <v>17961498</v>
      </c>
      <c r="D3008">
        <v>20126</v>
      </c>
    </row>
    <row r="3009" spans="1:4" x14ac:dyDescent="0.25">
      <c r="A3009" t="str">
        <f>T("292320")</f>
        <v>292320</v>
      </c>
      <c r="B3009" t="str">
        <f>T("Lécithines et autres phosphoaminolipides, de constitution chimique définie ou non")</f>
        <v>Lécithines et autres phosphoaminolipides, de constitution chimique définie ou non</v>
      </c>
    </row>
    <row r="3010" spans="1:4" x14ac:dyDescent="0.25">
      <c r="A3010" t="str">
        <f>T("   ZZZ_Monde")</f>
        <v xml:space="preserve">   ZZZ_Monde</v>
      </c>
      <c r="B3010" t="str">
        <f>T("   ZZZ_Monde")</f>
        <v xml:space="preserve">   ZZZ_Monde</v>
      </c>
      <c r="C3010">
        <v>4091447</v>
      </c>
      <c r="D3010">
        <v>3730</v>
      </c>
    </row>
    <row r="3011" spans="1:4" x14ac:dyDescent="0.25">
      <c r="A3011" t="str">
        <f>T("   CN")</f>
        <v xml:space="preserve">   CN</v>
      </c>
      <c r="B3011" t="str">
        <f>T("   Chine")</f>
        <v xml:space="preserve">   Chine</v>
      </c>
      <c r="C3011">
        <v>605675</v>
      </c>
      <c r="D3011">
        <v>600</v>
      </c>
    </row>
    <row r="3012" spans="1:4" x14ac:dyDescent="0.25">
      <c r="A3012" t="str">
        <f>T("   FR")</f>
        <v xml:space="preserve">   FR</v>
      </c>
      <c r="B3012" t="str">
        <f>T("   France")</f>
        <v xml:space="preserve">   France</v>
      </c>
      <c r="C3012">
        <v>3485772</v>
      </c>
      <c r="D3012">
        <v>3130</v>
      </c>
    </row>
    <row r="3013" spans="1:4" x14ac:dyDescent="0.25">
      <c r="A3013" t="str">
        <f>T("292690")</f>
        <v>292690</v>
      </c>
      <c r="B3013" t="str">
        <f>T("Composés à fonction nitrile (à l'excl. de l'acrylonitrile, de la 1-cyanoguanidine [dicyandiamide], du fenproporex [DCI] et ses sels, et du méthadone [DCI]-intermédiaire [4-cyano-2-diméthylamino-4,4-diphénylbutane])")</f>
        <v>Composés à fonction nitrile (à l'excl. de l'acrylonitrile, de la 1-cyanoguanidine [dicyandiamide], du fenproporex [DCI] et ses sels, et du méthadone [DCI]-intermédiaire [4-cyano-2-diméthylamino-4,4-diphénylbutane])</v>
      </c>
    </row>
    <row r="3014" spans="1:4" x14ac:dyDescent="0.25">
      <c r="A3014" t="str">
        <f>T("   ZZZ_Monde")</f>
        <v xml:space="preserve">   ZZZ_Monde</v>
      </c>
      <c r="B3014" t="str">
        <f>T("   ZZZ_Monde")</f>
        <v xml:space="preserve">   ZZZ_Monde</v>
      </c>
      <c r="C3014">
        <v>57725</v>
      </c>
      <c r="D3014">
        <v>15</v>
      </c>
    </row>
    <row r="3015" spans="1:4" x14ac:dyDescent="0.25">
      <c r="A3015" t="str">
        <f>T("   FR")</f>
        <v xml:space="preserve">   FR</v>
      </c>
      <c r="B3015" t="str">
        <f>T("   France")</f>
        <v xml:space="preserve">   France</v>
      </c>
      <c r="C3015">
        <v>57725</v>
      </c>
      <c r="D3015">
        <v>15</v>
      </c>
    </row>
    <row r="3016" spans="1:4" x14ac:dyDescent="0.25">
      <c r="A3016" t="str">
        <f>T("292800")</f>
        <v>292800</v>
      </c>
      <c r="B3016" t="str">
        <f>T("Dérivés organiques de l'hydrazine ou de l'hydroxylamine")</f>
        <v>Dérivés organiques de l'hydrazine ou de l'hydroxylamine</v>
      </c>
    </row>
    <row r="3017" spans="1:4" x14ac:dyDescent="0.25">
      <c r="A3017" t="str">
        <f>T("   ZZZ_Monde")</f>
        <v xml:space="preserve">   ZZZ_Monde</v>
      </c>
      <c r="B3017" t="str">
        <f>T("   ZZZ_Monde")</f>
        <v xml:space="preserve">   ZZZ_Monde</v>
      </c>
      <c r="C3017">
        <v>462957</v>
      </c>
      <c r="D3017">
        <v>200</v>
      </c>
    </row>
    <row r="3018" spans="1:4" x14ac:dyDescent="0.25">
      <c r="A3018" t="str">
        <f>T("   CN")</f>
        <v xml:space="preserve">   CN</v>
      </c>
      <c r="B3018" t="str">
        <f>T("   Chine")</f>
        <v xml:space="preserve">   Chine</v>
      </c>
      <c r="C3018">
        <v>462957</v>
      </c>
      <c r="D3018">
        <v>200</v>
      </c>
    </row>
    <row r="3019" spans="1:4" x14ac:dyDescent="0.25">
      <c r="A3019" t="str">
        <f>T("292910")</f>
        <v>292910</v>
      </c>
      <c r="B3019" t="str">
        <f>T("Isocyanates")</f>
        <v>Isocyanates</v>
      </c>
    </row>
    <row r="3020" spans="1:4" x14ac:dyDescent="0.25">
      <c r="A3020" t="str">
        <f>T("   ZZZ_Monde")</f>
        <v xml:space="preserve">   ZZZ_Monde</v>
      </c>
      <c r="B3020" t="str">
        <f>T("   ZZZ_Monde")</f>
        <v xml:space="preserve">   ZZZ_Monde</v>
      </c>
      <c r="C3020">
        <v>589731164</v>
      </c>
      <c r="D3020">
        <v>383708</v>
      </c>
    </row>
    <row r="3021" spans="1:4" x14ac:dyDescent="0.25">
      <c r="A3021" t="str">
        <f>T("   CH")</f>
        <v xml:space="preserve">   CH</v>
      </c>
      <c r="B3021" t="str">
        <f>T("   Suisse")</f>
        <v xml:space="preserve">   Suisse</v>
      </c>
      <c r="C3021">
        <v>193843398</v>
      </c>
      <c r="D3021">
        <v>140000</v>
      </c>
    </row>
    <row r="3022" spans="1:4" x14ac:dyDescent="0.25">
      <c r="A3022" t="str">
        <f>T("   CN")</f>
        <v xml:space="preserve">   CN</v>
      </c>
      <c r="B3022" t="str">
        <f>T("   Chine")</f>
        <v xml:space="preserve">   Chine</v>
      </c>
      <c r="C3022">
        <v>38094386</v>
      </c>
      <c r="D3022">
        <v>20000</v>
      </c>
    </row>
    <row r="3023" spans="1:4" x14ac:dyDescent="0.25">
      <c r="A3023" t="str">
        <f>T("   DE")</f>
        <v xml:space="preserve">   DE</v>
      </c>
      <c r="B3023" t="str">
        <f>T("   Allemagne")</f>
        <v xml:space="preserve">   Allemagne</v>
      </c>
      <c r="C3023">
        <v>64490051</v>
      </c>
      <c r="D3023">
        <v>40000</v>
      </c>
    </row>
    <row r="3024" spans="1:4" x14ac:dyDescent="0.25">
      <c r="A3024" t="str">
        <f>T("   FR")</f>
        <v xml:space="preserve">   FR</v>
      </c>
      <c r="B3024" t="str">
        <f>T("   France")</f>
        <v xml:space="preserve">   France</v>
      </c>
      <c r="C3024">
        <v>265097049</v>
      </c>
      <c r="D3024">
        <v>162188</v>
      </c>
    </row>
    <row r="3025" spans="1:4" x14ac:dyDescent="0.25">
      <c r="A3025" t="str">
        <f>T("   JP")</f>
        <v xml:space="preserve">   JP</v>
      </c>
      <c r="B3025" t="str">
        <f>T("   Japon")</f>
        <v xml:space="preserve">   Japon</v>
      </c>
      <c r="C3025">
        <v>28206280</v>
      </c>
      <c r="D3025">
        <v>21520</v>
      </c>
    </row>
    <row r="3026" spans="1:4" x14ac:dyDescent="0.25">
      <c r="A3026" t="str">
        <f>T("292990")</f>
        <v>292990</v>
      </c>
      <c r="B3026" t="str">
        <f>T("Composés à fonctions azotées (sauf isocyanates, composés aminés à fonctions oxygénées, sels et hydroxydes organiques d'ammonium quaternaires, lécithines et autres phosphoaminolipides, composés à fonction amide de l'acide carbonique, composés à fonction am")</f>
        <v>Composés à fonctions azotées (sauf isocyanates, composés aminés à fonctions oxygénées, sels et hydroxydes organiques d'ammonium quaternaires, lécithines et autres phosphoaminolipides, composés à fonction amide de l'acide carbonique, composés à fonction am</v>
      </c>
    </row>
    <row r="3027" spans="1:4" x14ac:dyDescent="0.25">
      <c r="A3027" t="str">
        <f>T("   ZZZ_Monde")</f>
        <v xml:space="preserve">   ZZZ_Monde</v>
      </c>
      <c r="B3027" t="str">
        <f>T("   ZZZ_Monde")</f>
        <v xml:space="preserve">   ZZZ_Monde</v>
      </c>
      <c r="C3027">
        <v>40051056</v>
      </c>
      <c r="D3027">
        <v>20000</v>
      </c>
    </row>
    <row r="3028" spans="1:4" x14ac:dyDescent="0.25">
      <c r="A3028" t="str">
        <f>T("   JP")</f>
        <v xml:space="preserve">   JP</v>
      </c>
      <c r="B3028" t="str">
        <f>T("   Japon")</f>
        <v xml:space="preserve">   Japon</v>
      </c>
      <c r="C3028">
        <v>40051056</v>
      </c>
      <c r="D3028">
        <v>20000</v>
      </c>
    </row>
    <row r="3029" spans="1:4" x14ac:dyDescent="0.25">
      <c r="A3029" t="str">
        <f>T("293040")</f>
        <v>293040</v>
      </c>
      <c r="B3029" t="str">
        <f>T("Méthionine")</f>
        <v>Méthionine</v>
      </c>
    </row>
    <row r="3030" spans="1:4" x14ac:dyDescent="0.25">
      <c r="A3030" t="str">
        <f>T("   ZZZ_Monde")</f>
        <v xml:space="preserve">   ZZZ_Monde</v>
      </c>
      <c r="B3030" t="str">
        <f>T("   ZZZ_Monde")</f>
        <v xml:space="preserve">   ZZZ_Monde</v>
      </c>
      <c r="C3030">
        <v>38230662</v>
      </c>
      <c r="D3030">
        <v>32225</v>
      </c>
    </row>
    <row r="3031" spans="1:4" x14ac:dyDescent="0.25">
      <c r="A3031" t="str">
        <f>T("   BE")</f>
        <v xml:space="preserve">   BE</v>
      </c>
      <c r="B3031" t="str">
        <f>T("   Belgique")</f>
        <v xml:space="preserve">   Belgique</v>
      </c>
      <c r="C3031">
        <v>38230662</v>
      </c>
      <c r="D3031">
        <v>32225</v>
      </c>
    </row>
    <row r="3032" spans="1:4" x14ac:dyDescent="0.25">
      <c r="A3032" t="str">
        <f>T("293090")</f>
        <v>293090</v>
      </c>
      <c r="B3032" t="str">
        <f>T("THIOCOMPOSÉS ORGANIQUES (À L'EXCL. DES THIOCARBAMATES, DES DITHIOCARBAMATES, DES MONO-, DI- OU TÉTRASULFURES DE THIOURAME, DE LA MÉTHIONINE, DU CAPTAFOL [ISO] AINSI QUE DU MÉTHAMIDOPHOS [ISO])")</f>
        <v>THIOCOMPOSÉS ORGANIQUES (À L'EXCL. DES THIOCARBAMATES, DES DITHIOCARBAMATES, DES MONO-, DI- OU TÉTRASULFURES DE THIOURAME, DE LA MÉTHIONINE, DU CAPTAFOL [ISO] AINSI QUE DU MÉTHAMIDOPHOS [ISO])</v>
      </c>
    </row>
    <row r="3033" spans="1:4" x14ac:dyDescent="0.25">
      <c r="A3033" t="str">
        <f>T("   ZZZ_Monde")</f>
        <v xml:space="preserve">   ZZZ_Monde</v>
      </c>
      <c r="B3033" t="str">
        <f>T("   ZZZ_Monde")</f>
        <v xml:space="preserve">   ZZZ_Monde</v>
      </c>
      <c r="C3033">
        <v>11039151</v>
      </c>
      <c r="D3033">
        <v>23641</v>
      </c>
    </row>
    <row r="3034" spans="1:4" x14ac:dyDescent="0.25">
      <c r="A3034" t="str">
        <f>T("   BE")</f>
        <v xml:space="preserve">   BE</v>
      </c>
      <c r="B3034" t="str">
        <f>T("   Belgique")</f>
        <v xml:space="preserve">   Belgique</v>
      </c>
      <c r="C3034">
        <v>11039151</v>
      </c>
      <c r="D3034">
        <v>23641</v>
      </c>
    </row>
    <row r="3035" spans="1:4" x14ac:dyDescent="0.25">
      <c r="A3035" t="str">
        <f>T("293361")</f>
        <v>293361</v>
      </c>
      <c r="B3035" t="str">
        <f>T("Mélamine")</f>
        <v>Mélamine</v>
      </c>
    </row>
    <row r="3036" spans="1:4" x14ac:dyDescent="0.25">
      <c r="A3036" t="str">
        <f>T("   ZZZ_Monde")</f>
        <v xml:space="preserve">   ZZZ_Monde</v>
      </c>
      <c r="B3036" t="str">
        <f>T("   ZZZ_Monde")</f>
        <v xml:space="preserve">   ZZZ_Monde</v>
      </c>
      <c r="C3036">
        <v>2975325</v>
      </c>
      <c r="D3036">
        <v>4990</v>
      </c>
    </row>
    <row r="3037" spans="1:4" x14ac:dyDescent="0.25">
      <c r="A3037" t="str">
        <f>T("   CN")</f>
        <v xml:space="preserve">   CN</v>
      </c>
      <c r="B3037" t="str">
        <f>T("   Chine")</f>
        <v xml:space="preserve">   Chine</v>
      </c>
      <c r="C3037">
        <v>2975325</v>
      </c>
      <c r="D3037">
        <v>4990</v>
      </c>
    </row>
    <row r="3038" spans="1:4" x14ac:dyDescent="0.25">
      <c r="A3038" t="str">
        <f>T("293369")</f>
        <v>293369</v>
      </c>
      <c r="B3038" t="str">
        <f>T("COMPOSÉS HÉTÉROCYCLIQUES À HÉTÉROATOME[S] D'AZOTE EXCLUSIVEMENT, DONT LA STRUCTURE COMPORTE UN CYCLE TRIAZINE, HYDROGÉNÉ OU NON, NON-CONDENSÉ (À L'EXCL. DE LA MÉLAMINE)")</f>
        <v>COMPOSÉS HÉTÉROCYCLIQUES À HÉTÉROATOME[S] D'AZOTE EXCLUSIVEMENT, DONT LA STRUCTURE COMPORTE UN CYCLE TRIAZINE, HYDROGÉNÉ OU NON, NON-CONDENSÉ (À L'EXCL. DE LA MÉLAMINE)</v>
      </c>
    </row>
    <row r="3039" spans="1:4" x14ac:dyDescent="0.25">
      <c r="A3039" t="str">
        <f>T("   ZZZ_Monde")</f>
        <v xml:space="preserve">   ZZZ_Monde</v>
      </c>
      <c r="B3039" t="str">
        <f>T("   ZZZ_Monde")</f>
        <v xml:space="preserve">   ZZZ_Monde</v>
      </c>
      <c r="C3039">
        <v>598892</v>
      </c>
      <c r="D3039">
        <v>234</v>
      </c>
    </row>
    <row r="3040" spans="1:4" x14ac:dyDescent="0.25">
      <c r="A3040" t="str">
        <f>T("   FR")</f>
        <v xml:space="preserve">   FR</v>
      </c>
      <c r="B3040" t="str">
        <f>T("   France")</f>
        <v xml:space="preserve">   France</v>
      </c>
      <c r="C3040">
        <v>598892</v>
      </c>
      <c r="D3040">
        <v>234</v>
      </c>
    </row>
    <row r="3041" spans="1:4" x14ac:dyDescent="0.25">
      <c r="A3041" t="str">
        <f>T("293399")</f>
        <v>293399</v>
      </c>
      <c r="B3041" t="str">
        <f>T("Composés hétérocycliques à hétéroatome[s] d'azote exclusivement (à l'excl. des composés comportant une structure à cycles quinoléine ou isoquinoléine, hydrogénés ou non, sans autres condensations ainsi que des composés dont la structure comporte un cycle")</f>
        <v>Composés hétérocycliques à hétéroatome[s] d'azote exclusivement (à l'excl. des composés comportant une structure à cycles quinoléine ou isoquinoléine, hydrogénés ou non, sans autres condensations ainsi que des composés dont la structure comporte un cycle</v>
      </c>
    </row>
    <row r="3042" spans="1:4" x14ac:dyDescent="0.25">
      <c r="A3042" t="str">
        <f>T("   ZZZ_Monde")</f>
        <v xml:space="preserve">   ZZZ_Monde</v>
      </c>
      <c r="B3042" t="str">
        <f>T("   ZZZ_Monde")</f>
        <v xml:space="preserve">   ZZZ_Monde</v>
      </c>
      <c r="C3042">
        <v>104118</v>
      </c>
      <c r="D3042">
        <v>435</v>
      </c>
    </row>
    <row r="3043" spans="1:4" x14ac:dyDescent="0.25">
      <c r="A3043" t="str">
        <f>T("   TG")</f>
        <v xml:space="preserve">   TG</v>
      </c>
      <c r="B3043" t="str">
        <f>T("   Togo")</f>
        <v xml:space="preserve">   Togo</v>
      </c>
      <c r="C3043">
        <v>104118</v>
      </c>
      <c r="D3043">
        <v>435</v>
      </c>
    </row>
    <row r="3044" spans="1:4" x14ac:dyDescent="0.25">
      <c r="A3044" t="str">
        <f>T("293420")</f>
        <v>293420</v>
      </c>
      <c r="B3044" t="str">
        <f>T("COMPOSÉS HÉTÉROCYCLIQUES COMPORTANT UNE STRUCTURE À CYCLES BENZOTHIAZOLE, HYDROGÉNÉS OU NON, SANS AUTRES CONDENSATIONS (À L'EXCL. DES COMPOSÉS INORGANIQUES OU ORGANIQUES DU MERCURE)")</f>
        <v>COMPOSÉS HÉTÉROCYCLIQUES COMPORTANT UNE STRUCTURE À CYCLES BENZOTHIAZOLE, HYDROGÉNÉS OU NON, SANS AUTRES CONDENSATIONS (À L'EXCL. DES COMPOSÉS INORGANIQUES OU ORGANIQUES DU MERCURE)</v>
      </c>
    </row>
    <row r="3045" spans="1:4" x14ac:dyDescent="0.25">
      <c r="A3045" t="str">
        <f>T("   ZZZ_Monde")</f>
        <v xml:space="preserve">   ZZZ_Monde</v>
      </c>
      <c r="B3045" t="str">
        <f>T("   ZZZ_Monde")</f>
        <v xml:space="preserve">   ZZZ_Monde</v>
      </c>
      <c r="C3045">
        <v>56480604</v>
      </c>
      <c r="D3045">
        <v>362552</v>
      </c>
    </row>
    <row r="3046" spans="1:4" x14ac:dyDescent="0.25">
      <c r="A3046" t="str">
        <f>T("   CN")</f>
        <v xml:space="preserve">   CN</v>
      </c>
      <c r="B3046" t="str">
        <f>T("   Chine")</f>
        <v xml:space="preserve">   Chine</v>
      </c>
      <c r="C3046">
        <v>38131175</v>
      </c>
      <c r="D3046">
        <v>282080</v>
      </c>
    </row>
    <row r="3047" spans="1:4" x14ac:dyDescent="0.25">
      <c r="A3047" t="str">
        <f>T("   DE")</f>
        <v xml:space="preserve">   DE</v>
      </c>
      <c r="B3047" t="str">
        <f>T("   Allemagne")</f>
        <v xml:space="preserve">   Allemagne</v>
      </c>
      <c r="C3047">
        <v>9335104</v>
      </c>
      <c r="D3047">
        <v>40248</v>
      </c>
    </row>
    <row r="3048" spans="1:4" x14ac:dyDescent="0.25">
      <c r="A3048" t="str">
        <f>T("   ID")</f>
        <v xml:space="preserve">   ID</v>
      </c>
      <c r="B3048" t="str">
        <f>T("   Indonésie")</f>
        <v xml:space="preserve">   Indonésie</v>
      </c>
      <c r="C3048">
        <v>9014325</v>
      </c>
      <c r="D3048">
        <v>40224</v>
      </c>
    </row>
    <row r="3049" spans="1:4" x14ac:dyDescent="0.25">
      <c r="A3049" t="str">
        <f>T("293499")</f>
        <v>293499</v>
      </c>
      <c r="B3049" t="str">
        <f>T("Acides nucléiques et leurs sels, de constitution chimique définie ou non; composés hétérocycliques (à l'excl. des composés à hétératome[s] d'oxygène exclusivement ou des composés à hétératome[s] d'azote exclusivement, des composés dont la structure compor")</f>
        <v>Acides nucléiques et leurs sels, de constitution chimique définie ou non; composés hétérocycliques (à l'excl. des composés à hétératome[s] d'oxygène exclusivement ou des composés à hétératome[s] d'azote exclusivement, des composés dont la structure compor</v>
      </c>
    </row>
    <row r="3050" spans="1:4" x14ac:dyDescent="0.25">
      <c r="A3050" t="str">
        <f>T("   ZZZ_Monde")</f>
        <v xml:space="preserve">   ZZZ_Monde</v>
      </c>
      <c r="B3050" t="str">
        <f>T("   ZZZ_Monde")</f>
        <v xml:space="preserve">   ZZZ_Monde</v>
      </c>
      <c r="C3050">
        <v>4738655</v>
      </c>
      <c r="D3050">
        <v>425</v>
      </c>
    </row>
    <row r="3051" spans="1:4" x14ac:dyDescent="0.25">
      <c r="A3051" t="str">
        <f>T("   BE")</f>
        <v xml:space="preserve">   BE</v>
      </c>
      <c r="B3051" t="str">
        <f>T("   Belgique")</f>
        <v xml:space="preserve">   Belgique</v>
      </c>
      <c r="C3051">
        <v>4738655</v>
      </c>
      <c r="D3051">
        <v>425</v>
      </c>
    </row>
    <row r="3052" spans="1:4" x14ac:dyDescent="0.25">
      <c r="A3052" t="str">
        <f>T("293621")</f>
        <v>293621</v>
      </c>
      <c r="B3052" t="str">
        <f>T("Vitamines A et leurs dérivés utilisés principalement en tant que vitamines")</f>
        <v>Vitamines A et leurs dérivés utilisés principalement en tant que vitamines</v>
      </c>
    </row>
    <row r="3053" spans="1:4" x14ac:dyDescent="0.25">
      <c r="A3053" t="str">
        <f>T("   ZZZ_Monde")</f>
        <v xml:space="preserve">   ZZZ_Monde</v>
      </c>
      <c r="B3053" t="str">
        <f>T("   ZZZ_Monde")</f>
        <v xml:space="preserve">   ZZZ_Monde</v>
      </c>
      <c r="C3053">
        <v>33239723</v>
      </c>
      <c r="D3053">
        <v>1135</v>
      </c>
    </row>
    <row r="3054" spans="1:4" x14ac:dyDescent="0.25">
      <c r="A3054" t="str">
        <f>T("   BE")</f>
        <v xml:space="preserve">   BE</v>
      </c>
      <c r="B3054" t="str">
        <f>T("   Belgique")</f>
        <v xml:space="preserve">   Belgique</v>
      </c>
      <c r="C3054">
        <v>33239723</v>
      </c>
      <c r="D3054">
        <v>1135</v>
      </c>
    </row>
    <row r="3055" spans="1:4" x14ac:dyDescent="0.25">
      <c r="A3055" t="str">
        <f>T("293626")</f>
        <v>293626</v>
      </c>
      <c r="B3055" t="str">
        <f>T("Vitamine B12 et ses dérivés utilisés principalement en tant que vitamines")</f>
        <v>Vitamine B12 et ses dérivés utilisés principalement en tant que vitamines</v>
      </c>
    </row>
    <row r="3056" spans="1:4" x14ac:dyDescent="0.25">
      <c r="A3056" t="str">
        <f>T("   ZZZ_Monde")</f>
        <v xml:space="preserve">   ZZZ_Monde</v>
      </c>
      <c r="B3056" t="str">
        <f>T("   ZZZ_Monde")</f>
        <v xml:space="preserve">   ZZZ_Monde</v>
      </c>
      <c r="C3056">
        <v>42506</v>
      </c>
      <c r="D3056">
        <v>6</v>
      </c>
    </row>
    <row r="3057" spans="1:4" x14ac:dyDescent="0.25">
      <c r="A3057" t="str">
        <f>T("   DE")</f>
        <v xml:space="preserve">   DE</v>
      </c>
      <c r="B3057" t="str">
        <f>T("   Allemagne")</f>
        <v xml:space="preserve">   Allemagne</v>
      </c>
      <c r="C3057">
        <v>42506</v>
      </c>
      <c r="D3057">
        <v>6</v>
      </c>
    </row>
    <row r="3058" spans="1:4" x14ac:dyDescent="0.25">
      <c r="A3058" t="str">
        <f>T("293627")</f>
        <v>293627</v>
      </c>
      <c r="B3058" t="str">
        <f>T("Vitamine C et ses dérivés utilisés principalement en tant que vitamines")</f>
        <v>Vitamine C et ses dérivés utilisés principalement en tant que vitamines</v>
      </c>
    </row>
    <row r="3059" spans="1:4" x14ac:dyDescent="0.25">
      <c r="A3059" t="str">
        <f>T("   ZZZ_Monde")</f>
        <v xml:space="preserve">   ZZZ_Monde</v>
      </c>
      <c r="B3059" t="str">
        <f>T("   ZZZ_Monde")</f>
        <v xml:space="preserve">   ZZZ_Monde</v>
      </c>
      <c r="C3059">
        <v>22612006</v>
      </c>
      <c r="D3059">
        <v>4029</v>
      </c>
    </row>
    <row r="3060" spans="1:4" x14ac:dyDescent="0.25">
      <c r="A3060" t="str">
        <f>T("   CH")</f>
        <v xml:space="preserve">   CH</v>
      </c>
      <c r="B3060" t="str">
        <f>T("   Suisse")</f>
        <v xml:space="preserve">   Suisse</v>
      </c>
      <c r="C3060">
        <v>6494627</v>
      </c>
      <c r="D3060">
        <v>564</v>
      </c>
    </row>
    <row r="3061" spans="1:4" x14ac:dyDescent="0.25">
      <c r="A3061" t="str">
        <f>T("   FR")</f>
        <v xml:space="preserve">   FR</v>
      </c>
      <c r="B3061" t="str">
        <f>T("   France")</f>
        <v xml:space="preserve">   France</v>
      </c>
      <c r="C3061">
        <v>16117379</v>
      </c>
      <c r="D3061">
        <v>3465</v>
      </c>
    </row>
    <row r="3062" spans="1:4" x14ac:dyDescent="0.25">
      <c r="A3062" t="str">
        <f>T("293629")</f>
        <v>293629</v>
      </c>
      <c r="B3062" t="str">
        <f>T("VITAMINES ET LEURS DÉRIVÉS UTILISÉS PRINCIPALEMENT EN TANT QUE VITAMINES, NON-MÉLANGÉS (À L'EXCL. DES VITAMINES A, B1, B2, B3, B5, B6, B12, C ET E AINSI QUE DES DÉRIVÉS DE CES VITAMINES)")</f>
        <v>VITAMINES ET LEURS DÉRIVÉS UTILISÉS PRINCIPALEMENT EN TANT QUE VITAMINES, NON-MÉLANGÉS (À L'EXCL. DES VITAMINES A, B1, B2, B3, B5, B6, B12, C ET E AINSI QUE DES DÉRIVÉS DE CES VITAMINES)</v>
      </c>
    </row>
    <row r="3063" spans="1:4" x14ac:dyDescent="0.25">
      <c r="A3063" t="str">
        <f>T("   ZZZ_Monde")</f>
        <v xml:space="preserve">   ZZZ_Monde</v>
      </c>
      <c r="B3063" t="str">
        <f>T("   ZZZ_Monde")</f>
        <v xml:space="preserve">   ZZZ_Monde</v>
      </c>
      <c r="C3063">
        <v>23889262</v>
      </c>
      <c r="D3063">
        <v>6039</v>
      </c>
    </row>
    <row r="3064" spans="1:4" x14ac:dyDescent="0.25">
      <c r="A3064" t="str">
        <f>T("   FR")</f>
        <v xml:space="preserve">   FR</v>
      </c>
      <c r="B3064" t="str">
        <f>T("   France")</f>
        <v xml:space="preserve">   France</v>
      </c>
      <c r="C3064">
        <v>14371427</v>
      </c>
      <c r="D3064">
        <v>5679</v>
      </c>
    </row>
    <row r="3065" spans="1:4" x14ac:dyDescent="0.25">
      <c r="A3065" t="str">
        <f>T("   GB")</f>
        <v xml:space="preserve">   GB</v>
      </c>
      <c r="B3065" t="str">
        <f>T("   Royaume-Uni")</f>
        <v xml:space="preserve">   Royaume-Uni</v>
      </c>
      <c r="C3065">
        <v>9517835</v>
      </c>
      <c r="D3065">
        <v>360</v>
      </c>
    </row>
    <row r="3066" spans="1:4" x14ac:dyDescent="0.25">
      <c r="A3066" t="str">
        <f>T("293690")</f>
        <v>293690</v>
      </c>
      <c r="B3066" t="str">
        <f>T("Mélanges de provitamines ou de vitamines, même en solutions quelconques, et concentrats naturels de vitamines")</f>
        <v>Mélanges de provitamines ou de vitamines, même en solutions quelconques, et concentrats naturels de vitamines</v>
      </c>
    </row>
    <row r="3067" spans="1:4" x14ac:dyDescent="0.25">
      <c r="A3067" t="str">
        <f>T("   ZZZ_Monde")</f>
        <v xml:space="preserve">   ZZZ_Monde</v>
      </c>
      <c r="B3067" t="str">
        <f>T("   ZZZ_Monde")</f>
        <v xml:space="preserve">   ZZZ_Monde</v>
      </c>
      <c r="C3067">
        <v>23584133</v>
      </c>
      <c r="D3067">
        <v>5117</v>
      </c>
    </row>
    <row r="3068" spans="1:4" x14ac:dyDescent="0.25">
      <c r="A3068" t="str">
        <f>T("   FR")</f>
        <v xml:space="preserve">   FR</v>
      </c>
      <c r="B3068" t="str">
        <f>T("   France")</f>
        <v xml:space="preserve">   France</v>
      </c>
      <c r="C3068">
        <v>23584133</v>
      </c>
      <c r="D3068">
        <v>5117</v>
      </c>
    </row>
    <row r="3069" spans="1:4" x14ac:dyDescent="0.25">
      <c r="A3069" t="str">
        <f>T("294000")</f>
        <v>294000</v>
      </c>
      <c r="B3069" t="str">
        <f>T("Sucres chimiquement purs (à l'excl. du saccharose, du lactose, du maltose, du glucose et du fructose [lévulose]); éthers, acétals et esters de sucres et leurs sels (à l'excl. des provitamines, des vitamines, des hormones, des hétérosides et des alcaloïdes")</f>
        <v>Sucres chimiquement purs (à l'excl. du saccharose, du lactose, du maltose, du glucose et du fructose [lévulose]); éthers, acétals et esters de sucres et leurs sels (à l'excl. des provitamines, des vitamines, des hormones, des hétérosides et des alcaloïdes</v>
      </c>
    </row>
    <row r="3070" spans="1:4" x14ac:dyDescent="0.25">
      <c r="A3070" t="str">
        <f>T("   ZZZ_Monde")</f>
        <v xml:space="preserve">   ZZZ_Monde</v>
      </c>
      <c r="B3070" t="str">
        <f>T("   ZZZ_Monde")</f>
        <v xml:space="preserve">   ZZZ_Monde</v>
      </c>
      <c r="C3070">
        <v>3068581</v>
      </c>
      <c r="D3070">
        <v>144</v>
      </c>
    </row>
    <row r="3071" spans="1:4" x14ac:dyDescent="0.25">
      <c r="A3071" t="str">
        <f>T("   TN")</f>
        <v xml:space="preserve">   TN</v>
      </c>
      <c r="B3071" t="str">
        <f>T("   Tunisie")</f>
        <v xml:space="preserve">   Tunisie</v>
      </c>
      <c r="C3071">
        <v>3068581</v>
      </c>
      <c r="D3071">
        <v>144</v>
      </c>
    </row>
    <row r="3072" spans="1:4" x14ac:dyDescent="0.25">
      <c r="A3072" t="str">
        <f>T("294190")</f>
        <v>294190</v>
      </c>
      <c r="B3072" t="str">
        <f>T("ANTIBIOTIQUES (À L'EXCL. DES PÉNICILLINES ET DE LEURS DÉRIVÉS À STRUCTURE D'ACIDE PÉNICILLANIQUE, DES STREPTOMYCINES, DES TÉTRACYCLINES, DU CHLORAMPHÉNICOL, DE L'ÉRYÈROMYCINE, DE LEURS DÉRIVÉS ET DES SELS DE TOUS CES PRODUITS)")</f>
        <v>ANTIBIOTIQUES (À L'EXCL. DES PÉNICILLINES ET DE LEURS DÉRIVÉS À STRUCTURE D'ACIDE PÉNICILLANIQUE, DES STREPTOMYCINES, DES TÉTRACYCLINES, DU CHLORAMPHÉNICOL, DE L'ÉRYÈROMYCINE, DE LEURS DÉRIVÉS ET DES SELS DE TOUS CES PRODUITS)</v>
      </c>
    </row>
    <row r="3073" spans="1:4" x14ac:dyDescent="0.25">
      <c r="A3073" t="str">
        <f>T("   ZZZ_Monde")</f>
        <v xml:space="preserve">   ZZZ_Monde</v>
      </c>
      <c r="B3073" t="str">
        <f>T("   ZZZ_Monde")</f>
        <v xml:space="preserve">   ZZZ_Monde</v>
      </c>
      <c r="C3073">
        <v>1433273</v>
      </c>
      <c r="D3073">
        <v>2018</v>
      </c>
    </row>
    <row r="3074" spans="1:4" x14ac:dyDescent="0.25">
      <c r="A3074" t="str">
        <f>T("   BE")</f>
        <v xml:space="preserve">   BE</v>
      </c>
      <c r="B3074" t="str">
        <f>T("   Belgique")</f>
        <v xml:space="preserve">   Belgique</v>
      </c>
      <c r="C3074">
        <v>1433273</v>
      </c>
      <c r="D3074">
        <v>2018</v>
      </c>
    </row>
    <row r="3075" spans="1:4" x14ac:dyDescent="0.25">
      <c r="A3075" t="str">
        <f>T("294200")</f>
        <v>294200</v>
      </c>
      <c r="B3075" t="str">
        <f>T("Composés organiques de constitution chimique définie présentés isolément, n.d.a.")</f>
        <v>Composés organiques de constitution chimique définie présentés isolément, n.d.a.</v>
      </c>
    </row>
    <row r="3076" spans="1:4" x14ac:dyDescent="0.25">
      <c r="A3076" t="str">
        <f>T("   ZZZ_Monde")</f>
        <v xml:space="preserve">   ZZZ_Monde</v>
      </c>
      <c r="B3076" t="str">
        <f>T("   ZZZ_Monde")</f>
        <v xml:space="preserve">   ZZZ_Monde</v>
      </c>
      <c r="C3076">
        <v>1560048</v>
      </c>
      <c r="D3076">
        <v>1599</v>
      </c>
    </row>
    <row r="3077" spans="1:4" x14ac:dyDescent="0.25">
      <c r="A3077" t="str">
        <f>T("   FR")</f>
        <v xml:space="preserve">   FR</v>
      </c>
      <c r="B3077" t="str">
        <f>T("   France")</f>
        <v xml:space="preserve">   France</v>
      </c>
      <c r="C3077">
        <v>1304048</v>
      </c>
      <c r="D3077">
        <v>299</v>
      </c>
    </row>
    <row r="3078" spans="1:4" x14ac:dyDescent="0.25">
      <c r="A3078" t="str">
        <f>T("   NG")</f>
        <v xml:space="preserve">   NG</v>
      </c>
      <c r="B3078" t="str">
        <f>T("   Nigéria")</f>
        <v xml:space="preserve">   Nigéria</v>
      </c>
      <c r="C3078">
        <v>256000</v>
      </c>
      <c r="D3078">
        <v>1300</v>
      </c>
    </row>
    <row r="3079" spans="1:4" x14ac:dyDescent="0.25">
      <c r="A3079" t="str">
        <f>T("300210")</f>
        <v>300210</v>
      </c>
      <c r="B3079" t="str">
        <f>T("Antisérums, autres fractions du sang, produits immunologiques modifiés, même obtenus par voie biotechnologique")</f>
        <v>Antisérums, autres fractions du sang, produits immunologiques modifiés, même obtenus par voie biotechnologique</v>
      </c>
    </row>
    <row r="3080" spans="1:4" x14ac:dyDescent="0.25">
      <c r="A3080" t="str">
        <f>T("   ZZZ_Monde")</f>
        <v xml:space="preserve">   ZZZ_Monde</v>
      </c>
      <c r="B3080" t="str">
        <f>T("   ZZZ_Monde")</f>
        <v xml:space="preserve">   ZZZ_Monde</v>
      </c>
      <c r="C3080">
        <v>49877504</v>
      </c>
      <c r="D3080">
        <v>284</v>
      </c>
    </row>
    <row r="3081" spans="1:4" x14ac:dyDescent="0.25">
      <c r="A3081" t="str">
        <f>T("   DE")</f>
        <v xml:space="preserve">   DE</v>
      </c>
      <c r="B3081" t="str">
        <f>T("   Allemagne")</f>
        <v xml:space="preserve">   Allemagne</v>
      </c>
      <c r="C3081">
        <v>6736004</v>
      </c>
      <c r="D3081">
        <v>90</v>
      </c>
    </row>
    <row r="3082" spans="1:4" x14ac:dyDescent="0.25">
      <c r="A3082" t="str">
        <f>T("   JM")</f>
        <v xml:space="preserve">   JM</v>
      </c>
      <c r="B3082" t="str">
        <f>T("   Jamaïque")</f>
        <v xml:space="preserve">   Jamaïque</v>
      </c>
      <c r="C3082">
        <v>43141500</v>
      </c>
      <c r="D3082">
        <v>194</v>
      </c>
    </row>
    <row r="3083" spans="1:4" x14ac:dyDescent="0.25">
      <c r="A3083" t="str">
        <f>T("300220")</f>
        <v>300220</v>
      </c>
      <c r="B3083" t="str">
        <f>T("Vaccins pour la médecine humaine")</f>
        <v>Vaccins pour la médecine humaine</v>
      </c>
    </row>
    <row r="3084" spans="1:4" x14ac:dyDescent="0.25">
      <c r="A3084" t="str">
        <f>T("   ZZZ_Monde")</f>
        <v xml:space="preserve">   ZZZ_Monde</v>
      </c>
      <c r="B3084" t="str">
        <f>T("   ZZZ_Monde")</f>
        <v xml:space="preserve">   ZZZ_Monde</v>
      </c>
      <c r="C3084">
        <v>1396437970</v>
      </c>
      <c r="D3084">
        <v>18153.259999999998</v>
      </c>
    </row>
    <row r="3085" spans="1:4" x14ac:dyDescent="0.25">
      <c r="A3085" t="str">
        <f>T("   DE")</f>
        <v xml:space="preserve">   DE</v>
      </c>
      <c r="B3085" t="str">
        <f>T("   Allemagne")</f>
        <v xml:space="preserve">   Allemagne</v>
      </c>
      <c r="C3085">
        <v>5252245</v>
      </c>
      <c r="D3085">
        <v>97</v>
      </c>
    </row>
    <row r="3086" spans="1:4" x14ac:dyDescent="0.25">
      <c r="A3086" t="str">
        <f>T("   DK")</f>
        <v xml:space="preserve">   DK</v>
      </c>
      <c r="B3086" t="str">
        <f>T("   Danemark")</f>
        <v xml:space="preserve">   Danemark</v>
      </c>
      <c r="C3086">
        <v>130594320</v>
      </c>
      <c r="D3086">
        <v>1169</v>
      </c>
    </row>
    <row r="3087" spans="1:4" x14ac:dyDescent="0.25">
      <c r="A3087" t="str">
        <f>T("   ES")</f>
        <v xml:space="preserve">   ES</v>
      </c>
      <c r="B3087" t="str">
        <f>T("   Espagne")</f>
        <v xml:space="preserve">   Espagne</v>
      </c>
      <c r="C3087">
        <v>2241973</v>
      </c>
      <c r="D3087">
        <v>46.76</v>
      </c>
    </row>
    <row r="3088" spans="1:4" x14ac:dyDescent="0.25">
      <c r="A3088" t="str">
        <f>T("   FR")</f>
        <v xml:space="preserve">   FR</v>
      </c>
      <c r="B3088" t="str">
        <f>T("   France")</f>
        <v xml:space="preserve">   France</v>
      </c>
      <c r="C3088">
        <v>564892838</v>
      </c>
      <c r="D3088">
        <v>5792</v>
      </c>
    </row>
    <row r="3089" spans="1:4" x14ac:dyDescent="0.25">
      <c r="A3089" t="str">
        <f>T("   IN")</f>
        <v xml:space="preserve">   IN</v>
      </c>
      <c r="B3089" t="str">
        <f>T("   Inde")</f>
        <v xml:space="preserve">   Inde</v>
      </c>
      <c r="C3089">
        <v>253209914</v>
      </c>
      <c r="D3089">
        <v>5367.8</v>
      </c>
    </row>
    <row r="3090" spans="1:4" x14ac:dyDescent="0.25">
      <c r="A3090" t="str">
        <f>T("   IT")</f>
        <v xml:space="preserve">   IT</v>
      </c>
      <c r="B3090" t="str">
        <f>T("   Italie")</f>
        <v xml:space="preserve">   Italie</v>
      </c>
      <c r="C3090">
        <v>178331183</v>
      </c>
      <c r="D3090">
        <v>2156</v>
      </c>
    </row>
    <row r="3091" spans="1:4" x14ac:dyDescent="0.25">
      <c r="A3091" t="str">
        <f>T("   SZ")</f>
        <v xml:space="preserve">   SZ</v>
      </c>
      <c r="B3091" t="str">
        <f>T("   Swaziland")</f>
        <v xml:space="preserve">   Swaziland</v>
      </c>
      <c r="C3091">
        <v>83610695</v>
      </c>
      <c r="D3091">
        <v>461</v>
      </c>
    </row>
    <row r="3092" spans="1:4" x14ac:dyDescent="0.25">
      <c r="A3092" t="str">
        <f>T("   US")</f>
        <v xml:space="preserve">   US</v>
      </c>
      <c r="B3092" t="str">
        <f>T("   Etats-Unis")</f>
        <v xml:space="preserve">   Etats-Unis</v>
      </c>
      <c r="C3092">
        <v>178304802</v>
      </c>
      <c r="D3092">
        <v>3063.7</v>
      </c>
    </row>
    <row r="3093" spans="1:4" x14ac:dyDescent="0.25">
      <c r="A3093" t="str">
        <f>T("300230")</f>
        <v>300230</v>
      </c>
      <c r="B3093" t="str">
        <f>T("Vaccins pour la médecine vétérinaire")</f>
        <v>Vaccins pour la médecine vétérinaire</v>
      </c>
    </row>
    <row r="3094" spans="1:4" x14ac:dyDescent="0.25">
      <c r="A3094" t="str">
        <f>T("   ZZZ_Monde")</f>
        <v xml:space="preserve">   ZZZ_Monde</v>
      </c>
      <c r="B3094" t="str">
        <f>T("   ZZZ_Monde")</f>
        <v xml:space="preserve">   ZZZ_Monde</v>
      </c>
      <c r="C3094">
        <v>81425868</v>
      </c>
      <c r="D3094">
        <v>2711.7</v>
      </c>
    </row>
    <row r="3095" spans="1:4" x14ac:dyDescent="0.25">
      <c r="A3095" t="str">
        <f>T("   ES")</f>
        <v xml:space="preserve">   ES</v>
      </c>
      <c r="B3095" t="str">
        <f>T("   Espagne")</f>
        <v xml:space="preserve">   Espagne</v>
      </c>
      <c r="C3095">
        <v>7476540</v>
      </c>
      <c r="D3095">
        <v>261.7</v>
      </c>
    </row>
    <row r="3096" spans="1:4" x14ac:dyDescent="0.25">
      <c r="A3096" t="str">
        <f>T("   FR")</f>
        <v xml:space="preserve">   FR</v>
      </c>
      <c r="B3096" t="str">
        <f>T("   France")</f>
        <v xml:space="preserve">   France</v>
      </c>
      <c r="C3096">
        <v>73949328</v>
      </c>
      <c r="D3096">
        <v>2450</v>
      </c>
    </row>
    <row r="3097" spans="1:4" x14ac:dyDescent="0.25">
      <c r="A3097" t="str">
        <f>T("300339")</f>
        <v>300339</v>
      </c>
      <c r="B3097" t="str">
        <f>T("Médicaments contenant des hormones ou des stéroïdes utilisés comme hormones, mais ne contenant pas d'antibiotiques, non présentés sous forme de doses, ni conditionnés pour la vente au détail (à l'excl. des médicaments contenant de l'insuline)")</f>
        <v>Médicaments contenant des hormones ou des stéroïdes utilisés comme hormones, mais ne contenant pas d'antibiotiques, non présentés sous forme de doses, ni conditionnés pour la vente au détail (à l'excl. des médicaments contenant de l'insuline)</v>
      </c>
    </row>
    <row r="3098" spans="1:4" x14ac:dyDescent="0.25">
      <c r="A3098" t="str">
        <f>T("   ZZZ_Monde")</f>
        <v xml:space="preserve">   ZZZ_Monde</v>
      </c>
      <c r="B3098" t="str">
        <f>T("   ZZZ_Monde")</f>
        <v xml:space="preserve">   ZZZ_Monde</v>
      </c>
      <c r="C3098">
        <v>25667010</v>
      </c>
      <c r="D3098">
        <v>29061</v>
      </c>
    </row>
    <row r="3099" spans="1:4" x14ac:dyDescent="0.25">
      <c r="A3099" t="str">
        <f>T("   BE")</f>
        <v xml:space="preserve">   BE</v>
      </c>
      <c r="B3099" t="str">
        <f>T("   Belgique")</f>
        <v xml:space="preserve">   Belgique</v>
      </c>
      <c r="C3099">
        <v>21446142</v>
      </c>
      <c r="D3099">
        <v>6609</v>
      </c>
    </row>
    <row r="3100" spans="1:4" x14ac:dyDescent="0.25">
      <c r="A3100" t="str">
        <f>T("   FR")</f>
        <v xml:space="preserve">   FR</v>
      </c>
      <c r="B3100" t="str">
        <f>T("   France")</f>
        <v xml:space="preserve">   France</v>
      </c>
      <c r="C3100">
        <v>1110868</v>
      </c>
      <c r="D3100">
        <v>39</v>
      </c>
    </row>
    <row r="3101" spans="1:4" x14ac:dyDescent="0.25">
      <c r="A3101" t="str">
        <f>T("   Z2")</f>
        <v xml:space="preserve">   Z2</v>
      </c>
      <c r="B3101" t="str">
        <f>T("   Pays non défini")</f>
        <v xml:space="preserve">   Pays non défini</v>
      </c>
      <c r="C3101">
        <v>3110000</v>
      </c>
      <c r="D3101">
        <v>22413</v>
      </c>
    </row>
    <row r="3102" spans="1:4" x14ac:dyDescent="0.25">
      <c r="A3102" t="str">
        <f>T("300390")</f>
        <v>300390</v>
      </c>
      <c r="B3102" t="str">
        <f>T("Médicaments constitués par des produits mélangés entre eux, préparés à des fins thérapeutiques ou prophylactiques, mais ni présentés sous forme de doses, ni conditionnés pour la vente au détail (sauf produits du n° 3002, 3005 ou 3006, médicaments contenan")</f>
        <v>Médicaments constitués par des produits mélangés entre eux, préparés à des fins thérapeutiques ou prophylactiques, mais ni présentés sous forme de doses, ni conditionnés pour la vente au détail (sauf produits du n° 3002, 3005 ou 3006, médicaments contenan</v>
      </c>
    </row>
    <row r="3103" spans="1:4" x14ac:dyDescent="0.25">
      <c r="A3103" t="str">
        <f>T("   ZZZ_Monde")</f>
        <v xml:space="preserve">   ZZZ_Monde</v>
      </c>
      <c r="B3103" t="str">
        <f>T("   ZZZ_Monde")</f>
        <v xml:space="preserve">   ZZZ_Monde</v>
      </c>
      <c r="C3103">
        <v>24840778</v>
      </c>
      <c r="D3103">
        <v>63981</v>
      </c>
    </row>
    <row r="3104" spans="1:4" x14ac:dyDescent="0.25">
      <c r="A3104" t="str">
        <f>T("   CA")</f>
        <v xml:space="preserve">   CA</v>
      </c>
      <c r="B3104" t="str">
        <f>T("   Canada")</f>
        <v xml:space="preserve">   Canada</v>
      </c>
      <c r="C3104">
        <v>14337424</v>
      </c>
      <c r="D3104">
        <v>15003</v>
      </c>
    </row>
    <row r="3105" spans="1:4" x14ac:dyDescent="0.25">
      <c r="A3105" t="str">
        <f>T("   CN")</f>
        <v xml:space="preserve">   CN</v>
      </c>
      <c r="B3105" t="str">
        <f>T("   Chine")</f>
        <v xml:space="preserve">   Chine</v>
      </c>
      <c r="C3105">
        <v>7830815</v>
      </c>
      <c r="D3105">
        <v>43120</v>
      </c>
    </row>
    <row r="3106" spans="1:4" x14ac:dyDescent="0.25">
      <c r="A3106" t="str">
        <f>T("   FR")</f>
        <v xml:space="preserve">   FR</v>
      </c>
      <c r="B3106" t="str">
        <f>T("   France")</f>
        <v xml:space="preserve">   France</v>
      </c>
      <c r="C3106">
        <v>1967539</v>
      </c>
      <c r="D3106">
        <v>251</v>
      </c>
    </row>
    <row r="3107" spans="1:4" x14ac:dyDescent="0.25">
      <c r="A3107" t="str">
        <f>T("   Z2")</f>
        <v xml:space="preserve">   Z2</v>
      </c>
      <c r="B3107" t="str">
        <f>T("   Pays non défini")</f>
        <v xml:space="preserve">   Pays non défini</v>
      </c>
      <c r="C3107">
        <v>705000</v>
      </c>
      <c r="D3107">
        <v>5607</v>
      </c>
    </row>
    <row r="3108" spans="1:4" x14ac:dyDescent="0.25">
      <c r="A3108" t="str">
        <f>T("300410")</f>
        <v>300410</v>
      </c>
      <c r="B3108" t="str">
        <f>T("Médicaments contenant des pénicillines ou des dérivés de ces produits, à structure d'acide pénicillanique, ou des streptomycines ou des dérivés de ces produits, présentés sous forme de doses [y.c. ceux destinés à être administrés par voie percutanée] ou c")</f>
        <v>Médicaments contenant des pénicillines ou des dérivés de ces produits, à structure d'acide pénicillanique, ou des streptomycines ou des dérivés de ces produits, présentés sous forme de doses [y.c. ceux destinés à être administrés par voie percutanée] ou c</v>
      </c>
    </row>
    <row r="3109" spans="1:4" x14ac:dyDescent="0.25">
      <c r="A3109" t="str">
        <f>T("   ZZZ_Monde")</f>
        <v xml:space="preserve">   ZZZ_Monde</v>
      </c>
      <c r="B3109" t="str">
        <f>T("   ZZZ_Monde")</f>
        <v xml:space="preserve">   ZZZ_Monde</v>
      </c>
      <c r="C3109">
        <v>7741213728</v>
      </c>
      <c r="D3109">
        <v>684390</v>
      </c>
    </row>
    <row r="3110" spans="1:4" x14ac:dyDescent="0.25">
      <c r="A3110" t="str">
        <f>T("   BE")</f>
        <v xml:space="preserve">   BE</v>
      </c>
      <c r="B3110" t="str">
        <f>T("   Belgique")</f>
        <v xml:space="preserve">   Belgique</v>
      </c>
      <c r="C3110">
        <v>106065</v>
      </c>
      <c r="D3110">
        <v>166</v>
      </c>
    </row>
    <row r="3111" spans="1:4" x14ac:dyDescent="0.25">
      <c r="A3111" t="str">
        <f>T("   CH")</f>
        <v xml:space="preserve">   CH</v>
      </c>
      <c r="B3111" t="str">
        <f>T("   Suisse")</f>
        <v xml:space="preserve">   Suisse</v>
      </c>
      <c r="C3111">
        <v>121815</v>
      </c>
      <c r="D3111">
        <v>305</v>
      </c>
    </row>
    <row r="3112" spans="1:4" x14ac:dyDescent="0.25">
      <c r="A3112" t="str">
        <f>T("   FR")</f>
        <v xml:space="preserve">   FR</v>
      </c>
      <c r="B3112" t="str">
        <f>T("   France")</f>
        <v xml:space="preserve">   France</v>
      </c>
      <c r="C3112">
        <v>7454317516</v>
      </c>
      <c r="D3112">
        <v>645222</v>
      </c>
    </row>
    <row r="3113" spans="1:4" x14ac:dyDescent="0.25">
      <c r="A3113" t="str">
        <f>T("   IN")</f>
        <v xml:space="preserve">   IN</v>
      </c>
      <c r="B3113" t="str">
        <f>T("   Inde")</f>
        <v xml:space="preserve">   Inde</v>
      </c>
      <c r="C3113">
        <v>61911096</v>
      </c>
      <c r="D3113">
        <v>19932</v>
      </c>
    </row>
    <row r="3114" spans="1:4" x14ac:dyDescent="0.25">
      <c r="A3114" t="str">
        <f>T("   SN")</f>
        <v xml:space="preserve">   SN</v>
      </c>
      <c r="B3114" t="str">
        <f>T("   Sénégal")</f>
        <v xml:space="preserve">   Sénégal</v>
      </c>
      <c r="C3114">
        <v>194973615</v>
      </c>
      <c r="D3114">
        <v>13385</v>
      </c>
    </row>
    <row r="3115" spans="1:4" x14ac:dyDescent="0.25">
      <c r="A3115" t="str">
        <f>T("   TG")</f>
        <v xml:space="preserve">   TG</v>
      </c>
      <c r="B3115" t="str">
        <f>T("   Togo")</f>
        <v xml:space="preserve">   Togo</v>
      </c>
      <c r="C3115">
        <v>29783621</v>
      </c>
      <c r="D3115">
        <v>5380</v>
      </c>
    </row>
    <row r="3116" spans="1:4" x14ac:dyDescent="0.25">
      <c r="A3116" t="str">
        <f>T("300420")</f>
        <v>300420</v>
      </c>
      <c r="B3116" t="str">
        <f>T("Médicaments contenant des antibiotiques, présentés sous forme de doses [y.c. ceux destinés à être administrés par voie percutanée] ou conditionnés pour la vente au détail (à l'excl. des produits contenant des pénicillines ou des dérivés de ces produits, à")</f>
        <v>Médicaments contenant des antibiotiques, présentés sous forme de doses [y.c. ceux destinés à être administrés par voie percutanée] ou conditionnés pour la vente au détail (à l'excl. des produits contenant des pénicillines ou des dérivés de ces produits, à</v>
      </c>
    </row>
    <row r="3117" spans="1:4" x14ac:dyDescent="0.25">
      <c r="A3117" t="str">
        <f>T("   ZZZ_Monde")</f>
        <v xml:space="preserve">   ZZZ_Monde</v>
      </c>
      <c r="B3117" t="str">
        <f>T("   ZZZ_Monde")</f>
        <v xml:space="preserve">   ZZZ_Monde</v>
      </c>
      <c r="C3117">
        <v>553258011</v>
      </c>
      <c r="D3117">
        <v>4488773.05</v>
      </c>
    </row>
    <row r="3118" spans="1:4" x14ac:dyDescent="0.25">
      <c r="A3118" t="str">
        <f>T("   AM")</f>
        <v xml:space="preserve">   AM</v>
      </c>
      <c r="B3118" t="str">
        <f>T("   Arménie")</f>
        <v xml:space="preserve">   Arménie</v>
      </c>
      <c r="C3118">
        <v>450000</v>
      </c>
      <c r="D3118">
        <v>247</v>
      </c>
    </row>
    <row r="3119" spans="1:4" x14ac:dyDescent="0.25">
      <c r="A3119" t="str">
        <f>T("   BE")</f>
        <v xml:space="preserve">   BE</v>
      </c>
      <c r="B3119" t="str">
        <f>T("   Belgique")</f>
        <v xml:space="preserve">   Belgique</v>
      </c>
      <c r="C3119">
        <v>3056774</v>
      </c>
      <c r="D3119">
        <v>198</v>
      </c>
    </row>
    <row r="3120" spans="1:4" x14ac:dyDescent="0.25">
      <c r="A3120" t="str">
        <f>T("   CN")</f>
        <v xml:space="preserve">   CN</v>
      </c>
      <c r="B3120" t="str">
        <f>T("   Chine")</f>
        <v xml:space="preserve">   Chine</v>
      </c>
      <c r="C3120">
        <v>30341670</v>
      </c>
      <c r="D3120">
        <v>951.55</v>
      </c>
    </row>
    <row r="3121" spans="1:4" x14ac:dyDescent="0.25">
      <c r="A3121" t="str">
        <f>T("   FR")</f>
        <v xml:space="preserve">   FR</v>
      </c>
      <c r="B3121" t="str">
        <f>T("   France")</f>
        <v xml:space="preserve">   France</v>
      </c>
      <c r="C3121">
        <v>1060254</v>
      </c>
      <c r="D3121">
        <v>387</v>
      </c>
    </row>
    <row r="3122" spans="1:4" x14ac:dyDescent="0.25">
      <c r="A3122" t="str">
        <f>T("   IN")</f>
        <v xml:space="preserve">   IN</v>
      </c>
      <c r="B3122" t="str">
        <f>T("   Inde")</f>
        <v xml:space="preserve">   Inde</v>
      </c>
      <c r="C3122">
        <v>229586</v>
      </c>
      <c r="D3122">
        <v>78</v>
      </c>
    </row>
    <row r="3123" spans="1:4" x14ac:dyDescent="0.25">
      <c r="A3123" t="str">
        <f>T("   TG")</f>
        <v xml:space="preserve">   TG</v>
      </c>
      <c r="B3123" t="str">
        <f>T("   Togo")</f>
        <v xml:space="preserve">   Togo</v>
      </c>
      <c r="C3123">
        <v>518119727</v>
      </c>
      <c r="D3123">
        <v>4486911.5</v>
      </c>
    </row>
    <row r="3124" spans="1:4" x14ac:dyDescent="0.25">
      <c r="A3124" t="str">
        <f>T("300431")</f>
        <v>300431</v>
      </c>
      <c r="B3124" t="str">
        <f>T("Médicaments contenant de l'insuline, mais ne contenant pas d'antibiotiques, présentés sous forme de doses [y.c. ceux destinés à être administrés par voie percutanée] ou conditionnés pour la vente au détail")</f>
        <v>Médicaments contenant de l'insuline, mais ne contenant pas d'antibiotiques, présentés sous forme de doses [y.c. ceux destinés à être administrés par voie percutanée] ou conditionnés pour la vente au détail</v>
      </c>
    </row>
    <row r="3125" spans="1:4" x14ac:dyDescent="0.25">
      <c r="A3125" t="str">
        <f>T("   ZZZ_Monde")</f>
        <v xml:space="preserve">   ZZZ_Monde</v>
      </c>
      <c r="B3125" t="str">
        <f>T("   ZZZ_Monde")</f>
        <v xml:space="preserve">   ZZZ_Monde</v>
      </c>
      <c r="C3125">
        <v>11057944</v>
      </c>
      <c r="D3125">
        <v>615</v>
      </c>
    </row>
    <row r="3126" spans="1:4" x14ac:dyDescent="0.25">
      <c r="A3126" t="str">
        <f>T("   FR")</f>
        <v xml:space="preserve">   FR</v>
      </c>
      <c r="B3126" t="str">
        <f>T("   France")</f>
        <v xml:space="preserve">   France</v>
      </c>
      <c r="C3126">
        <v>7653741</v>
      </c>
      <c r="D3126">
        <v>135</v>
      </c>
    </row>
    <row r="3127" spans="1:4" x14ac:dyDescent="0.25">
      <c r="A3127" t="str">
        <f>T("   TG")</f>
        <v xml:space="preserve">   TG</v>
      </c>
      <c r="B3127" t="str">
        <f>T("   Togo")</f>
        <v xml:space="preserve">   Togo</v>
      </c>
      <c r="C3127">
        <v>3404203</v>
      </c>
      <c r="D3127">
        <v>480</v>
      </c>
    </row>
    <row r="3128" spans="1:4" x14ac:dyDescent="0.25">
      <c r="A3128" t="str">
        <f>T("300439")</f>
        <v>300439</v>
      </c>
      <c r="B3128" t="str">
        <f>T("Médicaments contenant des hormones ou des stéroïdes utilisés comme hormones, mais ne contenant pas d'antibiotiques, présentés sous forme de doses [y.c. ceux destinés à être administrés par voie percutanée] ou conditionnés pour la vente au détail (à l'excl")</f>
        <v>Médicaments contenant des hormones ou des stéroïdes utilisés comme hormones, mais ne contenant pas d'antibiotiques, présentés sous forme de doses [y.c. ceux destinés à être administrés par voie percutanée] ou conditionnés pour la vente au détail (à l'excl</v>
      </c>
    </row>
    <row r="3129" spans="1:4" x14ac:dyDescent="0.25">
      <c r="A3129" t="str">
        <f>T("   ZZZ_Monde")</f>
        <v xml:space="preserve">   ZZZ_Monde</v>
      </c>
      <c r="B3129" t="str">
        <f>T("   ZZZ_Monde")</f>
        <v xml:space="preserve">   ZZZ_Monde</v>
      </c>
      <c r="C3129">
        <v>247136284</v>
      </c>
      <c r="D3129">
        <v>336283.95</v>
      </c>
    </row>
    <row r="3130" spans="1:4" x14ac:dyDescent="0.25">
      <c r="A3130" t="str">
        <f>T("   BE")</f>
        <v xml:space="preserve">   BE</v>
      </c>
      <c r="B3130" t="str">
        <f>T("   Belgique")</f>
        <v xml:space="preserve">   Belgique</v>
      </c>
      <c r="C3130">
        <v>7806580</v>
      </c>
      <c r="D3130">
        <v>60</v>
      </c>
    </row>
    <row r="3131" spans="1:4" x14ac:dyDescent="0.25">
      <c r="A3131" t="str">
        <f>T("   CN")</f>
        <v xml:space="preserve">   CN</v>
      </c>
      <c r="B3131" t="str">
        <f>T("   Chine")</f>
        <v xml:space="preserve">   Chine</v>
      </c>
      <c r="C3131">
        <v>74275554</v>
      </c>
      <c r="D3131">
        <v>34576.44</v>
      </c>
    </row>
    <row r="3132" spans="1:4" x14ac:dyDescent="0.25">
      <c r="A3132" t="str">
        <f>T("   ES")</f>
        <v xml:space="preserve">   ES</v>
      </c>
      <c r="B3132" t="str">
        <f>T("   Espagne")</f>
        <v xml:space="preserve">   Espagne</v>
      </c>
      <c r="C3132">
        <v>1033137</v>
      </c>
      <c r="D3132">
        <v>16</v>
      </c>
    </row>
    <row r="3133" spans="1:4" x14ac:dyDescent="0.25">
      <c r="A3133" t="str">
        <f>T("   FR")</f>
        <v xml:space="preserve">   FR</v>
      </c>
      <c r="B3133" t="str">
        <f>T("   France")</f>
        <v xml:space="preserve">   France</v>
      </c>
      <c r="C3133">
        <v>1145307</v>
      </c>
      <c r="D3133">
        <v>305</v>
      </c>
    </row>
    <row r="3134" spans="1:4" x14ac:dyDescent="0.25">
      <c r="A3134" t="str">
        <f>T("   GH")</f>
        <v xml:space="preserve">   GH</v>
      </c>
      <c r="B3134" t="str">
        <f>T("   Ghana")</f>
        <v xml:space="preserve">   Ghana</v>
      </c>
      <c r="C3134">
        <v>25010030</v>
      </c>
      <c r="D3134">
        <v>8725</v>
      </c>
    </row>
    <row r="3135" spans="1:4" x14ac:dyDescent="0.25">
      <c r="A3135" t="str">
        <f>T("   TG")</f>
        <v xml:space="preserve">   TG</v>
      </c>
      <c r="B3135" t="str">
        <f>T("   Togo")</f>
        <v xml:space="preserve">   Togo</v>
      </c>
      <c r="C3135">
        <v>137865676</v>
      </c>
      <c r="D3135">
        <v>292601.51</v>
      </c>
    </row>
    <row r="3136" spans="1:4" x14ac:dyDescent="0.25">
      <c r="A3136" t="str">
        <f>T("300450")</f>
        <v>300450</v>
      </c>
      <c r="B3136" t="str">
        <f>T("Médicaments contenant des provitamines, des vitamines, y.c. les concentrats naturels, ou des dérivés de ces produits utilisés principalement en tant que vitamines, présentés sous forme de doses [y.c. ceux destinés à être administrés par voie percutanée] o")</f>
        <v>Médicaments contenant des provitamines, des vitamines, y.c. les concentrats naturels, ou des dérivés de ces produits utilisés principalement en tant que vitamines, présentés sous forme de doses [y.c. ceux destinés à être administrés par voie percutanée] o</v>
      </c>
    </row>
    <row r="3137" spans="1:4" x14ac:dyDescent="0.25">
      <c r="A3137" t="str">
        <f>T("   ZZZ_Monde")</f>
        <v xml:space="preserve">   ZZZ_Monde</v>
      </c>
      <c r="B3137" t="str">
        <f>T("   ZZZ_Monde")</f>
        <v xml:space="preserve">   ZZZ_Monde</v>
      </c>
      <c r="C3137">
        <v>63782859</v>
      </c>
      <c r="D3137">
        <v>51156</v>
      </c>
    </row>
    <row r="3138" spans="1:4" x14ac:dyDescent="0.25">
      <c r="A3138" t="str">
        <f>T("   BE")</f>
        <v xml:space="preserve">   BE</v>
      </c>
      <c r="B3138" t="str">
        <f>T("   Belgique")</f>
        <v xml:space="preserve">   Belgique</v>
      </c>
      <c r="C3138">
        <v>6436083</v>
      </c>
      <c r="D3138">
        <v>11361</v>
      </c>
    </row>
    <row r="3139" spans="1:4" x14ac:dyDescent="0.25">
      <c r="A3139" t="str">
        <f>T("   FR")</f>
        <v xml:space="preserve">   FR</v>
      </c>
      <c r="B3139" t="str">
        <f>T("   France")</f>
        <v xml:space="preserve">   France</v>
      </c>
      <c r="C3139">
        <v>57340986</v>
      </c>
      <c r="D3139">
        <v>39793</v>
      </c>
    </row>
    <row r="3140" spans="1:4" x14ac:dyDescent="0.25">
      <c r="A3140" t="str">
        <f>T("   GB")</f>
        <v xml:space="preserve">   GB</v>
      </c>
      <c r="B3140" t="str">
        <f>T("   Royaume-Uni")</f>
        <v xml:space="preserve">   Royaume-Uni</v>
      </c>
      <c r="C3140">
        <v>5790</v>
      </c>
      <c r="D3140">
        <v>2</v>
      </c>
    </row>
    <row r="3141" spans="1:4" x14ac:dyDescent="0.25">
      <c r="A3141" t="str">
        <f>T("300490")</f>
        <v>300490</v>
      </c>
      <c r="B3141" t="str">
        <f>T("Médicaments constitués par des produits mélangés ou non, préparés à des fins thérapeutiques ou prophylactiques, présentés sous forme de doses [y.c. ceux destinés à être administrés par voie percutanée] ou conditionnés pour la vente au détail (à l'excl. de")</f>
        <v>Médicaments constitués par des produits mélangés ou non, préparés à des fins thérapeutiques ou prophylactiques, présentés sous forme de doses [y.c. ceux destinés à être administrés par voie percutanée] ou conditionnés pour la vente au détail (à l'excl. de</v>
      </c>
    </row>
    <row r="3142" spans="1:4" x14ac:dyDescent="0.25">
      <c r="A3142" t="str">
        <f>T("   ZZZ_Monde")</f>
        <v xml:space="preserve">   ZZZ_Monde</v>
      </c>
      <c r="B3142" t="str">
        <f>T("   ZZZ_Monde")</f>
        <v xml:space="preserve">   ZZZ_Monde</v>
      </c>
      <c r="C3142">
        <v>28501557130</v>
      </c>
      <c r="D3142">
        <v>4457224.4000000004</v>
      </c>
    </row>
    <row r="3143" spans="1:4" x14ac:dyDescent="0.25">
      <c r="A3143" t="str">
        <f>T("   AE")</f>
        <v xml:space="preserve">   AE</v>
      </c>
      <c r="B3143" t="str">
        <f>T("   Emirats Arabes Unis")</f>
        <v xml:space="preserve">   Emirats Arabes Unis</v>
      </c>
      <c r="C3143">
        <v>5254</v>
      </c>
      <c r="D3143">
        <v>7.6</v>
      </c>
    </row>
    <row r="3144" spans="1:4" x14ac:dyDescent="0.25">
      <c r="A3144" t="str">
        <f>T("   AN")</f>
        <v xml:space="preserve">   AN</v>
      </c>
      <c r="B3144" t="str">
        <f>T("   Antilles Néerlandaises")</f>
        <v xml:space="preserve">   Antilles Néerlandaises</v>
      </c>
      <c r="C3144">
        <v>29822126</v>
      </c>
      <c r="D3144">
        <v>3200</v>
      </c>
    </row>
    <row r="3145" spans="1:4" x14ac:dyDescent="0.25">
      <c r="A3145" t="str">
        <f>T("   BE")</f>
        <v xml:space="preserve">   BE</v>
      </c>
      <c r="B3145" t="str">
        <f>T("   Belgique")</f>
        <v xml:space="preserve">   Belgique</v>
      </c>
      <c r="C3145">
        <v>2706682808</v>
      </c>
      <c r="D3145">
        <v>296581</v>
      </c>
    </row>
    <row r="3146" spans="1:4" x14ac:dyDescent="0.25">
      <c r="A3146" t="str">
        <f>T("   BR")</f>
        <v xml:space="preserve">   BR</v>
      </c>
      <c r="B3146" t="str">
        <f>T("   Brésil")</f>
        <v xml:space="preserve">   Brésil</v>
      </c>
      <c r="C3146">
        <v>65074512</v>
      </c>
      <c r="D3146">
        <v>11651</v>
      </c>
    </row>
    <row r="3147" spans="1:4" x14ac:dyDescent="0.25">
      <c r="A3147" t="str">
        <f>T("   CA")</f>
        <v xml:space="preserve">   CA</v>
      </c>
      <c r="B3147" t="str">
        <f>T("   Canada")</f>
        <v xml:space="preserve">   Canada</v>
      </c>
      <c r="C3147">
        <v>3902414</v>
      </c>
      <c r="D3147">
        <v>6528</v>
      </c>
    </row>
    <row r="3148" spans="1:4" x14ac:dyDescent="0.25">
      <c r="A3148" t="str">
        <f>T("   CH")</f>
        <v xml:space="preserve">   CH</v>
      </c>
      <c r="B3148" t="str">
        <f>T("   Suisse")</f>
        <v xml:space="preserve">   Suisse</v>
      </c>
      <c r="C3148">
        <v>18367</v>
      </c>
      <c r="D3148">
        <v>31</v>
      </c>
    </row>
    <row r="3149" spans="1:4" x14ac:dyDescent="0.25">
      <c r="A3149" t="str">
        <f>T("   CN")</f>
        <v xml:space="preserve">   CN</v>
      </c>
      <c r="B3149" t="str">
        <f>T("   Chine")</f>
        <v xml:space="preserve">   Chine</v>
      </c>
      <c r="C3149">
        <v>1146118977</v>
      </c>
      <c r="D3149">
        <v>970068.5</v>
      </c>
    </row>
    <row r="3150" spans="1:4" x14ac:dyDescent="0.25">
      <c r="A3150" t="str">
        <f>T("   DE")</f>
        <v xml:space="preserve">   DE</v>
      </c>
      <c r="B3150" t="str">
        <f>T("   Allemagne")</f>
        <v xml:space="preserve">   Allemagne</v>
      </c>
      <c r="C3150">
        <v>318270570</v>
      </c>
      <c r="D3150">
        <v>21210</v>
      </c>
    </row>
    <row r="3151" spans="1:4" x14ac:dyDescent="0.25">
      <c r="A3151" t="str">
        <f>T("   DJ")</f>
        <v xml:space="preserve">   DJ</v>
      </c>
      <c r="B3151" t="str">
        <f>T("   Djibouti")</f>
        <v xml:space="preserve">   Djibouti</v>
      </c>
      <c r="C3151">
        <v>489896</v>
      </c>
      <c r="D3151">
        <v>124</v>
      </c>
    </row>
    <row r="3152" spans="1:4" x14ac:dyDescent="0.25">
      <c r="A3152" t="str">
        <f>T("   ES")</f>
        <v xml:space="preserve">   ES</v>
      </c>
      <c r="B3152" t="str">
        <f>T("   Espagne")</f>
        <v xml:space="preserve">   Espagne</v>
      </c>
      <c r="C3152">
        <v>21538631</v>
      </c>
      <c r="D3152">
        <v>24215</v>
      </c>
    </row>
    <row r="3153" spans="1:4" x14ac:dyDescent="0.25">
      <c r="A3153" t="str">
        <f>T("   FR")</f>
        <v xml:space="preserve">   FR</v>
      </c>
      <c r="B3153" t="str">
        <f>T("   France")</f>
        <v xml:space="preserve">   France</v>
      </c>
      <c r="C3153">
        <v>21292028916</v>
      </c>
      <c r="D3153">
        <v>1855054.2</v>
      </c>
    </row>
    <row r="3154" spans="1:4" x14ac:dyDescent="0.25">
      <c r="A3154" t="str">
        <f>T("   GB")</f>
        <v xml:space="preserve">   GB</v>
      </c>
      <c r="B3154" t="str">
        <f>T("   Royaume-Uni")</f>
        <v xml:space="preserve">   Royaume-Uni</v>
      </c>
      <c r="C3154">
        <v>4908544</v>
      </c>
      <c r="D3154">
        <v>6800</v>
      </c>
    </row>
    <row r="3155" spans="1:4" x14ac:dyDescent="0.25">
      <c r="A3155" t="str">
        <f>T("   GE")</f>
        <v xml:space="preserve">   GE</v>
      </c>
      <c r="B3155" t="str">
        <f>T("   Géorgie")</f>
        <v xml:space="preserve">   Géorgie</v>
      </c>
      <c r="C3155">
        <v>49852</v>
      </c>
      <c r="D3155">
        <v>4</v>
      </c>
    </row>
    <row r="3156" spans="1:4" x14ac:dyDescent="0.25">
      <c r="A3156" t="str">
        <f>T("   ID")</f>
        <v xml:space="preserve">   ID</v>
      </c>
      <c r="B3156" t="str">
        <f>T("   Indonésie")</f>
        <v xml:space="preserve">   Indonésie</v>
      </c>
      <c r="C3156">
        <v>16068000</v>
      </c>
      <c r="D3156">
        <v>6749</v>
      </c>
    </row>
    <row r="3157" spans="1:4" x14ac:dyDescent="0.25">
      <c r="A3157" t="str">
        <f>T("   IL")</f>
        <v xml:space="preserve">   IL</v>
      </c>
      <c r="B3157" t="str">
        <f>T("   Israël")</f>
        <v xml:space="preserve">   Israël</v>
      </c>
      <c r="C3157">
        <v>6044672</v>
      </c>
      <c r="D3157">
        <v>275</v>
      </c>
    </row>
    <row r="3158" spans="1:4" x14ac:dyDescent="0.25">
      <c r="A3158" t="str">
        <f>T("   IN")</f>
        <v xml:space="preserve">   IN</v>
      </c>
      <c r="B3158" t="str">
        <f>T("   Inde")</f>
        <v xml:space="preserve">   Inde</v>
      </c>
      <c r="C3158">
        <v>1470748015</v>
      </c>
      <c r="D3158">
        <v>146841.79999999999</v>
      </c>
    </row>
    <row r="3159" spans="1:4" x14ac:dyDescent="0.25">
      <c r="A3159" t="str">
        <f>T("   IS")</f>
        <v xml:space="preserve">   IS</v>
      </c>
      <c r="B3159" t="str">
        <f>T("   Islande")</f>
        <v xml:space="preserve">   Islande</v>
      </c>
      <c r="C3159">
        <v>156679344</v>
      </c>
      <c r="D3159">
        <v>1664</v>
      </c>
    </row>
    <row r="3160" spans="1:4" x14ac:dyDescent="0.25">
      <c r="A3160" t="str">
        <f>T("   IT")</f>
        <v xml:space="preserve">   IT</v>
      </c>
      <c r="B3160" t="str">
        <f>T("   Italie")</f>
        <v xml:space="preserve">   Italie</v>
      </c>
      <c r="C3160">
        <v>106893076</v>
      </c>
      <c r="D3160">
        <v>104592</v>
      </c>
    </row>
    <row r="3161" spans="1:4" x14ac:dyDescent="0.25">
      <c r="A3161" t="str">
        <f>T("   JP")</f>
        <v xml:space="preserve">   JP</v>
      </c>
      <c r="B3161" t="str">
        <f>T("   Japon")</f>
        <v xml:space="preserve">   Japon</v>
      </c>
      <c r="C3161">
        <v>56594916</v>
      </c>
      <c r="D3161">
        <v>20832</v>
      </c>
    </row>
    <row r="3162" spans="1:4" x14ac:dyDescent="0.25">
      <c r="A3162" t="str">
        <f>T("   KH")</f>
        <v xml:space="preserve">   KH</v>
      </c>
      <c r="B3162" t="str">
        <f>T("   Cambodge")</f>
        <v xml:space="preserve">   Cambodge</v>
      </c>
      <c r="C3162">
        <v>4323432</v>
      </c>
      <c r="D3162">
        <v>1134</v>
      </c>
    </row>
    <row r="3163" spans="1:4" x14ac:dyDescent="0.25">
      <c r="A3163" t="str">
        <f>T("   LU")</f>
        <v xml:space="preserve">   LU</v>
      </c>
      <c r="B3163" t="str">
        <f>T("   Luxembourg")</f>
        <v xml:space="preserve">   Luxembourg</v>
      </c>
      <c r="C3163">
        <v>480819</v>
      </c>
      <c r="D3163">
        <v>122</v>
      </c>
    </row>
    <row r="3164" spans="1:4" x14ac:dyDescent="0.25">
      <c r="A3164" t="str">
        <f>T("   MA")</f>
        <v xml:space="preserve">   MA</v>
      </c>
      <c r="B3164" t="str">
        <f>T("   Maroc")</f>
        <v xml:space="preserve">   Maroc</v>
      </c>
      <c r="C3164">
        <v>170683090</v>
      </c>
      <c r="D3164">
        <v>3134</v>
      </c>
    </row>
    <row r="3165" spans="1:4" x14ac:dyDescent="0.25">
      <c r="A3165" t="str">
        <f>T("   ML")</f>
        <v xml:space="preserve">   ML</v>
      </c>
      <c r="B3165" t="str">
        <f>T("   Mali")</f>
        <v xml:space="preserve">   Mali</v>
      </c>
      <c r="C3165">
        <v>97148773</v>
      </c>
      <c r="D3165">
        <v>4775</v>
      </c>
    </row>
    <row r="3166" spans="1:4" x14ac:dyDescent="0.25">
      <c r="A3166" t="str">
        <f>T("   MU")</f>
        <v xml:space="preserve">   MU</v>
      </c>
      <c r="B3166" t="str">
        <f>T("   Maurice, île")</f>
        <v xml:space="preserve">   Maurice, île</v>
      </c>
      <c r="C3166">
        <v>136440</v>
      </c>
      <c r="D3166">
        <v>219</v>
      </c>
    </row>
    <row r="3167" spans="1:4" x14ac:dyDescent="0.25">
      <c r="A3167" t="str">
        <f>T("   NA")</f>
        <v xml:space="preserve">   NA</v>
      </c>
      <c r="B3167" t="str">
        <f>T("   Namibie")</f>
        <v xml:space="preserve">   Namibie</v>
      </c>
      <c r="C3167">
        <v>14160941</v>
      </c>
      <c r="D3167">
        <v>392</v>
      </c>
    </row>
    <row r="3168" spans="1:4" x14ac:dyDescent="0.25">
      <c r="A3168" t="str">
        <f>T("   NL")</f>
        <v xml:space="preserve">   NL</v>
      </c>
      <c r="B3168" t="str">
        <f>T("   Pays-bas")</f>
        <v xml:space="preserve">   Pays-bas</v>
      </c>
      <c r="C3168">
        <v>149218421</v>
      </c>
      <c r="D3168">
        <v>8254</v>
      </c>
    </row>
    <row r="3169" spans="1:4" x14ac:dyDescent="0.25">
      <c r="A3169" t="str">
        <f>T("   PK")</f>
        <v xml:space="preserve">   PK</v>
      </c>
      <c r="B3169" t="str">
        <f>T("   Pakistan")</f>
        <v xml:space="preserve">   Pakistan</v>
      </c>
      <c r="C3169">
        <v>1666138</v>
      </c>
      <c r="D3169">
        <v>170</v>
      </c>
    </row>
    <row r="3170" spans="1:4" x14ac:dyDescent="0.25">
      <c r="A3170" t="str">
        <f>T("   SN")</f>
        <v xml:space="preserve">   SN</v>
      </c>
      <c r="B3170" t="str">
        <f>T("   Sénégal")</f>
        <v xml:space="preserve">   Sénégal</v>
      </c>
      <c r="C3170">
        <v>477145323</v>
      </c>
      <c r="D3170">
        <v>34225</v>
      </c>
    </row>
    <row r="3171" spans="1:4" x14ac:dyDescent="0.25">
      <c r="A3171" t="str">
        <f>T("   TG")</f>
        <v xml:space="preserve">   TG</v>
      </c>
      <c r="B3171" t="str">
        <f>T("   Togo")</f>
        <v xml:space="preserve">   Togo</v>
      </c>
      <c r="C3171">
        <v>130918441</v>
      </c>
      <c r="D3171">
        <v>926671.3</v>
      </c>
    </row>
    <row r="3172" spans="1:4" x14ac:dyDescent="0.25">
      <c r="A3172" t="str">
        <f>T("   US")</f>
        <v xml:space="preserve">   US</v>
      </c>
      <c r="B3172" t="str">
        <f>T("   Etats-Unis")</f>
        <v xml:space="preserve">   Etats-Unis</v>
      </c>
      <c r="C3172">
        <v>19412086</v>
      </c>
      <c r="D3172">
        <v>800</v>
      </c>
    </row>
    <row r="3173" spans="1:4" x14ac:dyDescent="0.25">
      <c r="A3173" t="str">
        <f>T("   ZA")</f>
        <v xml:space="preserve">   ZA</v>
      </c>
      <c r="B3173" t="str">
        <f>T("   Afrique du Sud")</f>
        <v xml:space="preserve">   Afrique du Sud</v>
      </c>
      <c r="C3173">
        <v>34324336</v>
      </c>
      <c r="D3173">
        <v>900</v>
      </c>
    </row>
    <row r="3174" spans="1:4" x14ac:dyDescent="0.25">
      <c r="A3174" t="str">
        <f>T("300510")</f>
        <v>300510</v>
      </c>
      <c r="B3174" t="str">
        <f>T("Pansements adhésifs et autres articles ayant une couche adhésive, imprégnés ou recouverts de substances pharmaceutiques ou conditionnés pour la vente au détail à des fins médicales, chirurgicales, dentaires ou vétérinaires")</f>
        <v>Pansements adhésifs et autres articles ayant une couche adhésive, imprégnés ou recouverts de substances pharmaceutiques ou conditionnés pour la vente au détail à des fins médicales, chirurgicales, dentaires ou vétérinaires</v>
      </c>
    </row>
    <row r="3175" spans="1:4" x14ac:dyDescent="0.25">
      <c r="A3175" t="str">
        <f>T("   ZZZ_Monde")</f>
        <v xml:space="preserve">   ZZZ_Monde</v>
      </c>
      <c r="B3175" t="str">
        <f>T("   ZZZ_Monde")</f>
        <v xml:space="preserve">   ZZZ_Monde</v>
      </c>
      <c r="C3175">
        <v>278534346</v>
      </c>
      <c r="D3175">
        <v>58904</v>
      </c>
    </row>
    <row r="3176" spans="1:4" x14ac:dyDescent="0.25">
      <c r="A3176" t="str">
        <f>T("   AE")</f>
        <v xml:space="preserve">   AE</v>
      </c>
      <c r="B3176" t="str">
        <f>T("   Emirats Arabes Unis")</f>
        <v xml:space="preserve">   Emirats Arabes Unis</v>
      </c>
      <c r="C3176">
        <v>488937</v>
      </c>
      <c r="D3176">
        <v>505</v>
      </c>
    </row>
    <row r="3177" spans="1:4" x14ac:dyDescent="0.25">
      <c r="A3177" t="str">
        <f>T("   DE")</f>
        <v xml:space="preserve">   DE</v>
      </c>
      <c r="B3177" t="str">
        <f>T("   Allemagne")</f>
        <v xml:space="preserve">   Allemagne</v>
      </c>
      <c r="C3177">
        <v>107578</v>
      </c>
      <c r="D3177">
        <v>38</v>
      </c>
    </row>
    <row r="3178" spans="1:4" x14ac:dyDescent="0.25">
      <c r="A3178" t="str">
        <f>T("   FR")</f>
        <v xml:space="preserve">   FR</v>
      </c>
      <c r="B3178" t="str">
        <f>T("   France")</f>
        <v xml:space="preserve">   France</v>
      </c>
      <c r="C3178">
        <v>276532071</v>
      </c>
      <c r="D3178">
        <v>54210</v>
      </c>
    </row>
    <row r="3179" spans="1:4" x14ac:dyDescent="0.25">
      <c r="A3179" t="str">
        <f>T("   LB")</f>
        <v xml:space="preserve">   LB</v>
      </c>
      <c r="B3179" t="str">
        <f>T("   Liban")</f>
        <v xml:space="preserve">   Liban</v>
      </c>
      <c r="C3179">
        <v>41474</v>
      </c>
      <c r="D3179">
        <v>31</v>
      </c>
    </row>
    <row r="3180" spans="1:4" x14ac:dyDescent="0.25">
      <c r="A3180" t="str">
        <f>T("   TG")</f>
        <v xml:space="preserve">   TG</v>
      </c>
      <c r="B3180" t="str">
        <f>T("   Togo")</f>
        <v xml:space="preserve">   Togo</v>
      </c>
      <c r="C3180">
        <v>1364286</v>
      </c>
      <c r="D3180">
        <v>4120</v>
      </c>
    </row>
    <row r="3181" spans="1:4" x14ac:dyDescent="0.25">
      <c r="A3181" t="str">
        <f>T("300590")</f>
        <v>300590</v>
      </c>
      <c r="B3181" t="str">
        <f>T("OUATES, GAZES, BANDES ET ARTICLES ANALOGUES [PANSEMENTS, SPARADRAPS, SINAPISMES, P.EX.], IMPRÉGNÉS OU RECOUVERTS DE SUBSTANCES PHARMACEUTIQUES OU CONDITIONNÉS POUR LA VENTE AU DÉTAIL À DES FINS MÉDICALES, CHIRURGICALES, DENTAIRES OU VÉTÉRINAIRES (À L'EXCL")</f>
        <v>OUATES, GAZES, BANDES ET ARTICLES ANALOGUES [PANSEMENTS, SPARADRAPS, SINAPISMES, P.EX.], IMPRÉGNÉS OU RECOUVERTS DE SUBSTANCES PHARMACEUTIQUES OU CONDITIONNÉS POUR LA VENTE AU DÉTAIL À DES FINS MÉDICALES, CHIRURGICALES, DENTAIRES OU VÉTÉRINAIRES (À L'EXCL</v>
      </c>
    </row>
    <row r="3182" spans="1:4" x14ac:dyDescent="0.25">
      <c r="A3182" t="str">
        <f>T("   ZZZ_Monde")</f>
        <v xml:space="preserve">   ZZZ_Monde</v>
      </c>
      <c r="B3182" t="str">
        <f>T("   ZZZ_Monde")</f>
        <v xml:space="preserve">   ZZZ_Monde</v>
      </c>
      <c r="C3182">
        <v>517852101</v>
      </c>
      <c r="D3182">
        <v>217271</v>
      </c>
    </row>
    <row r="3183" spans="1:4" x14ac:dyDescent="0.25">
      <c r="A3183" t="str">
        <f>T("   AE")</f>
        <v xml:space="preserve">   AE</v>
      </c>
      <c r="B3183" t="str">
        <f>T("   Emirats Arabes Unis")</f>
        <v xml:space="preserve">   Emirats Arabes Unis</v>
      </c>
      <c r="C3183">
        <v>5208000</v>
      </c>
      <c r="D3183">
        <v>2930</v>
      </c>
    </row>
    <row r="3184" spans="1:4" x14ac:dyDescent="0.25">
      <c r="A3184" t="str">
        <f>T("   BE")</f>
        <v xml:space="preserve">   BE</v>
      </c>
      <c r="B3184" t="str">
        <f>T("   Belgique")</f>
        <v xml:space="preserve">   Belgique</v>
      </c>
      <c r="C3184">
        <v>3401003</v>
      </c>
      <c r="D3184">
        <v>208</v>
      </c>
    </row>
    <row r="3185" spans="1:4" x14ac:dyDescent="0.25">
      <c r="A3185" t="str">
        <f>T("   CN")</f>
        <v xml:space="preserve">   CN</v>
      </c>
      <c r="B3185" t="str">
        <f>T("   Chine")</f>
        <v xml:space="preserve">   Chine</v>
      </c>
      <c r="C3185">
        <v>230491186</v>
      </c>
      <c r="D3185">
        <v>158362</v>
      </c>
    </row>
    <row r="3186" spans="1:4" x14ac:dyDescent="0.25">
      <c r="A3186" t="str">
        <f>T("   DE")</f>
        <v xml:space="preserve">   DE</v>
      </c>
      <c r="B3186" t="str">
        <f>T("   Allemagne")</f>
        <v xml:space="preserve">   Allemagne</v>
      </c>
      <c r="C3186">
        <v>25510022</v>
      </c>
      <c r="D3186">
        <v>2500</v>
      </c>
    </row>
    <row r="3187" spans="1:4" x14ac:dyDescent="0.25">
      <c r="A3187" t="str">
        <f>T("   FR")</f>
        <v xml:space="preserve">   FR</v>
      </c>
      <c r="B3187" t="str">
        <f>T("   France")</f>
        <v xml:space="preserve">   France</v>
      </c>
      <c r="C3187">
        <v>234823040</v>
      </c>
      <c r="D3187">
        <v>47109</v>
      </c>
    </row>
    <row r="3188" spans="1:4" x14ac:dyDescent="0.25">
      <c r="A3188" t="str">
        <f>T("   IN")</f>
        <v xml:space="preserve">   IN</v>
      </c>
      <c r="B3188" t="str">
        <f>T("   Inde")</f>
        <v xml:space="preserve">   Inde</v>
      </c>
      <c r="C3188">
        <v>270157</v>
      </c>
      <c r="D3188">
        <v>110</v>
      </c>
    </row>
    <row r="3189" spans="1:4" x14ac:dyDescent="0.25">
      <c r="A3189" t="str">
        <f>T("   KR")</f>
        <v xml:space="preserve">   KR</v>
      </c>
      <c r="B3189" t="str">
        <f>T("   Corée, République de")</f>
        <v xml:space="preserve">   Corée, République de</v>
      </c>
      <c r="C3189">
        <v>2835864</v>
      </c>
      <c r="D3189">
        <v>590</v>
      </c>
    </row>
    <row r="3190" spans="1:4" x14ac:dyDescent="0.25">
      <c r="A3190" t="str">
        <f>T("   NL")</f>
        <v xml:space="preserve">   NL</v>
      </c>
      <c r="B3190" t="str">
        <f>T("   Pays-bas")</f>
        <v xml:space="preserve">   Pays-bas</v>
      </c>
      <c r="C3190">
        <v>9903684</v>
      </c>
      <c r="D3190">
        <v>1225</v>
      </c>
    </row>
    <row r="3191" spans="1:4" x14ac:dyDescent="0.25">
      <c r="A3191" t="str">
        <f>T("   TG")</f>
        <v xml:space="preserve">   TG</v>
      </c>
      <c r="B3191" t="str">
        <f>T("   Togo")</f>
        <v xml:space="preserve">   Togo</v>
      </c>
      <c r="C3191">
        <v>1702050</v>
      </c>
      <c r="D3191">
        <v>280</v>
      </c>
    </row>
    <row r="3192" spans="1:4" x14ac:dyDescent="0.25">
      <c r="A3192" t="str">
        <f>T("   US")</f>
        <v xml:space="preserve">   US</v>
      </c>
      <c r="B3192" t="str">
        <f>T("   Etats-Unis")</f>
        <v xml:space="preserve">   Etats-Unis</v>
      </c>
      <c r="C3192">
        <v>3707095</v>
      </c>
      <c r="D3192">
        <v>3957</v>
      </c>
    </row>
    <row r="3193" spans="1:4" x14ac:dyDescent="0.25">
      <c r="A3193" t="str">
        <f>T("300610")</f>
        <v>300610</v>
      </c>
      <c r="B3193" t="str">
        <f>T("CATGUTS STÉRILES, LIGATURES STÉRILES SIMIL. POUR SUTURES CHIRURGICALES, Y.C. FILS RÉSORBABLES STÉRILES POUR LA CHIRURGIE OU L'ART DENTAIRE, ET ADHÉSIFS STÉRILES POUR TISSUS ORGANIQUES UTILISÉS EN CHIRURGIE POUR REFERMER LES PLAIES; LAMINAIRES STÉRILES; HÉ")</f>
        <v>CATGUTS STÉRILES, LIGATURES STÉRILES SIMIL. POUR SUTURES CHIRURGICALES, Y.C. FILS RÉSORBABLES STÉRILES POUR LA CHIRURGIE OU L'ART DENTAIRE, ET ADHÉSIFS STÉRILES POUR TISSUS ORGANIQUES UTILISÉS EN CHIRURGIE POUR REFERMER LES PLAIES; LAMINAIRES STÉRILES; HÉ</v>
      </c>
    </row>
    <row r="3194" spans="1:4" x14ac:dyDescent="0.25">
      <c r="A3194" t="str">
        <f>T("   ZZZ_Monde")</f>
        <v xml:space="preserve">   ZZZ_Monde</v>
      </c>
      <c r="B3194" t="str">
        <f>T("   ZZZ_Monde")</f>
        <v xml:space="preserve">   ZZZ_Monde</v>
      </c>
      <c r="C3194">
        <v>74103368</v>
      </c>
      <c r="D3194">
        <v>1478</v>
      </c>
    </row>
    <row r="3195" spans="1:4" x14ac:dyDescent="0.25">
      <c r="A3195" t="str">
        <f>T("   ES")</f>
        <v xml:space="preserve">   ES</v>
      </c>
      <c r="B3195" t="str">
        <f>T("   Espagne")</f>
        <v xml:space="preserve">   Espagne</v>
      </c>
      <c r="C3195">
        <v>16374369</v>
      </c>
      <c r="D3195">
        <v>92</v>
      </c>
    </row>
    <row r="3196" spans="1:4" x14ac:dyDescent="0.25">
      <c r="A3196" t="str">
        <f>T("   FR")</f>
        <v xml:space="preserve">   FR</v>
      </c>
      <c r="B3196" t="str">
        <f>T("   France")</f>
        <v xml:space="preserve">   France</v>
      </c>
      <c r="C3196">
        <v>56712976</v>
      </c>
      <c r="D3196">
        <v>1168</v>
      </c>
    </row>
    <row r="3197" spans="1:4" x14ac:dyDescent="0.25">
      <c r="A3197" t="str">
        <f>T("   IN")</f>
        <v xml:space="preserve">   IN</v>
      </c>
      <c r="B3197" t="str">
        <f>T("   Inde")</f>
        <v xml:space="preserve">   Inde</v>
      </c>
      <c r="C3197">
        <v>938023</v>
      </c>
      <c r="D3197">
        <v>140</v>
      </c>
    </row>
    <row r="3198" spans="1:4" x14ac:dyDescent="0.25">
      <c r="A3198" t="str">
        <f>T("   NG")</f>
        <v xml:space="preserve">   NG</v>
      </c>
      <c r="B3198" t="str">
        <f>T("   Nigéria")</f>
        <v xml:space="preserve">   Nigéria</v>
      </c>
      <c r="C3198">
        <v>78000</v>
      </c>
      <c r="D3198">
        <v>78</v>
      </c>
    </row>
    <row r="3199" spans="1:4" x14ac:dyDescent="0.25">
      <c r="A3199" t="str">
        <f>T("300620")</f>
        <v>300620</v>
      </c>
      <c r="B3199" t="str">
        <f>T("Réactifs destinés à la détermination des groupes ou des facteurs sanguins")</f>
        <v>Réactifs destinés à la détermination des groupes ou des facteurs sanguins</v>
      </c>
    </row>
    <row r="3200" spans="1:4" x14ac:dyDescent="0.25">
      <c r="A3200" t="str">
        <f>T("   ZZZ_Monde")</f>
        <v xml:space="preserve">   ZZZ_Monde</v>
      </c>
      <c r="B3200" t="str">
        <f>T("   ZZZ_Monde")</f>
        <v xml:space="preserve">   ZZZ_Monde</v>
      </c>
      <c r="C3200">
        <v>18167882</v>
      </c>
      <c r="D3200">
        <v>84</v>
      </c>
    </row>
    <row r="3201" spans="1:4" x14ac:dyDescent="0.25">
      <c r="A3201" t="str">
        <f>T("   FR")</f>
        <v xml:space="preserve">   FR</v>
      </c>
      <c r="B3201" t="str">
        <f>T("   France")</f>
        <v xml:space="preserve">   France</v>
      </c>
      <c r="C3201">
        <v>18167882</v>
      </c>
      <c r="D3201">
        <v>84</v>
      </c>
    </row>
    <row r="3202" spans="1:4" x14ac:dyDescent="0.25">
      <c r="A3202" t="str">
        <f>T("300630")</f>
        <v>300630</v>
      </c>
      <c r="B3202" t="str">
        <f>T("Préparations opacifiantes pour examens radiographiques; réactifs de diagnostic conçus pour être employés sur le patient")</f>
        <v>Préparations opacifiantes pour examens radiographiques; réactifs de diagnostic conçus pour être employés sur le patient</v>
      </c>
    </row>
    <row r="3203" spans="1:4" x14ac:dyDescent="0.25">
      <c r="A3203" t="str">
        <f>T("   ZZZ_Monde")</f>
        <v xml:space="preserve">   ZZZ_Monde</v>
      </c>
      <c r="B3203" t="str">
        <f>T("   ZZZ_Monde")</f>
        <v xml:space="preserve">   ZZZ_Monde</v>
      </c>
      <c r="C3203">
        <v>14340509</v>
      </c>
      <c r="D3203">
        <v>1584</v>
      </c>
    </row>
    <row r="3204" spans="1:4" x14ac:dyDescent="0.25">
      <c r="A3204" t="str">
        <f>T("   CN")</f>
        <v xml:space="preserve">   CN</v>
      </c>
      <c r="B3204" t="str">
        <f>T("   Chine")</f>
        <v xml:space="preserve">   Chine</v>
      </c>
      <c r="C3204">
        <v>11504400</v>
      </c>
      <c r="D3204">
        <v>1500</v>
      </c>
    </row>
    <row r="3205" spans="1:4" x14ac:dyDescent="0.25">
      <c r="A3205" t="str">
        <f>T("   FR")</f>
        <v xml:space="preserve">   FR</v>
      </c>
      <c r="B3205" t="str">
        <f>T("   France")</f>
        <v xml:space="preserve">   France</v>
      </c>
      <c r="C3205">
        <v>2836109</v>
      </c>
      <c r="D3205">
        <v>84</v>
      </c>
    </row>
    <row r="3206" spans="1:4" x14ac:dyDescent="0.25">
      <c r="A3206" t="str">
        <f>T("300660")</f>
        <v>300660</v>
      </c>
      <c r="B3206" t="str">
        <f>T("Préparations chimiques contraceptives à base d'hormones, de prostaglandines, de thromboxanes, de leucotriènes, de leurs dérivés et analogues structurels ou de spermicides")</f>
        <v>Préparations chimiques contraceptives à base d'hormones, de prostaglandines, de thromboxanes, de leucotriènes, de leurs dérivés et analogues structurels ou de spermicides</v>
      </c>
    </row>
    <row r="3207" spans="1:4" x14ac:dyDescent="0.25">
      <c r="A3207" t="str">
        <f>T("   ZZZ_Monde")</f>
        <v xml:space="preserve">   ZZZ_Monde</v>
      </c>
      <c r="B3207" t="str">
        <f>T("   ZZZ_Monde")</f>
        <v xml:space="preserve">   ZZZ_Monde</v>
      </c>
      <c r="C3207">
        <v>165736503</v>
      </c>
      <c r="D3207">
        <v>329</v>
      </c>
    </row>
    <row r="3208" spans="1:4" x14ac:dyDescent="0.25">
      <c r="A3208" t="str">
        <f>T("   FI")</f>
        <v xml:space="preserve">   FI</v>
      </c>
      <c r="B3208" t="str">
        <f>T("   Finlande")</f>
        <v xml:space="preserve">   Finlande</v>
      </c>
      <c r="C3208">
        <v>165736503</v>
      </c>
      <c r="D3208">
        <v>329</v>
      </c>
    </row>
    <row r="3209" spans="1:4" x14ac:dyDescent="0.25">
      <c r="A3209" t="str">
        <f>T("300670")</f>
        <v>300670</v>
      </c>
      <c r="B3209" t="str">
        <f>T("Préparations présentées sous forme de gel conçues pour être utilisées en médecine humaine ou vétérinaire comme lubrifiant pour certaines parties du corps lors des opérations chirurgicales ou des examens médicaux ou comme agent de couplage entre le corps e")</f>
        <v>Préparations présentées sous forme de gel conçues pour être utilisées en médecine humaine ou vétérinaire comme lubrifiant pour certaines parties du corps lors des opérations chirurgicales ou des examens médicaux ou comme agent de couplage entre le corps e</v>
      </c>
    </row>
    <row r="3210" spans="1:4" x14ac:dyDescent="0.25">
      <c r="A3210" t="str">
        <f>T("   ZZZ_Monde")</f>
        <v xml:space="preserve">   ZZZ_Monde</v>
      </c>
      <c r="B3210" t="str">
        <f>T("   ZZZ_Monde")</f>
        <v xml:space="preserve">   ZZZ_Monde</v>
      </c>
      <c r="C3210">
        <v>11032599</v>
      </c>
      <c r="D3210">
        <v>1103</v>
      </c>
    </row>
    <row r="3211" spans="1:4" x14ac:dyDescent="0.25">
      <c r="A3211" t="str">
        <f>T("   DE")</f>
        <v xml:space="preserve">   DE</v>
      </c>
      <c r="B3211" t="str">
        <f>T("   Allemagne")</f>
        <v xml:space="preserve">   Allemagne</v>
      </c>
      <c r="C3211">
        <v>632346</v>
      </c>
      <c r="D3211">
        <v>52</v>
      </c>
    </row>
    <row r="3212" spans="1:4" x14ac:dyDescent="0.25">
      <c r="A3212" t="str">
        <f>T("   FR")</f>
        <v xml:space="preserve">   FR</v>
      </c>
      <c r="B3212" t="str">
        <f>T("   France")</f>
        <v xml:space="preserve">   France</v>
      </c>
      <c r="C3212">
        <v>10175253</v>
      </c>
      <c r="D3212">
        <v>1006</v>
      </c>
    </row>
    <row r="3213" spans="1:4" x14ac:dyDescent="0.25">
      <c r="A3213" t="str">
        <f>T("   NG")</f>
        <v xml:space="preserve">   NG</v>
      </c>
      <c r="B3213" t="str">
        <f>T("   Nigéria")</f>
        <v xml:space="preserve">   Nigéria</v>
      </c>
      <c r="C3213">
        <v>225000</v>
      </c>
      <c r="D3213">
        <v>45</v>
      </c>
    </row>
    <row r="3214" spans="1:4" x14ac:dyDescent="0.25">
      <c r="A3214" t="str">
        <f>T("310100")</f>
        <v>310100</v>
      </c>
      <c r="B3214" t="str">
        <f>T("Engrais d'origine animale ou végétale, même mélangés entre eux ou traités chimiquement; engrais résultant du mélange ou du traitement chimique de produits d'origine animale ou végétale (à l'excl. des produits présentés soit en tablettes ou formes simil.,")</f>
        <v>Engrais d'origine animale ou végétale, même mélangés entre eux ou traités chimiquement; engrais résultant du mélange ou du traitement chimique de produits d'origine animale ou végétale (à l'excl. des produits présentés soit en tablettes ou formes simil.,</v>
      </c>
    </row>
    <row r="3215" spans="1:4" x14ac:dyDescent="0.25">
      <c r="A3215" t="str">
        <f>T("   ZZZ_Monde")</f>
        <v xml:space="preserve">   ZZZ_Monde</v>
      </c>
      <c r="B3215" t="str">
        <f>T("   ZZZ_Monde")</f>
        <v xml:space="preserve">   ZZZ_Monde</v>
      </c>
      <c r="C3215">
        <v>807781</v>
      </c>
      <c r="D3215">
        <v>8625</v>
      </c>
    </row>
    <row r="3216" spans="1:4" x14ac:dyDescent="0.25">
      <c r="A3216" t="str">
        <f>T("   BE")</f>
        <v xml:space="preserve">   BE</v>
      </c>
      <c r="B3216" t="str">
        <f>T("   Belgique")</f>
        <v xml:space="preserve">   Belgique</v>
      </c>
      <c r="C3216">
        <v>707781</v>
      </c>
      <c r="D3216">
        <v>225</v>
      </c>
    </row>
    <row r="3217" spans="1:4" x14ac:dyDescent="0.25">
      <c r="A3217" t="str">
        <f>T("   TG")</f>
        <v xml:space="preserve">   TG</v>
      </c>
      <c r="B3217" t="str">
        <f>T("   Togo")</f>
        <v xml:space="preserve">   Togo</v>
      </c>
      <c r="C3217">
        <v>100000</v>
      </c>
      <c r="D3217">
        <v>8400</v>
      </c>
    </row>
    <row r="3218" spans="1:4" x14ac:dyDescent="0.25">
      <c r="A3218" t="str">
        <f>T("310230")</f>
        <v>310230</v>
      </c>
      <c r="B3218" t="str">
        <f>T("Nitrate d'ammonium, même en solution aqueuse (à l'excl. des produits présentés soit en tablettes ou formes simil., soit en emballages d'un poids brut &lt;= 10 kg)")</f>
        <v>Nitrate d'ammonium, même en solution aqueuse (à l'excl. des produits présentés soit en tablettes ou formes simil., soit en emballages d'un poids brut &lt;= 10 kg)</v>
      </c>
    </row>
    <row r="3219" spans="1:4" x14ac:dyDescent="0.25">
      <c r="A3219" t="str">
        <f>T("   ZZZ_Monde")</f>
        <v xml:space="preserve">   ZZZ_Monde</v>
      </c>
      <c r="B3219" t="str">
        <f>T("   ZZZ_Monde")</f>
        <v xml:space="preserve">   ZZZ_Monde</v>
      </c>
      <c r="C3219">
        <v>38832832</v>
      </c>
      <c r="D3219">
        <v>82400</v>
      </c>
    </row>
    <row r="3220" spans="1:4" x14ac:dyDescent="0.25">
      <c r="A3220" t="str">
        <f>T("   FR")</f>
        <v xml:space="preserve">   FR</v>
      </c>
      <c r="B3220" t="str">
        <f>T("   France")</f>
        <v xml:space="preserve">   France</v>
      </c>
      <c r="C3220">
        <v>38832832</v>
      </c>
      <c r="D3220">
        <v>82400</v>
      </c>
    </row>
    <row r="3221" spans="1:4" x14ac:dyDescent="0.25">
      <c r="A3221" t="str">
        <f>T("310520")</f>
        <v>310520</v>
      </c>
      <c r="B3221" t="str">
        <f>T("Engrais minéraux ou chimiques contenant les trois éléments fertilisants : azote, phosphore et potassium (à l'excl. des produits présentés soit en tablettes ou formes simil., soit en emballages d'un poids brut &lt;= 10 kg)")</f>
        <v>Engrais minéraux ou chimiques contenant les trois éléments fertilisants : azote, phosphore et potassium (à l'excl. des produits présentés soit en tablettes ou formes simil., soit en emballages d'un poids brut &lt;= 10 kg)</v>
      </c>
    </row>
    <row r="3222" spans="1:4" x14ac:dyDescent="0.25">
      <c r="A3222" t="str">
        <f>T("   ZZZ_Monde")</f>
        <v xml:space="preserve">   ZZZ_Monde</v>
      </c>
      <c r="B3222" t="str">
        <f>T("   ZZZ_Monde")</f>
        <v xml:space="preserve">   ZZZ_Monde</v>
      </c>
      <c r="C3222">
        <v>6553171</v>
      </c>
      <c r="D3222">
        <v>268100</v>
      </c>
    </row>
    <row r="3223" spans="1:4" x14ac:dyDescent="0.25">
      <c r="A3223" t="str">
        <f>T("   NG")</f>
        <v xml:space="preserve">   NG</v>
      </c>
      <c r="B3223" t="str">
        <f>T("   Nigéria")</f>
        <v xml:space="preserve">   Nigéria</v>
      </c>
      <c r="C3223">
        <v>6302500</v>
      </c>
      <c r="D3223">
        <v>252100</v>
      </c>
    </row>
    <row r="3224" spans="1:4" x14ac:dyDescent="0.25">
      <c r="A3224" t="str">
        <f>T("   TG")</f>
        <v xml:space="preserve">   TG</v>
      </c>
      <c r="B3224" t="str">
        <f>T("   Togo")</f>
        <v xml:space="preserve">   Togo</v>
      </c>
      <c r="C3224">
        <v>250671</v>
      </c>
      <c r="D3224">
        <v>16000</v>
      </c>
    </row>
    <row r="3225" spans="1:4" x14ac:dyDescent="0.25">
      <c r="A3225" t="str">
        <f>T("310540")</f>
        <v>310540</v>
      </c>
      <c r="B3225" t="str">
        <f>T("Dihydrogénoorthophosphate d'ammonium [phosphate monoammonique], même en mélange avec l'hydrogénoorthophosphate de diammonium [phosphate diammonique] (à l'excl. des produits présentés soit en tablettes ou formes simil., soit en emballages d'un poids brut &lt;")</f>
        <v>Dihydrogénoorthophosphate d'ammonium [phosphate monoammonique], même en mélange avec l'hydrogénoorthophosphate de diammonium [phosphate diammonique] (à l'excl. des produits présentés soit en tablettes ou formes simil., soit en emballages d'un poids brut &lt;</v>
      </c>
    </row>
    <row r="3226" spans="1:4" x14ac:dyDescent="0.25">
      <c r="A3226" t="str">
        <f>T("   ZZZ_Monde")</f>
        <v xml:space="preserve">   ZZZ_Monde</v>
      </c>
      <c r="B3226" t="str">
        <f>T("   ZZZ_Monde")</f>
        <v xml:space="preserve">   ZZZ_Monde</v>
      </c>
      <c r="C3226">
        <v>29625</v>
      </c>
      <c r="D3226">
        <v>75</v>
      </c>
    </row>
    <row r="3227" spans="1:4" x14ac:dyDescent="0.25">
      <c r="A3227" t="str">
        <f>T("   NG")</f>
        <v xml:space="preserve">   NG</v>
      </c>
      <c r="B3227" t="str">
        <f>T("   Nigéria")</f>
        <v xml:space="preserve">   Nigéria</v>
      </c>
      <c r="C3227">
        <v>29625</v>
      </c>
      <c r="D3227">
        <v>75</v>
      </c>
    </row>
    <row r="3228" spans="1:4" x14ac:dyDescent="0.25">
      <c r="A3228" t="str">
        <f>T("310560")</f>
        <v>310560</v>
      </c>
      <c r="B3228" t="str">
        <f>T("Engrais minéraux ou chimiques contenant les deux éléments fertilisants : phosphore et potassium (à l'excl. des produits présentés soit en tablettes ou formes simil., soit en emballages d'un poids brut &lt;= 10 kg)")</f>
        <v>Engrais minéraux ou chimiques contenant les deux éléments fertilisants : phosphore et potassium (à l'excl. des produits présentés soit en tablettes ou formes simil., soit en emballages d'un poids brut &lt;= 10 kg)</v>
      </c>
    </row>
    <row r="3229" spans="1:4" x14ac:dyDescent="0.25">
      <c r="A3229" t="str">
        <f>T("   ZZZ_Monde")</f>
        <v xml:space="preserve">   ZZZ_Monde</v>
      </c>
      <c r="B3229" t="str">
        <f>T("   ZZZ_Monde")</f>
        <v xml:space="preserve">   ZZZ_Monde</v>
      </c>
      <c r="C3229">
        <v>8000000</v>
      </c>
      <c r="D3229">
        <v>18152</v>
      </c>
    </row>
    <row r="3230" spans="1:4" x14ac:dyDescent="0.25">
      <c r="A3230" t="str">
        <f>T("   IN")</f>
        <v xml:space="preserve">   IN</v>
      </c>
      <c r="B3230" t="str">
        <f>T("   Inde")</f>
        <v xml:space="preserve">   Inde</v>
      </c>
      <c r="C3230">
        <v>8000000</v>
      </c>
      <c r="D3230">
        <v>18152</v>
      </c>
    </row>
    <row r="3231" spans="1:4" x14ac:dyDescent="0.25">
      <c r="A3231" t="str">
        <f>T("310590")</f>
        <v>310590</v>
      </c>
      <c r="B3231" t="str">
        <f>T("Engrais minéraux ou chimiques contenant les deux éléments fertilisants : azote et potassium ou ne contenant qu'un seul élément fertilisant principal, y.c. les mélanges d'engrais d'origine animale ou végétale avec des engrais chimiques ou minéraux (à l'exc")</f>
        <v>Engrais minéraux ou chimiques contenant les deux éléments fertilisants : azote et potassium ou ne contenant qu'un seul élément fertilisant principal, y.c. les mélanges d'engrais d'origine animale ou végétale avec des engrais chimiques ou minéraux (à l'exc</v>
      </c>
    </row>
    <row r="3232" spans="1:4" x14ac:dyDescent="0.25">
      <c r="A3232" t="str">
        <f>T("   ZZZ_Monde")</f>
        <v xml:space="preserve">   ZZZ_Monde</v>
      </c>
      <c r="B3232" t="str">
        <f>T("   ZZZ_Monde")</f>
        <v xml:space="preserve">   ZZZ_Monde</v>
      </c>
      <c r="C3232">
        <v>179048</v>
      </c>
      <c r="D3232">
        <v>730</v>
      </c>
    </row>
    <row r="3233" spans="1:4" x14ac:dyDescent="0.25">
      <c r="A3233" t="str">
        <f>T("   TG")</f>
        <v xml:space="preserve">   TG</v>
      </c>
      <c r="B3233" t="str">
        <f>T("   Togo")</f>
        <v xml:space="preserve">   Togo</v>
      </c>
      <c r="C3233">
        <v>179048</v>
      </c>
      <c r="D3233">
        <v>730</v>
      </c>
    </row>
    <row r="3234" spans="1:4" x14ac:dyDescent="0.25">
      <c r="A3234" t="str">
        <f>T("320120")</f>
        <v>320120</v>
      </c>
      <c r="B3234" t="str">
        <f>T("Extrait de mimosa")</f>
        <v>Extrait de mimosa</v>
      </c>
    </row>
    <row r="3235" spans="1:4" x14ac:dyDescent="0.25">
      <c r="A3235" t="str">
        <f>T("   ZZZ_Monde")</f>
        <v xml:space="preserve">   ZZZ_Monde</v>
      </c>
      <c r="B3235" t="str">
        <f>T("   ZZZ_Monde")</f>
        <v xml:space="preserve">   ZZZ_Monde</v>
      </c>
      <c r="C3235">
        <v>500000</v>
      </c>
      <c r="D3235">
        <v>1250</v>
      </c>
    </row>
    <row r="3236" spans="1:4" x14ac:dyDescent="0.25">
      <c r="A3236" t="str">
        <f>T("   TG")</f>
        <v xml:space="preserve">   TG</v>
      </c>
      <c r="B3236" t="str">
        <f>T("   Togo")</f>
        <v xml:space="preserve">   Togo</v>
      </c>
      <c r="C3236">
        <v>500000</v>
      </c>
      <c r="D3236">
        <v>1250</v>
      </c>
    </row>
    <row r="3237" spans="1:4" x14ac:dyDescent="0.25">
      <c r="A3237" t="str">
        <f>T("320300")</f>
        <v>320300</v>
      </c>
      <c r="B3237" t="str">
        <f>T("Matières colorantes d'origine végétale ou animale, y.c. les extraits tinctoriaux (sauf les noirs d'origine animale), même de constitution chimique définie; préparations à base de matières colorantes d'origine végétale ou animale ou bien destinées à entrer")</f>
        <v>Matières colorantes d'origine végétale ou animale, y.c. les extraits tinctoriaux (sauf les noirs d'origine animale), même de constitution chimique définie; préparations à base de matières colorantes d'origine végétale ou animale ou bien destinées à entrer</v>
      </c>
    </row>
    <row r="3238" spans="1:4" x14ac:dyDescent="0.25">
      <c r="A3238" t="str">
        <f>T("   ZZZ_Monde")</f>
        <v xml:space="preserve">   ZZZ_Monde</v>
      </c>
      <c r="B3238" t="str">
        <f>T("   ZZZ_Monde")</f>
        <v xml:space="preserve">   ZZZ_Monde</v>
      </c>
      <c r="C3238">
        <v>36333914</v>
      </c>
      <c r="D3238">
        <v>29898</v>
      </c>
    </row>
    <row r="3239" spans="1:4" x14ac:dyDescent="0.25">
      <c r="A3239" t="str">
        <f>T("   FR")</f>
        <v xml:space="preserve">   FR</v>
      </c>
      <c r="B3239" t="str">
        <f>T("   France")</f>
        <v xml:space="preserve">   France</v>
      </c>
      <c r="C3239">
        <v>11951139</v>
      </c>
      <c r="D3239">
        <v>2890</v>
      </c>
    </row>
    <row r="3240" spans="1:4" x14ac:dyDescent="0.25">
      <c r="A3240" t="str">
        <f>T("   IE")</f>
        <v xml:space="preserve">   IE</v>
      </c>
      <c r="B3240" t="str">
        <f>T("   Irlande")</f>
        <v xml:space="preserve">   Irlande</v>
      </c>
      <c r="C3240">
        <v>5959095</v>
      </c>
      <c r="D3240">
        <v>820</v>
      </c>
    </row>
    <row r="3241" spans="1:4" x14ac:dyDescent="0.25">
      <c r="A3241" t="str">
        <f>T("   IT")</f>
        <v xml:space="preserve">   IT</v>
      </c>
      <c r="B3241" t="str">
        <f>T("   Italie")</f>
        <v xml:space="preserve">   Italie</v>
      </c>
      <c r="C3241">
        <v>17970680</v>
      </c>
      <c r="D3241">
        <v>25988</v>
      </c>
    </row>
    <row r="3242" spans="1:4" x14ac:dyDescent="0.25">
      <c r="A3242" t="str">
        <f>T("   NG")</f>
        <v xml:space="preserve">   NG</v>
      </c>
      <c r="B3242" t="str">
        <f>T("   Nigéria")</f>
        <v xml:space="preserve">   Nigéria</v>
      </c>
      <c r="C3242">
        <v>453000</v>
      </c>
      <c r="D3242">
        <v>200</v>
      </c>
    </row>
    <row r="3243" spans="1:4" x14ac:dyDescent="0.25">
      <c r="A3243" t="str">
        <f>T("320411")</f>
        <v>320411</v>
      </c>
      <c r="B3243" t="str">
        <f>T("Colorants organiques synthétiques dispersés; préparations à base de colorants organiques synthétiques dispersés, des types utilisés pour colorer toute matière ou bien destinées à entrer comme ingrédients dans la fabrication de préparations colorantes (à l")</f>
        <v>Colorants organiques synthétiques dispersés; préparations à base de colorants organiques synthétiques dispersés, des types utilisés pour colorer toute matière ou bien destinées à entrer comme ingrédients dans la fabrication de préparations colorantes (à l</v>
      </c>
    </row>
    <row r="3244" spans="1:4" x14ac:dyDescent="0.25">
      <c r="A3244" t="str">
        <f>T("   ZZZ_Monde")</f>
        <v xml:space="preserve">   ZZZ_Monde</v>
      </c>
      <c r="B3244" t="str">
        <f>T("   ZZZ_Monde")</f>
        <v xml:space="preserve">   ZZZ_Monde</v>
      </c>
      <c r="C3244">
        <v>2942472</v>
      </c>
      <c r="D3244">
        <v>520</v>
      </c>
    </row>
    <row r="3245" spans="1:4" x14ac:dyDescent="0.25">
      <c r="A3245" t="str">
        <f>T("   ES")</f>
        <v xml:space="preserve">   ES</v>
      </c>
      <c r="B3245" t="str">
        <f>T("   Espagne")</f>
        <v xml:space="preserve">   Espagne</v>
      </c>
      <c r="C3245">
        <v>581311</v>
      </c>
      <c r="D3245">
        <v>60</v>
      </c>
    </row>
    <row r="3246" spans="1:4" x14ac:dyDescent="0.25">
      <c r="A3246" t="str">
        <f>T("   FR")</f>
        <v xml:space="preserve">   FR</v>
      </c>
      <c r="B3246" t="str">
        <f>T("   France")</f>
        <v xml:space="preserve">   France</v>
      </c>
      <c r="C3246">
        <v>2146301</v>
      </c>
      <c r="D3246">
        <v>180</v>
      </c>
    </row>
    <row r="3247" spans="1:4" x14ac:dyDescent="0.25">
      <c r="A3247" t="str">
        <f>T("   TG")</f>
        <v xml:space="preserve">   TG</v>
      </c>
      <c r="B3247" t="str">
        <f>T("   Togo")</f>
        <v xml:space="preserve">   Togo</v>
      </c>
      <c r="C3247">
        <v>214860</v>
      </c>
      <c r="D3247">
        <v>280</v>
      </c>
    </row>
    <row r="3248" spans="1:4" x14ac:dyDescent="0.25">
      <c r="A3248" t="str">
        <f>T("320412")</f>
        <v>320412</v>
      </c>
      <c r="B3248" t="str">
        <f>T("Colorants organiques synthétiques acides, même métallisés, et colorants organiques synthétiques à mordants; préparations à base de colorants organiques synthétiques acides ou à mordants, des types utilisés pour colorer toute matière ou bien destinées à en")</f>
        <v>Colorants organiques synthétiques acides, même métallisés, et colorants organiques synthétiques à mordants; préparations à base de colorants organiques synthétiques acides ou à mordants, des types utilisés pour colorer toute matière ou bien destinées à en</v>
      </c>
    </row>
    <row r="3249" spans="1:4" x14ac:dyDescent="0.25">
      <c r="A3249" t="str">
        <f>T("   ZZZ_Monde")</f>
        <v xml:space="preserve">   ZZZ_Monde</v>
      </c>
      <c r="B3249" t="str">
        <f>T("   ZZZ_Monde")</f>
        <v xml:space="preserve">   ZZZ_Monde</v>
      </c>
      <c r="C3249">
        <v>549694</v>
      </c>
      <c r="D3249">
        <v>10</v>
      </c>
    </row>
    <row r="3250" spans="1:4" x14ac:dyDescent="0.25">
      <c r="A3250" t="str">
        <f>T("   FR")</f>
        <v xml:space="preserve">   FR</v>
      </c>
      <c r="B3250" t="str">
        <f>T("   France")</f>
        <v xml:space="preserve">   France</v>
      </c>
      <c r="C3250">
        <v>549694</v>
      </c>
      <c r="D3250">
        <v>10</v>
      </c>
    </row>
    <row r="3251" spans="1:4" x14ac:dyDescent="0.25">
      <c r="A3251" t="str">
        <f>T("320413")</f>
        <v>320413</v>
      </c>
      <c r="B3251" t="str">
        <f>T("Colorants organiques synthétiques basiques; préparations à base de colorants organiques synthétiques basiques, des types utilisés pour colorer toute matière ou bien destinées à entrer comme ingrédients dans la fabrication de préparations colorantes (à l'e")</f>
        <v>Colorants organiques synthétiques basiques; préparations à base de colorants organiques synthétiques basiques, des types utilisés pour colorer toute matière ou bien destinées à entrer comme ingrédients dans la fabrication de préparations colorantes (à l'e</v>
      </c>
    </row>
    <row r="3252" spans="1:4" x14ac:dyDescent="0.25">
      <c r="A3252" t="str">
        <f>T("   ZZZ_Monde")</f>
        <v xml:space="preserve">   ZZZ_Monde</v>
      </c>
      <c r="B3252" t="str">
        <f>T("   ZZZ_Monde")</f>
        <v xml:space="preserve">   ZZZ_Monde</v>
      </c>
      <c r="C3252">
        <v>85016353</v>
      </c>
      <c r="D3252">
        <v>21243</v>
      </c>
    </row>
    <row r="3253" spans="1:4" x14ac:dyDescent="0.25">
      <c r="A3253" t="str">
        <f>T("   BE")</f>
        <v xml:space="preserve">   BE</v>
      </c>
      <c r="B3253" t="str">
        <f>T("   Belgique")</f>
        <v xml:space="preserve">   Belgique</v>
      </c>
      <c r="C3253">
        <v>2687469</v>
      </c>
      <c r="D3253">
        <v>312</v>
      </c>
    </row>
    <row r="3254" spans="1:4" x14ac:dyDescent="0.25">
      <c r="A3254" t="str">
        <f>T("   FR")</f>
        <v xml:space="preserve">   FR</v>
      </c>
      <c r="B3254" t="str">
        <f>T("   France")</f>
        <v xml:space="preserve">   France</v>
      </c>
      <c r="C3254">
        <v>82328884</v>
      </c>
      <c r="D3254">
        <v>20931</v>
      </c>
    </row>
    <row r="3255" spans="1:4" x14ac:dyDescent="0.25">
      <c r="A3255" t="str">
        <f>T("320414")</f>
        <v>320414</v>
      </c>
      <c r="B3255" t="str">
        <f>T("Colorants organiques synthétiques directs; préparations à base de colorants organiques synthétiques directs, des types utilisés pour colorer toute matière ou bien destinées à entrer comme ingrédients dans la fabrication de préparations colorantes (à l'exc")</f>
        <v>Colorants organiques synthétiques directs; préparations à base de colorants organiques synthétiques directs, des types utilisés pour colorer toute matière ou bien destinées à entrer comme ingrédients dans la fabrication de préparations colorantes (à l'exc</v>
      </c>
    </row>
    <row r="3256" spans="1:4" x14ac:dyDescent="0.25">
      <c r="A3256" t="str">
        <f>T("   ZZZ_Monde")</f>
        <v xml:space="preserve">   ZZZ_Monde</v>
      </c>
      <c r="B3256" t="str">
        <f>T("   ZZZ_Monde")</f>
        <v xml:space="preserve">   ZZZ_Monde</v>
      </c>
      <c r="C3256">
        <v>4749196</v>
      </c>
      <c r="D3256">
        <v>7887</v>
      </c>
    </row>
    <row r="3257" spans="1:4" x14ac:dyDescent="0.25">
      <c r="A3257" t="str">
        <f>T("   MA")</f>
        <v xml:space="preserve">   MA</v>
      </c>
      <c r="B3257" t="str">
        <f>T("   Maroc")</f>
        <v xml:space="preserve">   Maroc</v>
      </c>
      <c r="C3257">
        <v>4623862</v>
      </c>
      <c r="D3257">
        <v>7587</v>
      </c>
    </row>
    <row r="3258" spans="1:4" x14ac:dyDescent="0.25">
      <c r="A3258" t="str">
        <f>T("   TG")</f>
        <v xml:space="preserve">   TG</v>
      </c>
      <c r="B3258" t="str">
        <f>T("   Togo")</f>
        <v xml:space="preserve">   Togo</v>
      </c>
      <c r="C3258">
        <v>125334</v>
      </c>
      <c r="D3258">
        <v>300</v>
      </c>
    </row>
    <row r="3259" spans="1:4" x14ac:dyDescent="0.25">
      <c r="A3259" t="str">
        <f>T("320417")</f>
        <v>320417</v>
      </c>
      <c r="B3259" t="str">
        <f>T("Colorants organiques synthétiques pigmentaires; préparations à base de colorants organiques synthétiques pigmentaires, des types utilisés pour colorer toute matière ou bien destinées à entrer comme ingrédients dans la fabrication de préparations colorante")</f>
        <v>Colorants organiques synthétiques pigmentaires; préparations à base de colorants organiques synthétiques pigmentaires, des types utilisés pour colorer toute matière ou bien destinées à entrer comme ingrédients dans la fabrication de préparations colorante</v>
      </c>
    </row>
    <row r="3260" spans="1:4" x14ac:dyDescent="0.25">
      <c r="A3260" t="str">
        <f>T("   ZZZ_Monde")</f>
        <v xml:space="preserve">   ZZZ_Monde</v>
      </c>
      <c r="B3260" t="str">
        <f>T("   ZZZ_Monde")</f>
        <v xml:space="preserve">   ZZZ_Monde</v>
      </c>
      <c r="C3260">
        <v>21693255</v>
      </c>
      <c r="D3260">
        <v>2568</v>
      </c>
    </row>
    <row r="3261" spans="1:4" x14ac:dyDescent="0.25">
      <c r="A3261" t="str">
        <f>T("   BE")</f>
        <v xml:space="preserve">   BE</v>
      </c>
      <c r="B3261" t="str">
        <f>T("   Belgique")</f>
        <v xml:space="preserve">   Belgique</v>
      </c>
      <c r="C3261">
        <v>11930601</v>
      </c>
      <c r="D3261">
        <v>1220</v>
      </c>
    </row>
    <row r="3262" spans="1:4" x14ac:dyDescent="0.25">
      <c r="A3262" t="str">
        <f>T("   FR")</f>
        <v xml:space="preserve">   FR</v>
      </c>
      <c r="B3262" t="str">
        <f>T("   France")</f>
        <v xml:space="preserve">   France</v>
      </c>
      <c r="C3262">
        <v>6701287</v>
      </c>
      <c r="D3262">
        <v>948</v>
      </c>
    </row>
    <row r="3263" spans="1:4" x14ac:dyDescent="0.25">
      <c r="A3263" t="str">
        <f>T("   GB")</f>
        <v xml:space="preserve">   GB</v>
      </c>
      <c r="B3263" t="str">
        <f>T("   Royaume-Uni")</f>
        <v xml:space="preserve">   Royaume-Uni</v>
      </c>
      <c r="C3263">
        <v>3061367</v>
      </c>
      <c r="D3263">
        <v>400</v>
      </c>
    </row>
    <row r="3264" spans="1:4" x14ac:dyDescent="0.25">
      <c r="A3264" t="str">
        <f>T("320419")</f>
        <v>320419</v>
      </c>
      <c r="B3264" t="str">
        <f>T("Matières colorantes organiques synthétiques (sauf colorants dispersés, acides, à mordants, basiques, directs, de cuve, réactifs et pigmentaires); préparations à base de matières colorantes organiques synthétiques ou bien destinées à entrer comme ingrédien")</f>
        <v>Matières colorantes organiques synthétiques (sauf colorants dispersés, acides, à mordants, basiques, directs, de cuve, réactifs et pigmentaires); préparations à base de matières colorantes organiques synthétiques ou bien destinées à entrer comme ingrédien</v>
      </c>
    </row>
    <row r="3265" spans="1:4" x14ac:dyDescent="0.25">
      <c r="A3265" t="str">
        <f>T("   ZZZ_Monde")</f>
        <v xml:space="preserve">   ZZZ_Monde</v>
      </c>
      <c r="B3265" t="str">
        <f>T("   ZZZ_Monde")</f>
        <v xml:space="preserve">   ZZZ_Monde</v>
      </c>
      <c r="C3265">
        <v>41487120</v>
      </c>
      <c r="D3265">
        <v>64427</v>
      </c>
    </row>
    <row r="3266" spans="1:4" x14ac:dyDescent="0.25">
      <c r="A3266" t="str">
        <f>T("   BE")</f>
        <v xml:space="preserve">   BE</v>
      </c>
      <c r="B3266" t="str">
        <f>T("   Belgique")</f>
        <v xml:space="preserve">   Belgique</v>
      </c>
      <c r="C3266">
        <v>10563580</v>
      </c>
      <c r="D3266">
        <v>1492</v>
      </c>
    </row>
    <row r="3267" spans="1:4" x14ac:dyDescent="0.25">
      <c r="A3267" t="str">
        <f>T("   EG")</f>
        <v xml:space="preserve">   EG</v>
      </c>
      <c r="B3267" t="str">
        <f>T("   Egypte")</f>
        <v xml:space="preserve">   Egypte</v>
      </c>
      <c r="C3267">
        <v>17389531</v>
      </c>
      <c r="D3267">
        <v>16805</v>
      </c>
    </row>
    <row r="3268" spans="1:4" x14ac:dyDescent="0.25">
      <c r="A3268" t="str">
        <f>T("   FR")</f>
        <v xml:space="preserve">   FR</v>
      </c>
      <c r="B3268" t="str">
        <f>T("   France")</f>
        <v xml:space="preserve">   France</v>
      </c>
      <c r="C3268">
        <v>6998392</v>
      </c>
      <c r="D3268">
        <v>21900</v>
      </c>
    </row>
    <row r="3269" spans="1:4" x14ac:dyDescent="0.25">
      <c r="A3269" t="str">
        <f>T("   IN")</f>
        <v xml:space="preserve">   IN</v>
      </c>
      <c r="B3269" t="str">
        <f>T("   Inde")</f>
        <v xml:space="preserve">   Inde</v>
      </c>
      <c r="C3269">
        <v>772828</v>
      </c>
      <c r="D3269">
        <v>7000</v>
      </c>
    </row>
    <row r="3270" spans="1:4" x14ac:dyDescent="0.25">
      <c r="A3270" t="str">
        <f>T("   TG")</f>
        <v xml:space="preserve">   TG</v>
      </c>
      <c r="B3270" t="str">
        <f>T("   Togo")</f>
        <v xml:space="preserve">   Togo</v>
      </c>
      <c r="C3270">
        <v>689955</v>
      </c>
      <c r="D3270">
        <v>610</v>
      </c>
    </row>
    <row r="3271" spans="1:4" x14ac:dyDescent="0.25">
      <c r="A3271" t="str">
        <f>T("   TN")</f>
        <v xml:space="preserve">   TN</v>
      </c>
      <c r="B3271" t="str">
        <f>T("   Tunisie")</f>
        <v xml:space="preserve">   Tunisie</v>
      </c>
      <c r="C3271">
        <v>5072834</v>
      </c>
      <c r="D3271">
        <v>16620</v>
      </c>
    </row>
    <row r="3272" spans="1:4" x14ac:dyDescent="0.25">
      <c r="A3272" t="str">
        <f>T("320420")</f>
        <v>320420</v>
      </c>
      <c r="B3272" t="str">
        <f>T("Produits organiques synthétiques des types utilisés comme agents d'avivage fluorescents, même de constitution chimique définie")</f>
        <v>Produits organiques synthétiques des types utilisés comme agents d'avivage fluorescents, même de constitution chimique définie</v>
      </c>
    </row>
    <row r="3273" spans="1:4" x14ac:dyDescent="0.25">
      <c r="A3273" t="str">
        <f>T("   ZZZ_Monde")</f>
        <v xml:space="preserve">   ZZZ_Monde</v>
      </c>
      <c r="B3273" t="str">
        <f>T("   ZZZ_Monde")</f>
        <v xml:space="preserve">   ZZZ_Monde</v>
      </c>
      <c r="C3273">
        <v>2130558</v>
      </c>
      <c r="D3273">
        <v>750</v>
      </c>
    </row>
    <row r="3274" spans="1:4" x14ac:dyDescent="0.25">
      <c r="A3274" t="str">
        <f>T("   FR")</f>
        <v xml:space="preserve">   FR</v>
      </c>
      <c r="B3274" t="str">
        <f>T("   France")</f>
        <v xml:space="preserve">   France</v>
      </c>
      <c r="C3274">
        <v>2130558</v>
      </c>
      <c r="D3274">
        <v>750</v>
      </c>
    </row>
    <row r="3275" spans="1:4" x14ac:dyDescent="0.25">
      <c r="A3275" t="str">
        <f>T("320490")</f>
        <v>320490</v>
      </c>
      <c r="B3275" t="str">
        <f>T("Produits organiques synthétiques des types utilisés comme luminophores, même de constitution chimique définie")</f>
        <v>Produits organiques synthétiques des types utilisés comme luminophores, même de constitution chimique définie</v>
      </c>
    </row>
    <row r="3276" spans="1:4" x14ac:dyDescent="0.25">
      <c r="A3276" t="str">
        <f>T("   ZZZ_Monde")</f>
        <v xml:space="preserve">   ZZZ_Monde</v>
      </c>
      <c r="B3276" t="str">
        <f>T("   ZZZ_Monde")</f>
        <v xml:space="preserve">   ZZZ_Monde</v>
      </c>
      <c r="C3276">
        <v>50944061</v>
      </c>
      <c r="D3276">
        <v>71259</v>
      </c>
    </row>
    <row r="3277" spans="1:4" x14ac:dyDescent="0.25">
      <c r="A3277" t="str">
        <f>T("   CN")</f>
        <v xml:space="preserve">   CN</v>
      </c>
      <c r="B3277" t="str">
        <f>T("   Chine")</f>
        <v xml:space="preserve">   Chine</v>
      </c>
      <c r="C3277">
        <v>3704303</v>
      </c>
      <c r="D3277">
        <v>20010</v>
      </c>
    </row>
    <row r="3278" spans="1:4" x14ac:dyDescent="0.25">
      <c r="A3278" t="str">
        <f>T("   FR")</f>
        <v xml:space="preserve">   FR</v>
      </c>
      <c r="B3278" t="str">
        <f>T("   France")</f>
        <v xml:space="preserve">   France</v>
      </c>
      <c r="C3278">
        <v>28411394</v>
      </c>
      <c r="D3278">
        <v>23549</v>
      </c>
    </row>
    <row r="3279" spans="1:4" x14ac:dyDescent="0.25">
      <c r="A3279" t="str">
        <f>T("   IT")</f>
        <v xml:space="preserve">   IT</v>
      </c>
      <c r="B3279" t="str">
        <f>T("   Italie")</f>
        <v xml:space="preserve">   Italie</v>
      </c>
      <c r="C3279">
        <v>17908364</v>
      </c>
      <c r="D3279">
        <v>23200</v>
      </c>
    </row>
    <row r="3280" spans="1:4" x14ac:dyDescent="0.25">
      <c r="A3280" t="str">
        <f>T("   TG")</f>
        <v xml:space="preserve">   TG</v>
      </c>
      <c r="B3280" t="str">
        <f>T("   Togo")</f>
        <v xml:space="preserve">   Togo</v>
      </c>
      <c r="C3280">
        <v>920000</v>
      </c>
      <c r="D3280">
        <v>4500</v>
      </c>
    </row>
    <row r="3281" spans="1:4" x14ac:dyDescent="0.25">
      <c r="A3281" t="str">
        <f>T("320611")</f>
        <v>320611</v>
      </c>
      <c r="B3281" t="str">
        <f>T("Pigments et préparations à base de dioxyde de titane, contenant en poids &gt;= 80% de dioxyde de titane calculé sur matière sèche, des types utilisés pour colorer toute matière ou bien destinés à entrer comme ingrédients dans la fabrication de préparations c")</f>
        <v>Pigments et préparations à base de dioxyde de titane, contenant en poids &gt;= 80% de dioxyde de titane calculé sur matière sèche, des types utilisés pour colorer toute matière ou bien destinés à entrer comme ingrédients dans la fabrication de préparations c</v>
      </c>
    </row>
    <row r="3282" spans="1:4" x14ac:dyDescent="0.25">
      <c r="A3282" t="str">
        <f>T("   ZZZ_Monde")</f>
        <v xml:space="preserve">   ZZZ_Monde</v>
      </c>
      <c r="B3282" t="str">
        <f>T("   ZZZ_Monde")</f>
        <v xml:space="preserve">   ZZZ_Monde</v>
      </c>
      <c r="C3282">
        <v>90603550</v>
      </c>
      <c r="D3282">
        <v>109400</v>
      </c>
    </row>
    <row r="3283" spans="1:4" x14ac:dyDescent="0.25">
      <c r="A3283" t="str">
        <f>T("   ES")</f>
        <v xml:space="preserve">   ES</v>
      </c>
      <c r="B3283" t="str">
        <f>T("   Espagne")</f>
        <v xml:space="preserve">   Espagne</v>
      </c>
      <c r="C3283">
        <v>44598530</v>
      </c>
      <c r="D3283">
        <v>54700</v>
      </c>
    </row>
    <row r="3284" spans="1:4" x14ac:dyDescent="0.25">
      <c r="A3284" t="str">
        <f>T("   FR")</f>
        <v xml:space="preserve">   FR</v>
      </c>
      <c r="B3284" t="str">
        <f>T("   France")</f>
        <v xml:space="preserve">   France</v>
      </c>
      <c r="C3284">
        <v>46005020</v>
      </c>
      <c r="D3284">
        <v>54700</v>
      </c>
    </row>
    <row r="3285" spans="1:4" x14ac:dyDescent="0.25">
      <c r="A3285" t="str">
        <f>T("320620")</f>
        <v>320620</v>
      </c>
      <c r="B3285" t="str">
        <f>T("Pigments et préparations à base de composés du chrome, des types utilisés pour colorer toute matière ou bien destinés à entrer comme ingrédients dans la fabrication de préparations colorantes (à l'excl. des préparations du n° 3207, 3208, 3209, 3210, 3212,")</f>
        <v>Pigments et préparations à base de composés du chrome, des types utilisés pour colorer toute matière ou bien destinés à entrer comme ingrédients dans la fabrication de préparations colorantes (à l'excl. des préparations du n° 3207, 3208, 3209, 3210, 3212,</v>
      </c>
    </row>
    <row r="3286" spans="1:4" x14ac:dyDescent="0.25">
      <c r="A3286" t="str">
        <f>T("   ZZZ_Monde")</f>
        <v xml:space="preserve">   ZZZ_Monde</v>
      </c>
      <c r="B3286" t="str">
        <f>T("   ZZZ_Monde")</f>
        <v xml:space="preserve">   ZZZ_Monde</v>
      </c>
      <c r="C3286">
        <v>15659077</v>
      </c>
      <c r="D3286">
        <v>2097</v>
      </c>
    </row>
    <row r="3287" spans="1:4" x14ac:dyDescent="0.25">
      <c r="A3287" t="str">
        <f>T("   BE")</f>
        <v xml:space="preserve">   BE</v>
      </c>
      <c r="B3287" t="str">
        <f>T("   Belgique")</f>
        <v xml:space="preserve">   Belgique</v>
      </c>
      <c r="C3287">
        <v>10130646</v>
      </c>
      <c r="D3287">
        <v>1189</v>
      </c>
    </row>
    <row r="3288" spans="1:4" x14ac:dyDescent="0.25">
      <c r="A3288" t="str">
        <f>T("   GB")</f>
        <v xml:space="preserve">   GB</v>
      </c>
      <c r="B3288" t="str">
        <f>T("   Royaume-Uni")</f>
        <v xml:space="preserve">   Royaume-Uni</v>
      </c>
      <c r="C3288">
        <v>5528431</v>
      </c>
      <c r="D3288">
        <v>908</v>
      </c>
    </row>
    <row r="3289" spans="1:4" x14ac:dyDescent="0.25">
      <c r="A3289" t="str">
        <f>T("320649")</f>
        <v>320649</v>
      </c>
      <c r="B3289" t="str">
        <f>T("Matières colorantes inorganiques ou minérales, n.d.a.; préparations à base de matières colorantes inorganiques ou minérales, des types utilisés pour colorer toute matière ou bien destinées à entrer comme ingrédients dans la fabrication de préparations col")</f>
        <v>Matières colorantes inorganiques ou minérales, n.d.a.; préparations à base de matières colorantes inorganiques ou minérales, des types utilisés pour colorer toute matière ou bien destinées à entrer comme ingrédients dans la fabrication de préparations col</v>
      </c>
    </row>
    <row r="3290" spans="1:4" x14ac:dyDescent="0.25">
      <c r="A3290" t="str">
        <f>T("   ZZZ_Monde")</f>
        <v xml:space="preserve">   ZZZ_Monde</v>
      </c>
      <c r="B3290" t="str">
        <f>T("   ZZZ_Monde")</f>
        <v xml:space="preserve">   ZZZ_Monde</v>
      </c>
      <c r="C3290">
        <v>907849</v>
      </c>
      <c r="D3290">
        <v>6250</v>
      </c>
    </row>
    <row r="3291" spans="1:4" x14ac:dyDescent="0.25">
      <c r="A3291" t="str">
        <f>T("   ES")</f>
        <v xml:space="preserve">   ES</v>
      </c>
      <c r="B3291" t="str">
        <f>T("   Espagne")</f>
        <v xml:space="preserve">   Espagne</v>
      </c>
      <c r="C3291">
        <v>907849</v>
      </c>
      <c r="D3291">
        <v>6250</v>
      </c>
    </row>
    <row r="3292" spans="1:4" x14ac:dyDescent="0.25">
      <c r="A3292" t="str">
        <f>T("320710")</f>
        <v>320710</v>
      </c>
      <c r="B3292" t="str">
        <f>T("Pigments, opacifiants et couleurs préparés et préparations simil., des types utilisés pour la céramique, l'émaillerie ou la verrerie")</f>
        <v>Pigments, opacifiants et couleurs préparés et préparations simil., des types utilisés pour la céramique, l'émaillerie ou la verrerie</v>
      </c>
    </row>
    <row r="3293" spans="1:4" x14ac:dyDescent="0.25">
      <c r="A3293" t="str">
        <f>T("   ZZZ_Monde")</f>
        <v xml:space="preserve">   ZZZ_Monde</v>
      </c>
      <c r="B3293" t="str">
        <f>T("   ZZZ_Monde")</f>
        <v xml:space="preserve">   ZZZ_Monde</v>
      </c>
      <c r="C3293">
        <v>5351977</v>
      </c>
      <c r="D3293">
        <v>384</v>
      </c>
    </row>
    <row r="3294" spans="1:4" x14ac:dyDescent="0.25">
      <c r="A3294" t="str">
        <f>T("   FR")</f>
        <v xml:space="preserve">   FR</v>
      </c>
      <c r="B3294" t="str">
        <f>T("   France")</f>
        <v xml:space="preserve">   France</v>
      </c>
      <c r="C3294">
        <v>5351977</v>
      </c>
      <c r="D3294">
        <v>384</v>
      </c>
    </row>
    <row r="3295" spans="1:4" x14ac:dyDescent="0.25">
      <c r="A3295" t="str">
        <f>T("320810")</f>
        <v>320810</v>
      </c>
      <c r="B3295" t="str">
        <f>T("PEINTURES ET VERNIS À BASE DE POLYESTERS, DISPERSÉS OU DISSOUS DANS UN MILIEU NON-AQUEUX, ET PRODUITS À BASE DE POLYESTERS EN SOLUTION DANS DES SOLVANTS ORGANIQUES VOLATILS, POUR AUTANT QUE LA PROPORTION DU SOLVANT &gt; 50% DU POIDS DE LA SOLUTION")</f>
        <v>PEINTURES ET VERNIS À BASE DE POLYESTERS, DISPERSÉS OU DISSOUS DANS UN MILIEU NON-AQUEUX, ET PRODUITS À BASE DE POLYESTERS EN SOLUTION DANS DES SOLVANTS ORGANIQUES VOLATILS, POUR AUTANT QUE LA PROPORTION DU SOLVANT &gt; 50% DU POIDS DE LA SOLUTION</v>
      </c>
    </row>
    <row r="3296" spans="1:4" x14ac:dyDescent="0.25">
      <c r="A3296" t="str">
        <f>T("   ZZZ_Monde")</f>
        <v xml:space="preserve">   ZZZ_Monde</v>
      </c>
      <c r="B3296" t="str">
        <f>T("   ZZZ_Monde")</f>
        <v xml:space="preserve">   ZZZ_Monde</v>
      </c>
      <c r="C3296">
        <v>1709056</v>
      </c>
      <c r="D3296">
        <v>5296</v>
      </c>
    </row>
    <row r="3297" spans="1:4" x14ac:dyDescent="0.25">
      <c r="A3297" t="str">
        <f>T("   CN")</f>
        <v xml:space="preserve">   CN</v>
      </c>
      <c r="B3297" t="str">
        <f>T("   Chine")</f>
        <v xml:space="preserve">   Chine</v>
      </c>
      <c r="C3297">
        <v>424686</v>
      </c>
      <c r="D3297">
        <v>4500</v>
      </c>
    </row>
    <row r="3298" spans="1:4" x14ac:dyDescent="0.25">
      <c r="A3298" t="str">
        <f>T("   FR")</f>
        <v xml:space="preserve">   FR</v>
      </c>
      <c r="B3298" t="str">
        <f>T("   France")</f>
        <v xml:space="preserve">   France</v>
      </c>
      <c r="C3298">
        <v>1284370</v>
      </c>
      <c r="D3298">
        <v>796</v>
      </c>
    </row>
    <row r="3299" spans="1:4" x14ac:dyDescent="0.25">
      <c r="A3299" t="str">
        <f>T("320820")</f>
        <v>320820</v>
      </c>
      <c r="B3299" t="str">
        <f>T("PEINTURES ET VERNIS À BASE DE POLYMÈRES ACRYLIQUES OU VINYLIQUES, DISPERSÉS OU DISSOUS DANS UN MILIEU NON-AQUEUX, ET PRODUITS À BASE DE POLYMÈRES ACRYLIQUES OU VINYLIQUES EN SOLUTION DANS DES SOLVANTS ORGANIQUES VOLATILS, POUR AUTANT QUE LA PROPORTION DU")</f>
        <v>PEINTURES ET VERNIS À BASE DE POLYMÈRES ACRYLIQUES OU VINYLIQUES, DISPERSÉS OU DISSOUS DANS UN MILIEU NON-AQUEUX, ET PRODUITS À BASE DE POLYMÈRES ACRYLIQUES OU VINYLIQUES EN SOLUTION DANS DES SOLVANTS ORGANIQUES VOLATILS, POUR AUTANT QUE LA PROPORTION DU</v>
      </c>
    </row>
    <row r="3300" spans="1:4" x14ac:dyDescent="0.25">
      <c r="A3300" t="str">
        <f>T("   ZZZ_Monde")</f>
        <v xml:space="preserve">   ZZZ_Monde</v>
      </c>
      <c r="B3300" t="str">
        <f>T("   ZZZ_Monde")</f>
        <v xml:space="preserve">   ZZZ_Monde</v>
      </c>
      <c r="C3300">
        <v>426679897</v>
      </c>
      <c r="D3300">
        <v>1846992</v>
      </c>
    </row>
    <row r="3301" spans="1:4" x14ac:dyDescent="0.25">
      <c r="A3301" t="str">
        <f>T("   EG")</f>
        <v xml:space="preserve">   EG</v>
      </c>
      <c r="B3301" t="str">
        <f>T("   Egypte")</f>
        <v xml:space="preserve">   Egypte</v>
      </c>
      <c r="C3301">
        <v>3464630</v>
      </c>
      <c r="D3301">
        <v>15140</v>
      </c>
    </row>
    <row r="3302" spans="1:4" x14ac:dyDescent="0.25">
      <c r="A3302" t="str">
        <f>T("   FR")</f>
        <v xml:space="preserve">   FR</v>
      </c>
      <c r="B3302" t="str">
        <f>T("   France")</f>
        <v xml:space="preserve">   France</v>
      </c>
      <c r="C3302">
        <v>1527670</v>
      </c>
      <c r="D3302">
        <v>141</v>
      </c>
    </row>
    <row r="3303" spans="1:4" x14ac:dyDescent="0.25">
      <c r="A3303" t="str">
        <f>T("   GH")</f>
        <v xml:space="preserve">   GH</v>
      </c>
      <c r="B3303" t="str">
        <f>T("   Ghana")</f>
        <v xml:space="preserve">   Ghana</v>
      </c>
      <c r="C3303">
        <v>223680532</v>
      </c>
      <c r="D3303">
        <v>1021951</v>
      </c>
    </row>
    <row r="3304" spans="1:4" x14ac:dyDescent="0.25">
      <c r="A3304" t="str">
        <f>T("   IT")</f>
        <v xml:space="preserve">   IT</v>
      </c>
      <c r="B3304" t="str">
        <f>T("   Italie")</f>
        <v xml:space="preserve">   Italie</v>
      </c>
      <c r="C3304">
        <v>18879867</v>
      </c>
      <c r="D3304">
        <v>23881</v>
      </c>
    </row>
    <row r="3305" spans="1:4" x14ac:dyDescent="0.25">
      <c r="A3305" t="str">
        <f>T("   NG")</f>
        <v xml:space="preserve">   NG</v>
      </c>
      <c r="B3305" t="str">
        <f>T("   Nigéria")</f>
        <v xml:space="preserve">   Nigéria</v>
      </c>
      <c r="C3305">
        <v>1994400</v>
      </c>
      <c r="D3305">
        <v>3330</v>
      </c>
    </row>
    <row r="3306" spans="1:4" x14ac:dyDescent="0.25">
      <c r="A3306" t="str">
        <f>T("   TG")</f>
        <v xml:space="preserve">   TG</v>
      </c>
      <c r="B3306" t="str">
        <f>T("   Togo")</f>
        <v xml:space="preserve">   Togo</v>
      </c>
      <c r="C3306">
        <v>177132798</v>
      </c>
      <c r="D3306">
        <v>782549</v>
      </c>
    </row>
    <row r="3307" spans="1:4" x14ac:dyDescent="0.25">
      <c r="A3307" t="str">
        <f>T("320890")</f>
        <v>320890</v>
      </c>
      <c r="B3307" t="str">
        <f>T("PEINTURES ET VERNIS À BASE DE POLYMÈRES SYNTHÉTIQUES OU DE POLYMÈRES NATURELS MODIFIÉS, DISPERSÉS OU DISSOUS DANS UN MILIEU NON-AQUEUX; PRODUITS VISÉS DANS LE LIBELLÉ DU N° 3901 À 3913 EN SOLUTION DANS DES SOLVANTS ORGANIQUES VOLATILS, POUR AUTANT QUE LA")</f>
        <v>PEINTURES ET VERNIS À BASE DE POLYMÈRES SYNTHÉTIQUES OU DE POLYMÈRES NATURELS MODIFIÉS, DISPERSÉS OU DISSOUS DANS UN MILIEU NON-AQUEUX; PRODUITS VISÉS DANS LE LIBELLÉ DU N° 3901 À 3913 EN SOLUTION DANS DES SOLVANTS ORGANIQUES VOLATILS, POUR AUTANT QUE LA</v>
      </c>
    </row>
    <row r="3308" spans="1:4" x14ac:dyDescent="0.25">
      <c r="A3308" t="str">
        <f>T("   ZZZ_Monde")</f>
        <v xml:space="preserve">   ZZZ_Monde</v>
      </c>
      <c r="B3308" t="str">
        <f>T("   ZZZ_Monde")</f>
        <v xml:space="preserve">   ZZZ_Monde</v>
      </c>
      <c r="C3308">
        <v>65608036</v>
      </c>
      <c r="D3308">
        <v>137232</v>
      </c>
    </row>
    <row r="3309" spans="1:4" x14ac:dyDescent="0.25">
      <c r="A3309" t="str">
        <f>T("   CI")</f>
        <v xml:space="preserve">   CI</v>
      </c>
      <c r="B3309" t="str">
        <f>T("   Côte d'Ivoire")</f>
        <v xml:space="preserve">   Côte d'Ivoire</v>
      </c>
      <c r="C3309">
        <v>21889134</v>
      </c>
      <c r="D3309">
        <v>53062</v>
      </c>
    </row>
    <row r="3310" spans="1:4" x14ac:dyDescent="0.25">
      <c r="A3310" t="str">
        <f>T("   CN")</f>
        <v xml:space="preserve">   CN</v>
      </c>
      <c r="B3310" t="str">
        <f>T("   Chine")</f>
        <v xml:space="preserve">   Chine</v>
      </c>
      <c r="C3310">
        <v>2386904</v>
      </c>
      <c r="D3310">
        <v>6805</v>
      </c>
    </row>
    <row r="3311" spans="1:4" x14ac:dyDescent="0.25">
      <c r="A3311" t="str">
        <f>T("   DE")</f>
        <v xml:space="preserve">   DE</v>
      </c>
      <c r="B3311" t="str">
        <f>T("   Allemagne")</f>
        <v xml:space="preserve">   Allemagne</v>
      </c>
      <c r="C3311">
        <v>1665483</v>
      </c>
      <c r="D3311">
        <v>998</v>
      </c>
    </row>
    <row r="3312" spans="1:4" x14ac:dyDescent="0.25">
      <c r="A3312" t="str">
        <f>T("   FR")</f>
        <v xml:space="preserve">   FR</v>
      </c>
      <c r="B3312" t="str">
        <f>T("   France")</f>
        <v xml:space="preserve">   France</v>
      </c>
      <c r="C3312">
        <v>23072062</v>
      </c>
      <c r="D3312">
        <v>15321</v>
      </c>
    </row>
    <row r="3313" spans="1:4" x14ac:dyDescent="0.25">
      <c r="A3313" t="str">
        <f>T("   GH")</f>
        <v xml:space="preserve">   GH</v>
      </c>
      <c r="B3313" t="str">
        <f>T("   Ghana")</f>
        <v xml:space="preserve">   Ghana</v>
      </c>
      <c r="C3313">
        <v>2100000</v>
      </c>
      <c r="D3313">
        <v>12700</v>
      </c>
    </row>
    <row r="3314" spans="1:4" x14ac:dyDescent="0.25">
      <c r="A3314" t="str">
        <f>T("   LB")</f>
        <v xml:space="preserve">   LB</v>
      </c>
      <c r="B3314" t="str">
        <f>T("   Liban")</f>
        <v xml:space="preserve">   Liban</v>
      </c>
      <c r="C3314">
        <v>11466763</v>
      </c>
      <c r="D3314">
        <v>31496</v>
      </c>
    </row>
    <row r="3315" spans="1:4" x14ac:dyDescent="0.25">
      <c r="A3315" t="str">
        <f>T("   TG")</f>
        <v xml:space="preserve">   TG</v>
      </c>
      <c r="B3315" t="str">
        <f>T("   Togo")</f>
        <v xml:space="preserve">   Togo</v>
      </c>
      <c r="C3315">
        <v>3027690</v>
      </c>
      <c r="D3315">
        <v>16850</v>
      </c>
    </row>
    <row r="3316" spans="1:4" x14ac:dyDescent="0.25">
      <c r="A3316" t="str">
        <f>T("320910")</f>
        <v>320910</v>
      </c>
      <c r="B3316" t="str">
        <f>T("Peintures et vernis à base de polymères acryliques ou vinyliques, dispersés ou dissous dans un milieu aqueux")</f>
        <v>Peintures et vernis à base de polymères acryliques ou vinyliques, dispersés ou dissous dans un milieu aqueux</v>
      </c>
    </row>
    <row r="3317" spans="1:4" x14ac:dyDescent="0.25">
      <c r="A3317" t="str">
        <f>T("   ZZZ_Monde")</f>
        <v xml:space="preserve">   ZZZ_Monde</v>
      </c>
      <c r="B3317" t="str">
        <f>T("   ZZZ_Monde")</f>
        <v xml:space="preserve">   ZZZ_Monde</v>
      </c>
      <c r="C3317">
        <v>74201494</v>
      </c>
      <c r="D3317">
        <v>246706</v>
      </c>
    </row>
    <row r="3318" spans="1:4" x14ac:dyDescent="0.25">
      <c r="A3318" t="str">
        <f>T("   BR")</f>
        <v xml:space="preserve">   BR</v>
      </c>
      <c r="B3318" t="str">
        <f>T("   Brésil")</f>
        <v xml:space="preserve">   Brésil</v>
      </c>
      <c r="C3318">
        <v>7527545</v>
      </c>
      <c r="D3318">
        <v>16873</v>
      </c>
    </row>
    <row r="3319" spans="1:4" x14ac:dyDescent="0.25">
      <c r="A3319" t="str">
        <f>T("   CI")</f>
        <v xml:space="preserve">   CI</v>
      </c>
      <c r="B3319" t="str">
        <f>T("   Côte d'Ivoire")</f>
        <v xml:space="preserve">   Côte d'Ivoire</v>
      </c>
      <c r="C3319">
        <v>14199466</v>
      </c>
      <c r="D3319">
        <v>20947</v>
      </c>
    </row>
    <row r="3320" spans="1:4" x14ac:dyDescent="0.25">
      <c r="A3320" t="str">
        <f>T("   CN")</f>
        <v xml:space="preserve">   CN</v>
      </c>
      <c r="B3320" t="str">
        <f>T("   Chine")</f>
        <v xml:space="preserve">   Chine</v>
      </c>
      <c r="C3320">
        <v>400000</v>
      </c>
      <c r="D3320">
        <v>4100</v>
      </c>
    </row>
    <row r="3321" spans="1:4" x14ac:dyDescent="0.25">
      <c r="A3321" t="str">
        <f>T("   GH")</f>
        <v xml:space="preserve">   GH</v>
      </c>
      <c r="B3321" t="str">
        <f>T("   Ghana")</f>
        <v xml:space="preserve">   Ghana</v>
      </c>
      <c r="C3321">
        <v>20041216</v>
      </c>
      <c r="D3321">
        <v>147380</v>
      </c>
    </row>
    <row r="3322" spans="1:4" x14ac:dyDescent="0.25">
      <c r="A3322" t="str">
        <f>T("   IT")</f>
        <v xml:space="preserve">   IT</v>
      </c>
      <c r="B3322" t="str">
        <f>T("   Italie")</f>
        <v xml:space="preserve">   Italie</v>
      </c>
      <c r="C3322">
        <v>2060068</v>
      </c>
      <c r="D3322">
        <v>1350</v>
      </c>
    </row>
    <row r="3323" spans="1:4" x14ac:dyDescent="0.25">
      <c r="A3323" t="str">
        <f>T("   NG")</f>
        <v xml:space="preserve">   NG</v>
      </c>
      <c r="B3323" t="str">
        <f>T("   Nigéria")</f>
        <v xml:space="preserve">   Nigéria</v>
      </c>
      <c r="C3323">
        <v>1209510</v>
      </c>
      <c r="D3323">
        <v>2864</v>
      </c>
    </row>
    <row r="3324" spans="1:4" x14ac:dyDescent="0.25">
      <c r="A3324" t="str">
        <f>T("   TG")</f>
        <v xml:space="preserve">   TG</v>
      </c>
      <c r="B3324" t="str">
        <f>T("   Togo")</f>
        <v xml:space="preserve">   Togo</v>
      </c>
      <c r="C3324">
        <v>2230252</v>
      </c>
      <c r="D3324">
        <v>13592</v>
      </c>
    </row>
    <row r="3325" spans="1:4" x14ac:dyDescent="0.25">
      <c r="A3325" t="str">
        <f>T("   TN")</f>
        <v xml:space="preserve">   TN</v>
      </c>
      <c r="B3325" t="str">
        <f>T("   Tunisie")</f>
        <v xml:space="preserve">   Tunisie</v>
      </c>
      <c r="C3325">
        <v>26533437</v>
      </c>
      <c r="D3325">
        <v>39600</v>
      </c>
    </row>
    <row r="3326" spans="1:4" x14ac:dyDescent="0.25">
      <c r="A3326" t="str">
        <f>T("320990")</f>
        <v>320990</v>
      </c>
      <c r="B3326" t="str">
        <f>T("Peintures et vernis à base de polymères synthétiques ou de polymères naturels modifiés, dispersés ou dissous dans un milieu aqueux (à l'excl. des produits à base de polymères acryliques ou vinyliques)")</f>
        <v>Peintures et vernis à base de polymères synthétiques ou de polymères naturels modifiés, dispersés ou dissous dans un milieu aqueux (à l'excl. des produits à base de polymères acryliques ou vinyliques)</v>
      </c>
    </row>
    <row r="3327" spans="1:4" x14ac:dyDescent="0.25">
      <c r="A3327" t="str">
        <f>T("   ZZZ_Monde")</f>
        <v xml:space="preserve">   ZZZ_Monde</v>
      </c>
      <c r="B3327" t="str">
        <f>T("   ZZZ_Monde")</f>
        <v xml:space="preserve">   ZZZ_Monde</v>
      </c>
      <c r="C3327">
        <v>9860581</v>
      </c>
      <c r="D3327">
        <v>47259</v>
      </c>
    </row>
    <row r="3328" spans="1:4" x14ac:dyDescent="0.25">
      <c r="A3328" t="str">
        <f>T("   AT")</f>
        <v xml:space="preserve">   AT</v>
      </c>
      <c r="B3328" t="str">
        <f>T("   Autriche")</f>
        <v xml:space="preserve">   Autriche</v>
      </c>
      <c r="C3328">
        <v>499842</v>
      </c>
      <c r="D3328">
        <v>13</v>
      </c>
    </row>
    <row r="3329" spans="1:4" x14ac:dyDescent="0.25">
      <c r="A3329" t="str">
        <f>T("   CA")</f>
        <v xml:space="preserve">   CA</v>
      </c>
      <c r="B3329" t="str">
        <f>T("   Canada")</f>
        <v xml:space="preserve">   Canada</v>
      </c>
      <c r="C3329">
        <v>300000</v>
      </c>
      <c r="D3329">
        <v>100</v>
      </c>
    </row>
    <row r="3330" spans="1:4" x14ac:dyDescent="0.25">
      <c r="A3330" t="str">
        <f>T("   CN")</f>
        <v xml:space="preserve">   CN</v>
      </c>
      <c r="B3330" t="str">
        <f>T("   Chine")</f>
        <v xml:space="preserve">   Chine</v>
      </c>
      <c r="C3330">
        <v>2370404</v>
      </c>
      <c r="D3330">
        <v>9102</v>
      </c>
    </row>
    <row r="3331" spans="1:4" x14ac:dyDescent="0.25">
      <c r="A3331" t="str">
        <f>T("   EG")</f>
        <v xml:space="preserve">   EG</v>
      </c>
      <c r="B3331" t="str">
        <f>T("   Egypte")</f>
        <v xml:space="preserve">   Egypte</v>
      </c>
      <c r="C3331">
        <v>3277316</v>
      </c>
      <c r="D3331">
        <v>16307</v>
      </c>
    </row>
    <row r="3332" spans="1:4" x14ac:dyDescent="0.25">
      <c r="A3332" t="str">
        <f>T("   ES")</f>
        <v xml:space="preserve">   ES</v>
      </c>
      <c r="B3332" t="str">
        <f>T("   Espagne")</f>
        <v xml:space="preserve">   Espagne</v>
      </c>
      <c r="C3332">
        <v>179759</v>
      </c>
      <c r="D3332">
        <v>411</v>
      </c>
    </row>
    <row r="3333" spans="1:4" x14ac:dyDescent="0.25">
      <c r="A3333" t="str">
        <f>T("   FR")</f>
        <v xml:space="preserve">   FR</v>
      </c>
      <c r="B3333" t="str">
        <f>T("   France")</f>
        <v xml:space="preserve">   France</v>
      </c>
      <c r="C3333">
        <v>303054</v>
      </c>
      <c r="D3333">
        <v>80</v>
      </c>
    </row>
    <row r="3334" spans="1:4" x14ac:dyDescent="0.25">
      <c r="A3334" t="str">
        <f>T("   IT")</f>
        <v xml:space="preserve">   IT</v>
      </c>
      <c r="B3334" t="str">
        <f>T("   Italie")</f>
        <v xml:space="preserve">   Italie</v>
      </c>
      <c r="C3334">
        <v>2533993</v>
      </c>
      <c r="D3334">
        <v>13196</v>
      </c>
    </row>
    <row r="3335" spans="1:4" x14ac:dyDescent="0.25">
      <c r="A3335" t="str">
        <f>T("   TG")</f>
        <v xml:space="preserve">   TG</v>
      </c>
      <c r="B3335" t="str">
        <f>T("   Togo")</f>
        <v xml:space="preserve">   Togo</v>
      </c>
      <c r="C3335">
        <v>381213</v>
      </c>
      <c r="D3335">
        <v>8000</v>
      </c>
    </row>
    <row r="3336" spans="1:4" x14ac:dyDescent="0.25">
      <c r="A3336" t="str">
        <f>T("   US")</f>
        <v xml:space="preserve">   US</v>
      </c>
      <c r="B3336" t="str">
        <f>T("   Etats-Unis")</f>
        <v xml:space="preserve">   Etats-Unis</v>
      </c>
      <c r="C3336">
        <v>15000</v>
      </c>
      <c r="D3336">
        <v>50</v>
      </c>
    </row>
    <row r="3337" spans="1:4" x14ac:dyDescent="0.25">
      <c r="A3337" t="str">
        <f>T("321000")</f>
        <v>321000</v>
      </c>
      <c r="B3337" t="str">
        <f>T("Peintures et vernis (à l'excl. des produits à base de polymères synthétiques ou de polymères naturels modifiés); pigments à l'eau préparés des types utilisés pour le finissage des cuirs")</f>
        <v>Peintures et vernis (à l'excl. des produits à base de polymères synthétiques ou de polymères naturels modifiés); pigments à l'eau préparés des types utilisés pour le finissage des cuirs</v>
      </c>
    </row>
    <row r="3338" spans="1:4" x14ac:dyDescent="0.25">
      <c r="A3338" t="str">
        <f>T("   ZZZ_Monde")</f>
        <v xml:space="preserve">   ZZZ_Monde</v>
      </c>
      <c r="B3338" t="str">
        <f>T("   ZZZ_Monde")</f>
        <v xml:space="preserve">   ZZZ_Monde</v>
      </c>
      <c r="C3338">
        <v>15735810</v>
      </c>
      <c r="D3338">
        <v>33487</v>
      </c>
    </row>
    <row r="3339" spans="1:4" x14ac:dyDescent="0.25">
      <c r="A3339" t="str">
        <f>T("   CN")</f>
        <v xml:space="preserve">   CN</v>
      </c>
      <c r="B3339" t="str">
        <f>T("   Chine")</f>
        <v xml:space="preserve">   Chine</v>
      </c>
      <c r="C3339">
        <v>2521860</v>
      </c>
      <c r="D3339">
        <v>6525</v>
      </c>
    </row>
    <row r="3340" spans="1:4" x14ac:dyDescent="0.25">
      <c r="A3340" t="str">
        <f>T("   FR")</f>
        <v xml:space="preserve">   FR</v>
      </c>
      <c r="B3340" t="str">
        <f>T("   France")</f>
        <v xml:space="preserve">   France</v>
      </c>
      <c r="C3340">
        <v>9466684</v>
      </c>
      <c r="D3340">
        <v>4154</v>
      </c>
    </row>
    <row r="3341" spans="1:4" x14ac:dyDescent="0.25">
      <c r="A3341" t="str">
        <f>T("   LC")</f>
        <v xml:space="preserve">   LC</v>
      </c>
      <c r="B3341" t="str">
        <f>T("   Sainte-Lucie")</f>
        <v xml:space="preserve">   Sainte-Lucie</v>
      </c>
      <c r="C3341">
        <v>269993</v>
      </c>
      <c r="D3341">
        <v>128</v>
      </c>
    </row>
    <row r="3342" spans="1:4" x14ac:dyDescent="0.25">
      <c r="A3342" t="str">
        <f>T("   TG")</f>
        <v xml:space="preserve">   TG</v>
      </c>
      <c r="B3342" t="str">
        <f>T("   Togo")</f>
        <v xml:space="preserve">   Togo</v>
      </c>
      <c r="C3342">
        <v>3477273</v>
      </c>
      <c r="D3342">
        <v>22680</v>
      </c>
    </row>
    <row r="3343" spans="1:4" x14ac:dyDescent="0.25">
      <c r="A3343" t="str">
        <f>T("321100")</f>
        <v>321100</v>
      </c>
      <c r="B3343" t="str">
        <f>T("Siccatifs préparés")</f>
        <v>Siccatifs préparés</v>
      </c>
    </row>
    <row r="3344" spans="1:4" x14ac:dyDescent="0.25">
      <c r="A3344" t="str">
        <f>T("   ZZZ_Monde")</f>
        <v xml:space="preserve">   ZZZ_Monde</v>
      </c>
      <c r="B3344" t="str">
        <f>T("   ZZZ_Monde")</f>
        <v xml:space="preserve">   ZZZ_Monde</v>
      </c>
      <c r="C3344">
        <v>6614044</v>
      </c>
      <c r="D3344">
        <v>2174</v>
      </c>
    </row>
    <row r="3345" spans="1:4" x14ac:dyDescent="0.25">
      <c r="A3345" t="str">
        <f>T("   FR")</f>
        <v xml:space="preserve">   FR</v>
      </c>
      <c r="B3345" t="str">
        <f>T("   France")</f>
        <v xml:space="preserve">   France</v>
      </c>
      <c r="C3345">
        <v>3771114</v>
      </c>
      <c r="D3345">
        <v>688</v>
      </c>
    </row>
    <row r="3346" spans="1:4" x14ac:dyDescent="0.25">
      <c r="A3346" t="str">
        <f>T("   GB")</f>
        <v xml:space="preserve">   GB</v>
      </c>
      <c r="B3346" t="str">
        <f>T("   Royaume-Uni")</f>
        <v xml:space="preserve">   Royaume-Uni</v>
      </c>
      <c r="C3346">
        <v>2842930</v>
      </c>
      <c r="D3346">
        <v>1486</v>
      </c>
    </row>
    <row r="3347" spans="1:4" x14ac:dyDescent="0.25">
      <c r="A3347" t="str">
        <f>T("321210")</f>
        <v>321210</v>
      </c>
      <c r="B3347" t="str">
        <f>T("Feuilles pour le marquage au fer, des types utilisés pour le marquage des reliures, des cuirs ou coiffes de chapeaux")</f>
        <v>Feuilles pour le marquage au fer, des types utilisés pour le marquage des reliures, des cuirs ou coiffes de chapeaux</v>
      </c>
    </row>
    <row r="3348" spans="1:4" x14ac:dyDescent="0.25">
      <c r="A3348" t="str">
        <f>T("   ZZZ_Monde")</f>
        <v xml:space="preserve">   ZZZ_Monde</v>
      </c>
      <c r="B3348" t="str">
        <f>T("   ZZZ_Monde")</f>
        <v xml:space="preserve">   ZZZ_Monde</v>
      </c>
      <c r="C3348">
        <v>4452071</v>
      </c>
      <c r="D3348">
        <v>424</v>
      </c>
    </row>
    <row r="3349" spans="1:4" x14ac:dyDescent="0.25">
      <c r="A3349" t="str">
        <f>T("   FR")</f>
        <v xml:space="preserve">   FR</v>
      </c>
      <c r="B3349" t="str">
        <f>T("   France")</f>
        <v xml:space="preserve">   France</v>
      </c>
      <c r="C3349">
        <v>4447277</v>
      </c>
      <c r="D3349">
        <v>409</v>
      </c>
    </row>
    <row r="3350" spans="1:4" x14ac:dyDescent="0.25">
      <c r="A3350" t="str">
        <f>T("   PK")</f>
        <v xml:space="preserve">   PK</v>
      </c>
      <c r="B3350" t="str">
        <f>T("   Pakistan")</f>
        <v xml:space="preserve">   Pakistan</v>
      </c>
      <c r="C3350">
        <v>4794</v>
      </c>
      <c r="D3350">
        <v>15</v>
      </c>
    </row>
    <row r="3351" spans="1:4" x14ac:dyDescent="0.25">
      <c r="A3351" t="str">
        <f>T("321290")</f>
        <v>321290</v>
      </c>
      <c r="B3351" t="str">
        <f>T("PIGMENTS, Y.C. LES POUDRES ET FLOCONS MÉTALLIQUES, DISPERSÉS DANS DES MILIEUX NON-AQUEUX, SOUS FORME DE LIQUIDE OU DE PÂTE, DES TYPES UTILISÉS POUR LA FABRICATION DE PEINTURES; TEINTURES ET AUTRES MATIÈRES COLORANTES, N.D.A., PRÉSENTÉES DANS DES FORMES OU")</f>
        <v>PIGMENTS, Y.C. LES POUDRES ET FLOCONS MÉTALLIQUES, DISPERSÉS DANS DES MILIEUX NON-AQUEUX, SOUS FORME DE LIQUIDE OU DE PÂTE, DES TYPES UTILISÉS POUR LA FABRICATION DE PEINTURES; TEINTURES ET AUTRES MATIÈRES COLORANTES, N.D.A., PRÉSENTÉES DANS DES FORMES OU</v>
      </c>
    </row>
    <row r="3352" spans="1:4" x14ac:dyDescent="0.25">
      <c r="A3352" t="str">
        <f>T("   ZZZ_Monde")</f>
        <v xml:space="preserve">   ZZZ_Monde</v>
      </c>
      <c r="B3352" t="str">
        <f>T("   ZZZ_Monde")</f>
        <v xml:space="preserve">   ZZZ_Monde</v>
      </c>
      <c r="C3352">
        <v>12684197</v>
      </c>
      <c r="D3352">
        <v>7076</v>
      </c>
    </row>
    <row r="3353" spans="1:4" x14ac:dyDescent="0.25">
      <c r="A3353" t="str">
        <f>T("   BE")</f>
        <v xml:space="preserve">   BE</v>
      </c>
      <c r="B3353" t="str">
        <f>T("   Belgique")</f>
        <v xml:space="preserve">   Belgique</v>
      </c>
      <c r="C3353">
        <v>4666499</v>
      </c>
      <c r="D3353">
        <v>376</v>
      </c>
    </row>
    <row r="3354" spans="1:4" x14ac:dyDescent="0.25">
      <c r="A3354" t="str">
        <f>T("   CI")</f>
        <v xml:space="preserve">   CI</v>
      </c>
      <c r="B3354" t="str">
        <f>T("   Côte d'Ivoire")</f>
        <v xml:space="preserve">   Côte d'Ivoire</v>
      </c>
      <c r="C3354">
        <v>6380422</v>
      </c>
      <c r="D3354">
        <v>6350</v>
      </c>
    </row>
    <row r="3355" spans="1:4" x14ac:dyDescent="0.25">
      <c r="A3355" t="str">
        <f>T("   FR")</f>
        <v xml:space="preserve">   FR</v>
      </c>
      <c r="B3355" t="str">
        <f>T("   France")</f>
        <v xml:space="preserve">   France</v>
      </c>
      <c r="C3355">
        <v>1637276</v>
      </c>
      <c r="D3355">
        <v>350</v>
      </c>
    </row>
    <row r="3356" spans="1:4" x14ac:dyDescent="0.25">
      <c r="A3356" t="str">
        <f>T("321310")</f>
        <v>321310</v>
      </c>
      <c r="B3356" t="str">
        <f>T("Couleurs en assortiments pour la peinture artistique, l'enseignement, la peinture des enseignes, la modification des nuances, l'amusement et couleurs simil., en pastilles, tubes, pots, flacons, godets ou conditionnements simil.")</f>
        <v>Couleurs en assortiments pour la peinture artistique, l'enseignement, la peinture des enseignes, la modification des nuances, l'amusement et couleurs simil., en pastilles, tubes, pots, flacons, godets ou conditionnements simil.</v>
      </c>
    </row>
    <row r="3357" spans="1:4" x14ac:dyDescent="0.25">
      <c r="A3357" t="str">
        <f>T("   ZZZ_Monde")</f>
        <v xml:space="preserve">   ZZZ_Monde</v>
      </c>
      <c r="B3357" t="str">
        <f>T("   ZZZ_Monde")</f>
        <v xml:space="preserve">   ZZZ_Monde</v>
      </c>
      <c r="C3357">
        <v>1403217</v>
      </c>
      <c r="D3357">
        <v>367</v>
      </c>
    </row>
    <row r="3358" spans="1:4" x14ac:dyDescent="0.25">
      <c r="A3358" t="str">
        <f>T("   FR")</f>
        <v xml:space="preserve">   FR</v>
      </c>
      <c r="B3358" t="str">
        <f>T("   France")</f>
        <v xml:space="preserve">   France</v>
      </c>
      <c r="C3358">
        <v>1403217</v>
      </c>
      <c r="D3358">
        <v>367</v>
      </c>
    </row>
    <row r="3359" spans="1:4" x14ac:dyDescent="0.25">
      <c r="A3359" t="str">
        <f>T("321390")</f>
        <v>321390</v>
      </c>
      <c r="B3359" t="str">
        <f>T("Couleurs pour la peinture artistique, l'enseignement, la peinture des enseignes, la modification des nuances, l'amusement et couleurs simil., en pastilles, tubes, pots, flacons, godets ou conditionnements simil. (à l'excl. des couleurs en assortiments)")</f>
        <v>Couleurs pour la peinture artistique, l'enseignement, la peinture des enseignes, la modification des nuances, l'amusement et couleurs simil., en pastilles, tubes, pots, flacons, godets ou conditionnements simil. (à l'excl. des couleurs en assortiments)</v>
      </c>
    </row>
    <row r="3360" spans="1:4" x14ac:dyDescent="0.25">
      <c r="A3360" t="str">
        <f>T("   ZZZ_Monde")</f>
        <v xml:space="preserve">   ZZZ_Monde</v>
      </c>
      <c r="B3360" t="str">
        <f>T("   ZZZ_Monde")</f>
        <v xml:space="preserve">   ZZZ_Monde</v>
      </c>
      <c r="C3360">
        <v>1120380</v>
      </c>
      <c r="D3360">
        <v>212</v>
      </c>
    </row>
    <row r="3361" spans="1:4" x14ac:dyDescent="0.25">
      <c r="A3361" t="str">
        <f>T("   FR")</f>
        <v xml:space="preserve">   FR</v>
      </c>
      <c r="B3361" t="str">
        <f>T("   France")</f>
        <v xml:space="preserve">   France</v>
      </c>
      <c r="C3361">
        <v>1120380</v>
      </c>
      <c r="D3361">
        <v>212</v>
      </c>
    </row>
    <row r="3362" spans="1:4" x14ac:dyDescent="0.25">
      <c r="A3362" t="str">
        <f>T("321410")</f>
        <v>321410</v>
      </c>
      <c r="B3362" t="str">
        <f>T("Mastic de vitrier, ciments de résine et autres mastics; enduits utilisés en peinture")</f>
        <v>Mastic de vitrier, ciments de résine et autres mastics; enduits utilisés en peinture</v>
      </c>
    </row>
    <row r="3363" spans="1:4" x14ac:dyDescent="0.25">
      <c r="A3363" t="str">
        <f>T("   ZZZ_Monde")</f>
        <v xml:space="preserve">   ZZZ_Monde</v>
      </c>
      <c r="B3363" t="str">
        <f>T("   ZZZ_Monde")</f>
        <v xml:space="preserve">   ZZZ_Monde</v>
      </c>
      <c r="C3363">
        <v>47480922</v>
      </c>
      <c r="D3363">
        <v>155522</v>
      </c>
    </row>
    <row r="3364" spans="1:4" x14ac:dyDescent="0.25">
      <c r="A3364" t="str">
        <f>T("   BR")</f>
        <v xml:space="preserve">   BR</v>
      </c>
      <c r="B3364" t="str">
        <f>T("   Brésil")</f>
        <v xml:space="preserve">   Brésil</v>
      </c>
      <c r="C3364">
        <v>10981639</v>
      </c>
      <c r="D3364">
        <v>36000</v>
      </c>
    </row>
    <row r="3365" spans="1:4" x14ac:dyDescent="0.25">
      <c r="A3365" t="str">
        <f>T("   CN")</f>
        <v xml:space="preserve">   CN</v>
      </c>
      <c r="B3365" t="str">
        <f>T("   Chine")</f>
        <v xml:space="preserve">   Chine</v>
      </c>
      <c r="C3365">
        <v>4260837</v>
      </c>
      <c r="D3365">
        <v>8376</v>
      </c>
    </row>
    <row r="3366" spans="1:4" x14ac:dyDescent="0.25">
      <c r="A3366" t="str">
        <f>T("   EG")</f>
        <v xml:space="preserve">   EG</v>
      </c>
      <c r="B3366" t="str">
        <f>T("   Egypte")</f>
        <v xml:space="preserve">   Egypte</v>
      </c>
      <c r="C3366">
        <v>631434</v>
      </c>
      <c r="D3366">
        <v>6489</v>
      </c>
    </row>
    <row r="3367" spans="1:4" x14ac:dyDescent="0.25">
      <c r="A3367" t="str">
        <f>T("   FR")</f>
        <v xml:space="preserve">   FR</v>
      </c>
      <c r="B3367" t="str">
        <f>T("   France")</f>
        <v xml:space="preserve">   France</v>
      </c>
      <c r="C3367">
        <v>10264383</v>
      </c>
      <c r="D3367">
        <v>1471</v>
      </c>
    </row>
    <row r="3368" spans="1:4" x14ac:dyDescent="0.25">
      <c r="A3368" t="str">
        <f>T("   GH")</f>
        <v xml:space="preserve">   GH</v>
      </c>
      <c r="B3368" t="str">
        <f>T("   Ghana")</f>
        <v xml:space="preserve">   Ghana</v>
      </c>
      <c r="C3368">
        <v>602613</v>
      </c>
      <c r="D3368">
        <v>3890</v>
      </c>
    </row>
    <row r="3369" spans="1:4" x14ac:dyDescent="0.25">
      <c r="A3369" t="str">
        <f>T("   ID")</f>
        <v xml:space="preserve">   ID</v>
      </c>
      <c r="B3369" t="str">
        <f>T("   Indonésie")</f>
        <v xml:space="preserve">   Indonésie</v>
      </c>
      <c r="C3369">
        <v>488458</v>
      </c>
      <c r="D3369">
        <v>531</v>
      </c>
    </row>
    <row r="3370" spans="1:4" x14ac:dyDescent="0.25">
      <c r="A3370" t="str">
        <f>T("   LB")</f>
        <v xml:space="preserve">   LB</v>
      </c>
      <c r="B3370" t="str">
        <f>T("   Liban")</f>
        <v xml:space="preserve">   Liban</v>
      </c>
      <c r="C3370">
        <v>1438683</v>
      </c>
      <c r="D3370">
        <v>3330</v>
      </c>
    </row>
    <row r="3371" spans="1:4" x14ac:dyDescent="0.25">
      <c r="A3371" t="str">
        <f>T("   TG")</f>
        <v xml:space="preserve">   TG</v>
      </c>
      <c r="B3371" t="str">
        <f>T("   Togo")</f>
        <v xml:space="preserve">   Togo</v>
      </c>
      <c r="C3371">
        <v>18812875</v>
      </c>
      <c r="D3371">
        <v>95435</v>
      </c>
    </row>
    <row r="3372" spans="1:4" x14ac:dyDescent="0.25">
      <c r="A3372" t="str">
        <f>T("321490")</f>
        <v>321490</v>
      </c>
      <c r="B3372" t="str">
        <f>T("Enduits non réfractaires des types utilisés en maçonnerie")</f>
        <v>Enduits non réfractaires des types utilisés en maçonnerie</v>
      </c>
    </row>
    <row r="3373" spans="1:4" x14ac:dyDescent="0.25">
      <c r="A3373" t="str">
        <f>T("   ZZZ_Monde")</f>
        <v xml:space="preserve">   ZZZ_Monde</v>
      </c>
      <c r="B3373" t="str">
        <f>T("   ZZZ_Monde")</f>
        <v xml:space="preserve">   ZZZ_Monde</v>
      </c>
      <c r="C3373">
        <v>99729652</v>
      </c>
      <c r="D3373">
        <v>447393</v>
      </c>
    </row>
    <row r="3374" spans="1:4" x14ac:dyDescent="0.25">
      <c r="A3374" t="str">
        <f>T("   BR")</f>
        <v xml:space="preserve">   BR</v>
      </c>
      <c r="B3374" t="str">
        <f>T("   Brésil")</f>
        <v xml:space="preserve">   Brésil</v>
      </c>
      <c r="C3374">
        <v>3298096</v>
      </c>
      <c r="D3374">
        <v>16873</v>
      </c>
    </row>
    <row r="3375" spans="1:4" x14ac:dyDescent="0.25">
      <c r="A3375" t="str">
        <f>T("   ES")</f>
        <v xml:space="preserve">   ES</v>
      </c>
      <c r="B3375" t="str">
        <f>T("   Espagne")</f>
        <v xml:space="preserve">   Espagne</v>
      </c>
      <c r="C3375">
        <v>19596542</v>
      </c>
      <c r="D3375">
        <v>183503</v>
      </c>
    </row>
    <row r="3376" spans="1:4" x14ac:dyDescent="0.25">
      <c r="A3376" t="str">
        <f>T("   FR")</f>
        <v xml:space="preserve">   FR</v>
      </c>
      <c r="B3376" t="str">
        <f>T("   France")</f>
        <v xml:space="preserve">   France</v>
      </c>
      <c r="C3376">
        <v>36130999</v>
      </c>
      <c r="D3376">
        <v>43061</v>
      </c>
    </row>
    <row r="3377" spans="1:4" x14ac:dyDescent="0.25">
      <c r="A3377" t="str">
        <f>T("   LB")</f>
        <v xml:space="preserve">   LB</v>
      </c>
      <c r="B3377" t="str">
        <f>T("   Liban")</f>
        <v xml:space="preserve">   Liban</v>
      </c>
      <c r="C3377">
        <v>93818</v>
      </c>
      <c r="D3377">
        <v>50</v>
      </c>
    </row>
    <row r="3378" spans="1:4" x14ac:dyDescent="0.25">
      <c r="A3378" t="str">
        <f>T("   TG")</f>
        <v xml:space="preserve">   TG</v>
      </c>
      <c r="B3378" t="str">
        <f>T("   Togo")</f>
        <v xml:space="preserve">   Togo</v>
      </c>
      <c r="C3378">
        <v>26000000</v>
      </c>
      <c r="D3378">
        <v>180740</v>
      </c>
    </row>
    <row r="3379" spans="1:4" x14ac:dyDescent="0.25">
      <c r="A3379" t="str">
        <f>T("   TN")</f>
        <v xml:space="preserve">   TN</v>
      </c>
      <c r="B3379" t="str">
        <f>T("   Tunisie")</f>
        <v xml:space="preserve">   Tunisie</v>
      </c>
      <c r="C3379">
        <v>14610197</v>
      </c>
      <c r="D3379">
        <v>23166</v>
      </c>
    </row>
    <row r="3380" spans="1:4" x14ac:dyDescent="0.25">
      <c r="A3380" t="str">
        <f>T("321511")</f>
        <v>321511</v>
      </c>
      <c r="B3380" t="str">
        <f>T("Encres d'imprimerie, noires, même concentrées ou sous formes solides")</f>
        <v>Encres d'imprimerie, noires, même concentrées ou sous formes solides</v>
      </c>
    </row>
    <row r="3381" spans="1:4" x14ac:dyDescent="0.25">
      <c r="A3381" t="str">
        <f>T("   ZZZ_Monde")</f>
        <v xml:space="preserve">   ZZZ_Monde</v>
      </c>
      <c r="B3381" t="str">
        <f>T("   ZZZ_Monde")</f>
        <v xml:space="preserve">   ZZZ_Monde</v>
      </c>
      <c r="C3381">
        <v>39828289</v>
      </c>
      <c r="D3381">
        <v>5221</v>
      </c>
    </row>
    <row r="3382" spans="1:4" x14ac:dyDescent="0.25">
      <c r="A3382" t="str">
        <f>T("   FR")</f>
        <v xml:space="preserve">   FR</v>
      </c>
      <c r="B3382" t="str">
        <f>T("   France")</f>
        <v xml:space="preserve">   France</v>
      </c>
      <c r="C3382">
        <v>39828289</v>
      </c>
      <c r="D3382">
        <v>5221</v>
      </c>
    </row>
    <row r="3383" spans="1:4" x14ac:dyDescent="0.25">
      <c r="A3383" t="str">
        <f>T("321519")</f>
        <v>321519</v>
      </c>
      <c r="B3383" t="str">
        <f>T("Encres d'imprimerie, même concentrées ou sous formes solides (à l'excl. des encres noires)")</f>
        <v>Encres d'imprimerie, même concentrées ou sous formes solides (à l'excl. des encres noires)</v>
      </c>
    </row>
    <row r="3384" spans="1:4" x14ac:dyDescent="0.25">
      <c r="A3384" t="str">
        <f>T("   ZZZ_Monde")</f>
        <v xml:space="preserve">   ZZZ_Monde</v>
      </c>
      <c r="B3384" t="str">
        <f>T("   ZZZ_Monde")</f>
        <v xml:space="preserve">   ZZZ_Monde</v>
      </c>
      <c r="C3384">
        <v>149321183</v>
      </c>
      <c r="D3384">
        <v>56551</v>
      </c>
    </row>
    <row r="3385" spans="1:4" x14ac:dyDescent="0.25">
      <c r="A3385" t="str">
        <f>T("   AE")</f>
        <v xml:space="preserve">   AE</v>
      </c>
      <c r="B3385" t="str">
        <f>T("   Emirats Arabes Unis")</f>
        <v xml:space="preserve">   Emirats Arabes Unis</v>
      </c>
      <c r="C3385">
        <v>4158462</v>
      </c>
      <c r="D3385">
        <v>1101</v>
      </c>
    </row>
    <row r="3386" spans="1:4" x14ac:dyDescent="0.25">
      <c r="A3386" t="str">
        <f>T("   CH")</f>
        <v xml:space="preserve">   CH</v>
      </c>
      <c r="B3386" t="str">
        <f>T("   Suisse")</f>
        <v xml:space="preserve">   Suisse</v>
      </c>
      <c r="C3386">
        <v>5680613</v>
      </c>
      <c r="D3386">
        <v>1388</v>
      </c>
    </row>
    <row r="3387" spans="1:4" x14ac:dyDescent="0.25">
      <c r="A3387" t="str">
        <f>T("   CI")</f>
        <v xml:space="preserve">   CI</v>
      </c>
      <c r="B3387" t="str">
        <f>T("   Côte d'Ivoire")</f>
        <v xml:space="preserve">   Côte d'Ivoire</v>
      </c>
      <c r="C3387">
        <v>6292143</v>
      </c>
      <c r="D3387">
        <v>284</v>
      </c>
    </row>
    <row r="3388" spans="1:4" x14ac:dyDescent="0.25">
      <c r="A3388" t="str">
        <f>T("   CN")</f>
        <v xml:space="preserve">   CN</v>
      </c>
      <c r="B3388" t="str">
        <f>T("   Chine")</f>
        <v xml:space="preserve">   Chine</v>
      </c>
      <c r="C3388">
        <v>544447</v>
      </c>
      <c r="D3388">
        <v>860</v>
      </c>
    </row>
    <row r="3389" spans="1:4" x14ac:dyDescent="0.25">
      <c r="A3389" t="str">
        <f>T("   FR")</f>
        <v xml:space="preserve">   FR</v>
      </c>
      <c r="B3389" t="str">
        <f>T("   France")</f>
        <v xml:space="preserve">   France</v>
      </c>
      <c r="C3389">
        <v>124615191</v>
      </c>
      <c r="D3389">
        <v>48067</v>
      </c>
    </row>
    <row r="3390" spans="1:4" x14ac:dyDescent="0.25">
      <c r="A3390" t="str">
        <f>T("   GB")</f>
        <v xml:space="preserve">   GB</v>
      </c>
      <c r="B3390" t="str">
        <f>T("   Royaume-Uni")</f>
        <v xml:space="preserve">   Royaume-Uni</v>
      </c>
      <c r="C3390">
        <v>4563825</v>
      </c>
      <c r="D3390">
        <v>120</v>
      </c>
    </row>
    <row r="3391" spans="1:4" x14ac:dyDescent="0.25">
      <c r="A3391" t="str">
        <f>T("   IT")</f>
        <v xml:space="preserve">   IT</v>
      </c>
      <c r="B3391" t="str">
        <f>T("   Italie")</f>
        <v xml:space="preserve">   Italie</v>
      </c>
      <c r="C3391">
        <v>79371</v>
      </c>
      <c r="D3391">
        <v>51</v>
      </c>
    </row>
    <row r="3392" spans="1:4" x14ac:dyDescent="0.25">
      <c r="A3392" t="str">
        <f>T("   NG")</f>
        <v xml:space="preserve">   NG</v>
      </c>
      <c r="B3392" t="str">
        <f>T("   Nigéria")</f>
        <v xml:space="preserve">   Nigéria</v>
      </c>
      <c r="C3392">
        <v>1958000</v>
      </c>
      <c r="D3392">
        <v>2840</v>
      </c>
    </row>
    <row r="3393" spans="1:4" x14ac:dyDescent="0.25">
      <c r="A3393" t="str">
        <f>T("   SG")</f>
        <v xml:space="preserve">   SG</v>
      </c>
      <c r="B3393" t="str">
        <f>T("   Singapour")</f>
        <v xml:space="preserve">   Singapour</v>
      </c>
      <c r="C3393">
        <v>1429131</v>
      </c>
      <c r="D3393">
        <v>1840</v>
      </c>
    </row>
    <row r="3394" spans="1:4" x14ac:dyDescent="0.25">
      <c r="A3394" t="str">
        <f>T("321590")</f>
        <v>321590</v>
      </c>
      <c r="B3394" t="str">
        <f>T("Encres à écrire et à dessiner, même concentrées ou sous formes solides")</f>
        <v>Encres à écrire et à dessiner, même concentrées ou sous formes solides</v>
      </c>
    </row>
    <row r="3395" spans="1:4" x14ac:dyDescent="0.25">
      <c r="A3395" t="str">
        <f>T("   ZZZ_Monde")</f>
        <v xml:space="preserve">   ZZZ_Monde</v>
      </c>
      <c r="B3395" t="str">
        <f>T("   ZZZ_Monde")</f>
        <v xml:space="preserve">   ZZZ_Monde</v>
      </c>
      <c r="C3395">
        <v>88963838</v>
      </c>
      <c r="D3395">
        <v>35605</v>
      </c>
    </row>
    <row r="3396" spans="1:4" x14ac:dyDescent="0.25">
      <c r="A3396" t="str">
        <f>T("   AE")</f>
        <v xml:space="preserve">   AE</v>
      </c>
      <c r="B3396" t="str">
        <f>T("   Emirats Arabes Unis")</f>
        <v xml:space="preserve">   Emirats Arabes Unis</v>
      </c>
      <c r="C3396">
        <v>7078729</v>
      </c>
      <c r="D3396">
        <v>2553</v>
      </c>
    </row>
    <row r="3397" spans="1:4" x14ac:dyDescent="0.25">
      <c r="A3397" t="str">
        <f>T("   BE")</f>
        <v xml:space="preserve">   BE</v>
      </c>
      <c r="B3397" t="str">
        <f>T("   Belgique")</f>
        <v xml:space="preserve">   Belgique</v>
      </c>
      <c r="C3397">
        <v>46573</v>
      </c>
      <c r="D3397">
        <v>27</v>
      </c>
    </row>
    <row r="3398" spans="1:4" x14ac:dyDescent="0.25">
      <c r="A3398" t="str">
        <f>T("   CN")</f>
        <v xml:space="preserve">   CN</v>
      </c>
      <c r="B3398" t="str">
        <f>T("   Chine")</f>
        <v xml:space="preserve">   Chine</v>
      </c>
      <c r="C3398">
        <v>9398564</v>
      </c>
      <c r="D3398">
        <v>14829</v>
      </c>
    </row>
    <row r="3399" spans="1:4" x14ac:dyDescent="0.25">
      <c r="A3399" t="str">
        <f>T("   CY")</f>
        <v xml:space="preserve">   CY</v>
      </c>
      <c r="B3399" t="str">
        <f>T("   Chypre")</f>
        <v xml:space="preserve">   Chypre</v>
      </c>
      <c r="C3399">
        <v>1134142</v>
      </c>
      <c r="D3399">
        <v>4006</v>
      </c>
    </row>
    <row r="3400" spans="1:4" x14ac:dyDescent="0.25">
      <c r="A3400" t="str">
        <f>T("   DE")</f>
        <v xml:space="preserve">   DE</v>
      </c>
      <c r="B3400" t="str">
        <f>T("   Allemagne")</f>
        <v xml:space="preserve">   Allemagne</v>
      </c>
      <c r="C3400">
        <v>1063311</v>
      </c>
      <c r="D3400">
        <v>82</v>
      </c>
    </row>
    <row r="3401" spans="1:4" x14ac:dyDescent="0.25">
      <c r="A3401" t="str">
        <f>T("   FR")</f>
        <v xml:space="preserve">   FR</v>
      </c>
      <c r="B3401" t="str">
        <f>T("   France")</f>
        <v xml:space="preserve">   France</v>
      </c>
      <c r="C3401">
        <v>58137493</v>
      </c>
      <c r="D3401">
        <v>10698</v>
      </c>
    </row>
    <row r="3402" spans="1:4" x14ac:dyDescent="0.25">
      <c r="A3402" t="str">
        <f>T("   GE")</f>
        <v xml:space="preserve">   GE</v>
      </c>
      <c r="B3402" t="str">
        <f>T("   Géorgie")</f>
        <v xml:space="preserve">   Géorgie</v>
      </c>
      <c r="C3402">
        <v>249265</v>
      </c>
      <c r="D3402">
        <v>3</v>
      </c>
    </row>
    <row r="3403" spans="1:4" x14ac:dyDescent="0.25">
      <c r="A3403" t="str">
        <f>T("   HK")</f>
        <v xml:space="preserve">   HK</v>
      </c>
      <c r="B3403" t="str">
        <f>T("   Hong-Kong")</f>
        <v xml:space="preserve">   Hong-Kong</v>
      </c>
      <c r="C3403">
        <v>500000</v>
      </c>
      <c r="D3403">
        <v>50</v>
      </c>
    </row>
    <row r="3404" spans="1:4" x14ac:dyDescent="0.25">
      <c r="A3404" t="str">
        <f>T("   LB")</f>
        <v xml:space="preserve">   LB</v>
      </c>
      <c r="B3404" t="str">
        <f>T("   Liban")</f>
        <v xml:space="preserve">   Liban</v>
      </c>
      <c r="C3404">
        <v>277085</v>
      </c>
      <c r="D3404">
        <v>50</v>
      </c>
    </row>
    <row r="3405" spans="1:4" x14ac:dyDescent="0.25">
      <c r="A3405" t="str">
        <f>T("   NL")</f>
        <v xml:space="preserve">   NL</v>
      </c>
      <c r="B3405" t="str">
        <f>T("   Pays-bas")</f>
        <v xml:space="preserve">   Pays-bas</v>
      </c>
      <c r="C3405">
        <v>688889</v>
      </c>
      <c r="D3405">
        <v>24</v>
      </c>
    </row>
    <row r="3406" spans="1:4" x14ac:dyDescent="0.25">
      <c r="A3406" t="str">
        <f>T("   SG")</f>
        <v xml:space="preserve">   SG</v>
      </c>
      <c r="B3406" t="str">
        <f>T("   Singapour")</f>
        <v xml:space="preserve">   Singapour</v>
      </c>
      <c r="C3406">
        <v>10389787</v>
      </c>
      <c r="D3406">
        <v>3283</v>
      </c>
    </row>
    <row r="3407" spans="1:4" x14ac:dyDescent="0.25">
      <c r="A3407" t="str">
        <f>T("330112")</f>
        <v>330112</v>
      </c>
      <c r="B3407" t="str">
        <f>T("Huiles essentielles d'orange, déterpénées ou non, y.c. celles dites 'concrètes' ou 'absolues' (à l'excl. des essences de fleurs d'oranger)")</f>
        <v>Huiles essentielles d'orange, déterpénées ou non, y.c. celles dites 'concrètes' ou 'absolues' (à l'excl. des essences de fleurs d'oranger)</v>
      </c>
    </row>
    <row r="3408" spans="1:4" x14ac:dyDescent="0.25">
      <c r="A3408" t="str">
        <f>T("   ZZZ_Monde")</f>
        <v xml:space="preserve">   ZZZ_Monde</v>
      </c>
      <c r="B3408" t="str">
        <f>T("   ZZZ_Monde")</f>
        <v xml:space="preserve">   ZZZ_Monde</v>
      </c>
      <c r="C3408">
        <v>29738603</v>
      </c>
      <c r="D3408">
        <v>16216</v>
      </c>
    </row>
    <row r="3409" spans="1:4" x14ac:dyDescent="0.25">
      <c r="A3409" t="str">
        <f>T("   FR")</f>
        <v xml:space="preserve">   FR</v>
      </c>
      <c r="B3409" t="str">
        <f>T("   France")</f>
        <v xml:space="preserve">   France</v>
      </c>
      <c r="C3409">
        <v>29738603</v>
      </c>
      <c r="D3409">
        <v>16216</v>
      </c>
    </row>
    <row r="3410" spans="1:4" x14ac:dyDescent="0.25">
      <c r="A3410" t="str">
        <f>T("330119")</f>
        <v>330119</v>
      </c>
      <c r="B3410" t="str">
        <f>T("HUILES ESSENTIELLES D'AGRUMES, DÉTERPÉNÉES OU NON, Y.C. CELLES DITES 'CONCRÈTES' OU 'ABSOLUES' (À L'EXCL. DES HUILES ESSENTIELLES D'ORANGE, DE CITRONOU DE LIME)")</f>
        <v>HUILES ESSENTIELLES D'AGRUMES, DÉTERPÉNÉES OU NON, Y.C. CELLES DITES 'CONCRÈTES' OU 'ABSOLUES' (À L'EXCL. DES HUILES ESSENTIELLES D'ORANGE, DE CITRONOU DE LIME)</v>
      </c>
    </row>
    <row r="3411" spans="1:4" x14ac:dyDescent="0.25">
      <c r="A3411" t="str">
        <f>T("   ZZZ_Monde")</f>
        <v xml:space="preserve">   ZZZ_Monde</v>
      </c>
      <c r="B3411" t="str">
        <f>T("   ZZZ_Monde")</f>
        <v xml:space="preserve">   ZZZ_Monde</v>
      </c>
      <c r="C3411">
        <v>35094010</v>
      </c>
      <c r="D3411">
        <v>306572.3</v>
      </c>
    </row>
    <row r="3412" spans="1:4" x14ac:dyDescent="0.25">
      <c r="A3412" t="str">
        <f>T("   BE")</f>
        <v xml:space="preserve">   BE</v>
      </c>
      <c r="B3412" t="str">
        <f>T("   Belgique")</f>
        <v xml:space="preserve">   Belgique</v>
      </c>
      <c r="C3412">
        <v>1082334</v>
      </c>
      <c r="D3412">
        <v>25.3</v>
      </c>
    </row>
    <row r="3413" spans="1:4" x14ac:dyDescent="0.25">
      <c r="A3413" t="str">
        <f>T("   FR")</f>
        <v xml:space="preserve">   FR</v>
      </c>
      <c r="B3413" t="str">
        <f>T("   France")</f>
        <v xml:space="preserve">   France</v>
      </c>
      <c r="C3413">
        <v>2441522</v>
      </c>
      <c r="D3413">
        <v>530</v>
      </c>
    </row>
    <row r="3414" spans="1:4" x14ac:dyDescent="0.25">
      <c r="A3414" t="str">
        <f>T("   SN")</f>
        <v xml:space="preserve">   SN</v>
      </c>
      <c r="B3414" t="str">
        <f>T("   Sénégal")</f>
        <v xml:space="preserve">   Sénégal</v>
      </c>
      <c r="C3414">
        <v>105154</v>
      </c>
      <c r="D3414">
        <v>25</v>
      </c>
    </row>
    <row r="3415" spans="1:4" x14ac:dyDescent="0.25">
      <c r="A3415" t="str">
        <f>T("   Z2")</f>
        <v xml:space="preserve">   Z2</v>
      </c>
      <c r="B3415" t="str">
        <f>T("   Pays non défini")</f>
        <v xml:space="preserve">   Pays non défini</v>
      </c>
      <c r="C3415">
        <v>31465000</v>
      </c>
      <c r="D3415">
        <v>305992</v>
      </c>
    </row>
    <row r="3416" spans="1:4" x14ac:dyDescent="0.25">
      <c r="A3416" t="str">
        <f>T("330123")</f>
        <v>330123</v>
      </c>
      <c r="B3416" t="str">
        <f>T("Huiles essentielles de lavande ou de lavandin, déterpénées ou non, y.c. celles dites 'concrètes' ou 'absolues'")</f>
        <v>Huiles essentielles de lavande ou de lavandin, déterpénées ou non, y.c. celles dites 'concrètes' ou 'absolues'</v>
      </c>
    </row>
    <row r="3417" spans="1:4" x14ac:dyDescent="0.25">
      <c r="A3417" t="str">
        <f>T("   ZZZ_Monde")</f>
        <v xml:space="preserve">   ZZZ_Monde</v>
      </c>
      <c r="B3417" t="str">
        <f>T("   ZZZ_Monde")</f>
        <v xml:space="preserve">   ZZZ_Monde</v>
      </c>
      <c r="C3417">
        <v>602827</v>
      </c>
      <c r="D3417">
        <v>200</v>
      </c>
    </row>
    <row r="3418" spans="1:4" x14ac:dyDescent="0.25">
      <c r="A3418" t="str">
        <f>T("   FR")</f>
        <v xml:space="preserve">   FR</v>
      </c>
      <c r="B3418" t="str">
        <f>T("   France")</f>
        <v xml:space="preserve">   France</v>
      </c>
      <c r="C3418">
        <v>602827</v>
      </c>
      <c r="D3418">
        <v>200</v>
      </c>
    </row>
    <row r="3419" spans="1:4" x14ac:dyDescent="0.25">
      <c r="A3419" t="str">
        <f>T("330126")</f>
        <v>330126</v>
      </c>
      <c r="B3419" t="str">
        <f>T("Huiles essentielles de vétiver, déterpénées ou non, y.c. celles dites 'concrètes' ou 'absolues'")</f>
        <v>Huiles essentielles de vétiver, déterpénées ou non, y.c. celles dites 'concrètes' ou 'absolues'</v>
      </c>
    </row>
    <row r="3420" spans="1:4" x14ac:dyDescent="0.25">
      <c r="A3420" t="str">
        <f>T("   ZZZ_Monde")</f>
        <v xml:space="preserve">   ZZZ_Monde</v>
      </c>
      <c r="B3420" t="str">
        <f>T("   ZZZ_Monde")</f>
        <v xml:space="preserve">   ZZZ_Monde</v>
      </c>
      <c r="C3420">
        <v>197201</v>
      </c>
      <c r="D3420">
        <v>124</v>
      </c>
    </row>
    <row r="3421" spans="1:4" x14ac:dyDescent="0.25">
      <c r="A3421" t="str">
        <f>T("   FR")</f>
        <v xml:space="preserve">   FR</v>
      </c>
      <c r="B3421" t="str">
        <f>T("   France")</f>
        <v xml:space="preserve">   France</v>
      </c>
      <c r="C3421">
        <v>197201</v>
      </c>
      <c r="D3421">
        <v>124</v>
      </c>
    </row>
    <row r="3422" spans="1:4" x14ac:dyDescent="0.25">
      <c r="A3422" t="str">
        <f>T("330129")</f>
        <v>330129</v>
      </c>
      <c r="B3422" t="str">
        <f>T("HUILES ESSENTIELLES, DÉTERPÉNÉES OU NON, Y.C. CELLES DITES 'CONCRÈTES' OU 'ABSOLUES' (À L'EXCL. DES HUILES ESSENTIELLES D'AGRUMES OU DE MENTHES)")</f>
        <v>HUILES ESSENTIELLES, DÉTERPÉNÉES OU NON, Y.C. CELLES DITES 'CONCRÈTES' OU 'ABSOLUES' (À L'EXCL. DES HUILES ESSENTIELLES D'AGRUMES OU DE MENTHES)</v>
      </c>
    </row>
    <row r="3423" spans="1:4" x14ac:dyDescent="0.25">
      <c r="A3423" t="str">
        <f>T("   ZZZ_Monde")</f>
        <v xml:space="preserve">   ZZZ_Monde</v>
      </c>
      <c r="B3423" t="str">
        <f>T("   ZZZ_Monde")</f>
        <v xml:space="preserve">   ZZZ_Monde</v>
      </c>
      <c r="C3423">
        <v>2757915</v>
      </c>
      <c r="D3423">
        <v>1845</v>
      </c>
    </row>
    <row r="3424" spans="1:4" x14ac:dyDescent="0.25">
      <c r="A3424" t="str">
        <f>T("   FR")</f>
        <v xml:space="preserve">   FR</v>
      </c>
      <c r="B3424" t="str">
        <f>T("   France")</f>
        <v xml:space="preserve">   France</v>
      </c>
      <c r="C3424">
        <v>2541845</v>
      </c>
      <c r="D3424">
        <v>1714</v>
      </c>
    </row>
    <row r="3425" spans="1:4" x14ac:dyDescent="0.25">
      <c r="A3425" t="str">
        <f>T("   GB")</f>
        <v xml:space="preserve">   GB</v>
      </c>
      <c r="B3425" t="str">
        <f>T("   Royaume-Uni")</f>
        <v xml:space="preserve">   Royaume-Uni</v>
      </c>
      <c r="C3425">
        <v>105212</v>
      </c>
      <c r="D3425">
        <v>106</v>
      </c>
    </row>
    <row r="3426" spans="1:4" x14ac:dyDescent="0.25">
      <c r="A3426" t="str">
        <f>T("   SN")</f>
        <v xml:space="preserve">   SN</v>
      </c>
      <c r="B3426" t="str">
        <f>T("   Sénégal")</f>
        <v xml:space="preserve">   Sénégal</v>
      </c>
      <c r="C3426">
        <v>110858</v>
      </c>
      <c r="D3426">
        <v>25</v>
      </c>
    </row>
    <row r="3427" spans="1:4" x14ac:dyDescent="0.25">
      <c r="A3427" t="str">
        <f>T("330190")</f>
        <v>330190</v>
      </c>
      <c r="B3427" t="str">
        <f>T("Oléorésines d'extraction; solutions concentrées d'huiles essentielles dans les graisses, les huiles fixes, les cires ou matières analogues, obtenues par enfleurage ou macération; sous-produits terpéniques résiduaires de la déterpénation des huiles essenti")</f>
        <v>Oléorésines d'extraction; solutions concentrées d'huiles essentielles dans les graisses, les huiles fixes, les cires ou matières analogues, obtenues par enfleurage ou macération; sous-produits terpéniques résiduaires de la déterpénation des huiles essenti</v>
      </c>
    </row>
    <row r="3428" spans="1:4" x14ac:dyDescent="0.25">
      <c r="A3428" t="str">
        <f>T("   ZZZ_Monde")</f>
        <v xml:space="preserve">   ZZZ_Monde</v>
      </c>
      <c r="B3428" t="str">
        <f>T("   ZZZ_Monde")</f>
        <v xml:space="preserve">   ZZZ_Monde</v>
      </c>
      <c r="C3428">
        <v>1983962</v>
      </c>
      <c r="D3428">
        <v>3626</v>
      </c>
    </row>
    <row r="3429" spans="1:4" x14ac:dyDescent="0.25">
      <c r="A3429" t="str">
        <f>T("   CM")</f>
        <v xml:space="preserve">   CM</v>
      </c>
      <c r="B3429" t="str">
        <f>T("   Cameroun")</f>
        <v xml:space="preserve">   Cameroun</v>
      </c>
      <c r="C3429">
        <v>230000</v>
      </c>
      <c r="D3429">
        <v>200</v>
      </c>
    </row>
    <row r="3430" spans="1:4" x14ac:dyDescent="0.25">
      <c r="A3430" t="str">
        <f>T("   FR")</f>
        <v xml:space="preserve">   FR</v>
      </c>
      <c r="B3430" t="str">
        <f>T("   France")</f>
        <v xml:space="preserve">   France</v>
      </c>
      <c r="C3430">
        <v>93803</v>
      </c>
      <c r="D3430">
        <v>9</v>
      </c>
    </row>
    <row r="3431" spans="1:4" x14ac:dyDescent="0.25">
      <c r="A3431" t="str">
        <f>T("   GB")</f>
        <v xml:space="preserve">   GB</v>
      </c>
      <c r="B3431" t="str">
        <f>T("   Royaume-Uni")</f>
        <v xml:space="preserve">   Royaume-Uni</v>
      </c>
      <c r="C3431">
        <v>174882</v>
      </c>
      <c r="D3431">
        <v>94</v>
      </c>
    </row>
    <row r="3432" spans="1:4" x14ac:dyDescent="0.25">
      <c r="A3432" t="str">
        <f>T("   TG")</f>
        <v xml:space="preserve">   TG</v>
      </c>
      <c r="B3432" t="str">
        <f>T("   Togo")</f>
        <v xml:space="preserve">   Togo</v>
      </c>
      <c r="C3432">
        <v>1485277</v>
      </c>
      <c r="D3432">
        <v>3323</v>
      </c>
    </row>
    <row r="3433" spans="1:4" x14ac:dyDescent="0.25">
      <c r="A3433" t="str">
        <f>T("330210")</f>
        <v>330210</v>
      </c>
      <c r="B3433" t="str">
        <f>T("Mélanges de substances odoriférantes et mélanges, y.c. les solutions alcooliques, à base d'une ou de plusieurs de ces substances, des types utilisés comme matières de base pour les industries des produits alimentaires et des boissons")</f>
        <v>Mélanges de substances odoriférantes et mélanges, y.c. les solutions alcooliques, à base d'une ou de plusieurs de ces substances, des types utilisés comme matières de base pour les industries des produits alimentaires et des boissons</v>
      </c>
    </row>
    <row r="3434" spans="1:4" x14ac:dyDescent="0.25">
      <c r="A3434" t="str">
        <f>T("   ZZZ_Monde")</f>
        <v xml:space="preserve">   ZZZ_Monde</v>
      </c>
      <c r="B3434" t="str">
        <f>T("   ZZZ_Monde")</f>
        <v xml:space="preserve">   ZZZ_Monde</v>
      </c>
      <c r="C3434">
        <v>2360961234</v>
      </c>
      <c r="D3434">
        <v>454985</v>
      </c>
    </row>
    <row r="3435" spans="1:4" x14ac:dyDescent="0.25">
      <c r="A3435" t="str">
        <f>T("   BE")</f>
        <v xml:space="preserve">   BE</v>
      </c>
      <c r="B3435" t="str">
        <f>T("   Belgique")</f>
        <v xml:space="preserve">   Belgique</v>
      </c>
      <c r="C3435">
        <v>275103721</v>
      </c>
      <c r="D3435">
        <v>45072</v>
      </c>
    </row>
    <row r="3436" spans="1:4" x14ac:dyDescent="0.25">
      <c r="A3436" t="str">
        <f>T("   CH")</f>
        <v xml:space="preserve">   CH</v>
      </c>
      <c r="B3436" t="str">
        <f>T("   Suisse")</f>
        <v xml:space="preserve">   Suisse</v>
      </c>
      <c r="C3436">
        <v>7557538</v>
      </c>
      <c r="D3436">
        <v>2634</v>
      </c>
    </row>
    <row r="3437" spans="1:4" x14ac:dyDescent="0.25">
      <c r="A3437" t="str">
        <f>T("   CM")</f>
        <v xml:space="preserve">   CM</v>
      </c>
      <c r="B3437" t="str">
        <f>T("   Cameroun")</f>
        <v xml:space="preserve">   Cameroun</v>
      </c>
      <c r="C3437">
        <v>1925000</v>
      </c>
      <c r="D3437">
        <v>880</v>
      </c>
    </row>
    <row r="3438" spans="1:4" x14ac:dyDescent="0.25">
      <c r="A3438" t="str">
        <f>T("   CN")</f>
        <v xml:space="preserve">   CN</v>
      </c>
      <c r="B3438" t="str">
        <f>T("   Chine")</f>
        <v xml:space="preserve">   Chine</v>
      </c>
      <c r="C3438">
        <v>3052200</v>
      </c>
      <c r="D3438">
        <v>1110</v>
      </c>
    </row>
    <row r="3439" spans="1:4" x14ac:dyDescent="0.25">
      <c r="A3439" t="str">
        <f>T("   DE")</f>
        <v xml:space="preserve">   DE</v>
      </c>
      <c r="B3439" t="str">
        <f>T("   Allemagne")</f>
        <v xml:space="preserve">   Allemagne</v>
      </c>
      <c r="C3439">
        <v>251710839</v>
      </c>
      <c r="D3439">
        <v>34585</v>
      </c>
    </row>
    <row r="3440" spans="1:4" x14ac:dyDescent="0.25">
      <c r="A3440" t="str">
        <f>T("   FR")</f>
        <v xml:space="preserve">   FR</v>
      </c>
      <c r="B3440" t="str">
        <f>T("   France")</f>
        <v xml:space="preserve">   France</v>
      </c>
      <c r="C3440">
        <v>878433585</v>
      </c>
      <c r="D3440">
        <v>116934</v>
      </c>
    </row>
    <row r="3441" spans="1:4" x14ac:dyDescent="0.25">
      <c r="A3441" t="str">
        <f>T("   IE")</f>
        <v xml:space="preserve">   IE</v>
      </c>
      <c r="B3441" t="str">
        <f>T("   Irlande")</f>
        <v xml:space="preserve">   Irlande</v>
      </c>
      <c r="C3441">
        <v>714864294</v>
      </c>
      <c r="D3441">
        <v>156341</v>
      </c>
    </row>
    <row r="3442" spans="1:4" x14ac:dyDescent="0.25">
      <c r="A3442" t="str">
        <f>T("   NL")</f>
        <v xml:space="preserve">   NL</v>
      </c>
      <c r="B3442" t="str">
        <f>T("   Pays-bas")</f>
        <v xml:space="preserve">   Pays-bas</v>
      </c>
      <c r="C3442">
        <v>49873951</v>
      </c>
      <c r="D3442">
        <v>12650</v>
      </c>
    </row>
    <row r="3443" spans="1:4" x14ac:dyDescent="0.25">
      <c r="A3443" t="str">
        <f>T("   SN")</f>
        <v xml:space="preserve">   SN</v>
      </c>
      <c r="B3443" t="str">
        <f>T("   Sénégal")</f>
        <v xml:space="preserve">   Sénégal</v>
      </c>
      <c r="C3443">
        <v>18834803</v>
      </c>
      <c r="D3443">
        <v>77175</v>
      </c>
    </row>
    <row r="3444" spans="1:4" x14ac:dyDescent="0.25">
      <c r="A3444" t="str">
        <f>T("   TG")</f>
        <v xml:space="preserve">   TG</v>
      </c>
      <c r="B3444" t="str">
        <f>T("   Togo")</f>
        <v xml:space="preserve">   Togo</v>
      </c>
      <c r="C3444">
        <v>15853637</v>
      </c>
      <c r="D3444">
        <v>634</v>
      </c>
    </row>
    <row r="3445" spans="1:4" x14ac:dyDescent="0.25">
      <c r="A3445" t="str">
        <f>T("   US")</f>
        <v xml:space="preserve">   US</v>
      </c>
      <c r="B3445" t="str">
        <f>T("   Etats-Unis")</f>
        <v xml:space="preserve">   Etats-Unis</v>
      </c>
      <c r="C3445">
        <v>143751666</v>
      </c>
      <c r="D3445">
        <v>6970</v>
      </c>
    </row>
    <row r="3446" spans="1:4" x14ac:dyDescent="0.25">
      <c r="A3446" t="str">
        <f>T("330290")</f>
        <v>330290</v>
      </c>
      <c r="B3446" t="str">
        <f>T("Mélanges de substances odoriférantes et mélanges, y.c. les solutions alcooliques, à base d'une ou de plusieurs de ces substances, des types utilisés comme matières de base pour l'industrie (à l'excl. des mélanges des types utilisés pour les industries ali")</f>
        <v>Mélanges de substances odoriférantes et mélanges, y.c. les solutions alcooliques, à base d'une ou de plusieurs de ces substances, des types utilisés comme matières de base pour l'industrie (à l'excl. des mélanges des types utilisés pour les industries ali</v>
      </c>
    </row>
    <row r="3447" spans="1:4" x14ac:dyDescent="0.25">
      <c r="A3447" t="str">
        <f>T("   ZZZ_Monde")</f>
        <v xml:space="preserve">   ZZZ_Monde</v>
      </c>
      <c r="B3447" t="str">
        <f>T("   ZZZ_Monde")</f>
        <v xml:space="preserve">   ZZZ_Monde</v>
      </c>
      <c r="C3447">
        <v>10391829</v>
      </c>
      <c r="D3447">
        <v>14140</v>
      </c>
    </row>
    <row r="3448" spans="1:4" x14ac:dyDescent="0.25">
      <c r="A3448" t="str">
        <f>T("   CH")</f>
        <v xml:space="preserve">   CH</v>
      </c>
      <c r="B3448" t="str">
        <f>T("   Suisse")</f>
        <v xml:space="preserve">   Suisse</v>
      </c>
      <c r="C3448">
        <v>2349649</v>
      </c>
      <c r="D3448">
        <v>1090</v>
      </c>
    </row>
    <row r="3449" spans="1:4" x14ac:dyDescent="0.25">
      <c r="A3449" t="str">
        <f>T("   CN")</f>
        <v xml:space="preserve">   CN</v>
      </c>
      <c r="B3449" t="str">
        <f>T("   Chine")</f>
        <v xml:space="preserve">   Chine</v>
      </c>
      <c r="C3449">
        <v>2423097</v>
      </c>
      <c r="D3449">
        <v>7600</v>
      </c>
    </row>
    <row r="3450" spans="1:4" x14ac:dyDescent="0.25">
      <c r="A3450" t="str">
        <f>T("   DE")</f>
        <v xml:space="preserve">   DE</v>
      </c>
      <c r="B3450" t="str">
        <f>T("   Allemagne")</f>
        <v xml:space="preserve">   Allemagne</v>
      </c>
      <c r="C3450">
        <v>2349649</v>
      </c>
      <c r="D3450">
        <v>1088</v>
      </c>
    </row>
    <row r="3451" spans="1:4" x14ac:dyDescent="0.25">
      <c r="A3451" t="str">
        <f>T("   FR")</f>
        <v xml:space="preserve">   FR</v>
      </c>
      <c r="B3451" t="str">
        <f>T("   France")</f>
        <v xml:space="preserve">   France</v>
      </c>
      <c r="C3451">
        <v>287311</v>
      </c>
      <c r="D3451">
        <v>38</v>
      </c>
    </row>
    <row r="3452" spans="1:4" x14ac:dyDescent="0.25">
      <c r="A3452" t="str">
        <f>T("   SN")</f>
        <v xml:space="preserve">   SN</v>
      </c>
      <c r="B3452" t="str">
        <f>T("   Sénégal")</f>
        <v xml:space="preserve">   Sénégal</v>
      </c>
      <c r="C3452">
        <v>2982123</v>
      </c>
      <c r="D3452">
        <v>4324</v>
      </c>
    </row>
    <row r="3453" spans="1:4" x14ac:dyDescent="0.25">
      <c r="A3453" t="str">
        <f>T("330300")</f>
        <v>330300</v>
      </c>
      <c r="B3453" t="str">
        <f>T("Parfums et eaux de toilette (à l'excl. des préparations pour l'après-rasage [lotions after-shave] et des désodorisants corporels)")</f>
        <v>Parfums et eaux de toilette (à l'excl. des préparations pour l'après-rasage [lotions after-shave] et des désodorisants corporels)</v>
      </c>
    </row>
    <row r="3454" spans="1:4" x14ac:dyDescent="0.25">
      <c r="A3454" t="str">
        <f>T("   ZZZ_Monde")</f>
        <v xml:space="preserve">   ZZZ_Monde</v>
      </c>
      <c r="B3454" t="str">
        <f>T("   ZZZ_Monde")</f>
        <v xml:space="preserve">   ZZZ_Monde</v>
      </c>
      <c r="C3454">
        <v>387301681</v>
      </c>
      <c r="D3454">
        <v>321522</v>
      </c>
    </row>
    <row r="3455" spans="1:4" x14ac:dyDescent="0.25">
      <c r="A3455" t="str">
        <f>T("   BE")</f>
        <v xml:space="preserve">   BE</v>
      </c>
      <c r="B3455" t="str">
        <f>T("   Belgique")</f>
        <v xml:space="preserve">   Belgique</v>
      </c>
      <c r="C3455">
        <v>48943800</v>
      </c>
      <c r="D3455">
        <v>2845</v>
      </c>
    </row>
    <row r="3456" spans="1:4" x14ac:dyDescent="0.25">
      <c r="A3456" t="str">
        <f>T("   BG")</f>
        <v xml:space="preserve">   BG</v>
      </c>
      <c r="B3456" t="str">
        <f>T("   Bulgarie")</f>
        <v xml:space="preserve">   Bulgarie</v>
      </c>
      <c r="C3456">
        <v>339131</v>
      </c>
      <c r="D3456">
        <v>131</v>
      </c>
    </row>
    <row r="3457" spans="1:4" x14ac:dyDescent="0.25">
      <c r="A3457" t="str">
        <f>T("   CI")</f>
        <v xml:space="preserve">   CI</v>
      </c>
      <c r="B3457" t="str">
        <f>T("   Côte d'Ivoire")</f>
        <v xml:space="preserve">   Côte d'Ivoire</v>
      </c>
      <c r="C3457">
        <v>38423878</v>
      </c>
      <c r="D3457">
        <v>85827</v>
      </c>
    </row>
    <row r="3458" spans="1:4" x14ac:dyDescent="0.25">
      <c r="A3458" t="str">
        <f>T("   CN")</f>
        <v xml:space="preserve">   CN</v>
      </c>
      <c r="B3458" t="str">
        <f>T("   Chine")</f>
        <v xml:space="preserve">   Chine</v>
      </c>
      <c r="C3458">
        <v>29564671</v>
      </c>
      <c r="D3458">
        <v>143884</v>
      </c>
    </row>
    <row r="3459" spans="1:4" x14ac:dyDescent="0.25">
      <c r="A3459" t="str">
        <f>T("   ES")</f>
        <v xml:space="preserve">   ES</v>
      </c>
      <c r="B3459" t="str">
        <f>T("   Espagne")</f>
        <v xml:space="preserve">   Espagne</v>
      </c>
      <c r="C3459">
        <v>4698048</v>
      </c>
      <c r="D3459">
        <v>12281</v>
      </c>
    </row>
    <row r="3460" spans="1:4" x14ac:dyDescent="0.25">
      <c r="A3460" t="str">
        <f>T("   FR")</f>
        <v xml:space="preserve">   FR</v>
      </c>
      <c r="B3460" t="str">
        <f>T("   France")</f>
        <v xml:space="preserve">   France</v>
      </c>
      <c r="C3460">
        <v>234183205</v>
      </c>
      <c r="D3460">
        <v>21118</v>
      </c>
    </row>
    <row r="3461" spans="1:4" x14ac:dyDescent="0.25">
      <c r="A3461" t="str">
        <f>T("   MA")</f>
        <v xml:space="preserve">   MA</v>
      </c>
      <c r="B3461" t="str">
        <f>T("   Maroc")</f>
        <v xml:space="preserve">   Maroc</v>
      </c>
      <c r="C3461">
        <v>766226</v>
      </c>
      <c r="D3461">
        <v>180</v>
      </c>
    </row>
    <row r="3462" spans="1:4" x14ac:dyDescent="0.25">
      <c r="A3462" t="str">
        <f>T("   SN")</f>
        <v xml:space="preserve">   SN</v>
      </c>
      <c r="B3462" t="str">
        <f>T("   Sénégal")</f>
        <v xml:space="preserve">   Sénégal</v>
      </c>
      <c r="C3462">
        <v>5339508</v>
      </c>
      <c r="D3462">
        <v>12346</v>
      </c>
    </row>
    <row r="3463" spans="1:4" x14ac:dyDescent="0.25">
      <c r="A3463" t="str">
        <f>T("   TG")</f>
        <v xml:space="preserve">   TG</v>
      </c>
      <c r="B3463" t="str">
        <f>T("   Togo")</f>
        <v xml:space="preserve">   Togo</v>
      </c>
      <c r="C3463">
        <v>21550072</v>
      </c>
      <c r="D3463">
        <v>40518</v>
      </c>
    </row>
    <row r="3464" spans="1:4" x14ac:dyDescent="0.25">
      <c r="A3464" t="str">
        <f>T("   TR")</f>
        <v xml:space="preserve">   TR</v>
      </c>
      <c r="B3464" t="str">
        <f>T("   Turquie")</f>
        <v xml:space="preserve">   Turquie</v>
      </c>
      <c r="C3464">
        <v>914124</v>
      </c>
      <c r="D3464">
        <v>463</v>
      </c>
    </row>
    <row r="3465" spans="1:4" x14ac:dyDescent="0.25">
      <c r="A3465" t="str">
        <f>T("   US")</f>
        <v xml:space="preserve">   US</v>
      </c>
      <c r="B3465" t="str">
        <f>T("   Etats-Unis")</f>
        <v xml:space="preserve">   Etats-Unis</v>
      </c>
      <c r="C3465">
        <v>2579018</v>
      </c>
      <c r="D3465">
        <v>1929</v>
      </c>
    </row>
    <row r="3466" spans="1:4" x14ac:dyDescent="0.25">
      <c r="A3466" t="str">
        <f>T("330410")</f>
        <v>330410</v>
      </c>
      <c r="B3466" t="str">
        <f>T("Produits de maquillage pour les lèvres")</f>
        <v>Produits de maquillage pour les lèvres</v>
      </c>
    </row>
    <row r="3467" spans="1:4" x14ac:dyDescent="0.25">
      <c r="A3467" t="str">
        <f>T("   ZZZ_Monde")</f>
        <v xml:space="preserve">   ZZZ_Monde</v>
      </c>
      <c r="B3467" t="str">
        <f>T("   ZZZ_Monde")</f>
        <v xml:space="preserve">   ZZZ_Monde</v>
      </c>
      <c r="C3467">
        <v>5345485</v>
      </c>
      <c r="D3467">
        <v>1684</v>
      </c>
    </row>
    <row r="3468" spans="1:4" x14ac:dyDescent="0.25">
      <c r="A3468" t="str">
        <f>T("   DE")</f>
        <v xml:space="preserve">   DE</v>
      </c>
      <c r="B3468" t="str">
        <f>T("   Allemagne")</f>
        <v xml:space="preserve">   Allemagne</v>
      </c>
      <c r="C3468">
        <v>1421465</v>
      </c>
      <c r="D3468">
        <v>363</v>
      </c>
    </row>
    <row r="3469" spans="1:4" x14ac:dyDescent="0.25">
      <c r="A3469" t="str">
        <f>T("   FR")</f>
        <v xml:space="preserve">   FR</v>
      </c>
      <c r="B3469" t="str">
        <f>T("   France")</f>
        <v xml:space="preserve">   France</v>
      </c>
      <c r="C3469">
        <v>769854</v>
      </c>
      <c r="D3469">
        <v>233</v>
      </c>
    </row>
    <row r="3470" spans="1:4" x14ac:dyDescent="0.25">
      <c r="A3470" t="str">
        <f>T("   NL")</f>
        <v xml:space="preserve">   NL</v>
      </c>
      <c r="B3470" t="str">
        <f>T("   Pays-bas")</f>
        <v xml:space="preserve">   Pays-bas</v>
      </c>
      <c r="C3470">
        <v>3131763</v>
      </c>
      <c r="D3470">
        <v>938</v>
      </c>
    </row>
    <row r="3471" spans="1:4" x14ac:dyDescent="0.25">
      <c r="A3471" t="str">
        <f>T("   TG")</f>
        <v xml:space="preserve">   TG</v>
      </c>
      <c r="B3471" t="str">
        <f>T("   Togo")</f>
        <v xml:space="preserve">   Togo</v>
      </c>
      <c r="C3471">
        <v>22403</v>
      </c>
      <c r="D3471">
        <v>150</v>
      </c>
    </row>
    <row r="3472" spans="1:4" x14ac:dyDescent="0.25">
      <c r="A3472" t="str">
        <f>T("330420")</f>
        <v>330420</v>
      </c>
      <c r="B3472" t="str">
        <f>T("Produits de maquillage pour les yeux")</f>
        <v>Produits de maquillage pour les yeux</v>
      </c>
    </row>
    <row r="3473" spans="1:4" x14ac:dyDescent="0.25">
      <c r="A3473" t="str">
        <f>T("   ZZZ_Monde")</f>
        <v xml:space="preserve">   ZZZ_Monde</v>
      </c>
      <c r="B3473" t="str">
        <f>T("   ZZZ_Monde")</f>
        <v xml:space="preserve">   ZZZ_Monde</v>
      </c>
      <c r="C3473">
        <v>4804864</v>
      </c>
      <c r="D3473">
        <v>3444</v>
      </c>
    </row>
    <row r="3474" spans="1:4" x14ac:dyDescent="0.25">
      <c r="A3474" t="str">
        <f>T("   CN")</f>
        <v xml:space="preserve">   CN</v>
      </c>
      <c r="B3474" t="str">
        <f>T("   Chine")</f>
        <v xml:space="preserve">   Chine</v>
      </c>
      <c r="C3474">
        <v>263170</v>
      </c>
      <c r="D3474">
        <v>506</v>
      </c>
    </row>
    <row r="3475" spans="1:4" x14ac:dyDescent="0.25">
      <c r="A3475" t="str">
        <f>T("   DE")</f>
        <v xml:space="preserve">   DE</v>
      </c>
      <c r="B3475" t="str">
        <f>T("   Allemagne")</f>
        <v xml:space="preserve">   Allemagne</v>
      </c>
      <c r="C3475">
        <v>1033138</v>
      </c>
      <c r="D3475">
        <v>362</v>
      </c>
    </row>
    <row r="3476" spans="1:4" x14ac:dyDescent="0.25">
      <c r="A3476" t="str">
        <f>T("   FR")</f>
        <v xml:space="preserve">   FR</v>
      </c>
      <c r="B3476" t="str">
        <f>T("   France")</f>
        <v xml:space="preserve">   France</v>
      </c>
      <c r="C3476">
        <v>1784212</v>
      </c>
      <c r="D3476">
        <v>717</v>
      </c>
    </row>
    <row r="3477" spans="1:4" x14ac:dyDescent="0.25">
      <c r="A3477" t="str">
        <f>T("   NG")</f>
        <v xml:space="preserve">   NG</v>
      </c>
      <c r="B3477" t="str">
        <f>T("   Nigéria")</f>
        <v xml:space="preserve">   Nigéria</v>
      </c>
      <c r="C3477">
        <v>1537650</v>
      </c>
      <c r="D3477">
        <v>1809</v>
      </c>
    </row>
    <row r="3478" spans="1:4" x14ac:dyDescent="0.25">
      <c r="A3478" t="str">
        <f>T("   TG")</f>
        <v xml:space="preserve">   TG</v>
      </c>
      <c r="B3478" t="str">
        <f>T("   Togo")</f>
        <v xml:space="preserve">   Togo</v>
      </c>
      <c r="C3478">
        <v>186694</v>
      </c>
      <c r="D3478">
        <v>50</v>
      </c>
    </row>
    <row r="3479" spans="1:4" x14ac:dyDescent="0.25">
      <c r="A3479" t="str">
        <f>T("330430")</f>
        <v>330430</v>
      </c>
      <c r="B3479" t="str">
        <f>T("Préparations pour manucures ou pédicures")</f>
        <v>Préparations pour manucures ou pédicures</v>
      </c>
    </row>
    <row r="3480" spans="1:4" x14ac:dyDescent="0.25">
      <c r="A3480" t="str">
        <f>T("   ZZZ_Monde")</f>
        <v xml:space="preserve">   ZZZ_Monde</v>
      </c>
      <c r="B3480" t="str">
        <f>T("   ZZZ_Monde")</f>
        <v xml:space="preserve">   ZZZ_Monde</v>
      </c>
      <c r="C3480">
        <v>1027517</v>
      </c>
      <c r="D3480">
        <v>1803</v>
      </c>
    </row>
    <row r="3481" spans="1:4" x14ac:dyDescent="0.25">
      <c r="A3481" t="str">
        <f>T("   CI")</f>
        <v xml:space="preserve">   CI</v>
      </c>
      <c r="B3481" t="str">
        <f>T("   Côte d'Ivoire")</f>
        <v xml:space="preserve">   Côte d'Ivoire</v>
      </c>
      <c r="C3481">
        <v>835221</v>
      </c>
      <c r="D3481">
        <v>663</v>
      </c>
    </row>
    <row r="3482" spans="1:4" x14ac:dyDescent="0.25">
      <c r="A3482" t="str">
        <f>T("   TG")</f>
        <v xml:space="preserve">   TG</v>
      </c>
      <c r="B3482" t="str">
        <f>T("   Togo")</f>
        <v xml:space="preserve">   Togo</v>
      </c>
      <c r="C3482">
        <v>192296</v>
      </c>
      <c r="D3482">
        <v>1140</v>
      </c>
    </row>
    <row r="3483" spans="1:4" x14ac:dyDescent="0.25">
      <c r="A3483" t="str">
        <f>T("330491")</f>
        <v>330491</v>
      </c>
      <c r="B3483" t="str">
        <f>T("Poudres pour le maquillage ou l'entretien ou les soins de la peau, y.c. les poudres pour bébés et les poudres compactes (à l'excl. des médicaments)")</f>
        <v>Poudres pour le maquillage ou l'entretien ou les soins de la peau, y.c. les poudres pour bébés et les poudres compactes (à l'excl. des médicaments)</v>
      </c>
    </row>
    <row r="3484" spans="1:4" x14ac:dyDescent="0.25">
      <c r="A3484" t="str">
        <f>T("   ZZZ_Monde")</f>
        <v xml:space="preserve">   ZZZ_Monde</v>
      </c>
      <c r="B3484" t="str">
        <f>T("   ZZZ_Monde")</f>
        <v xml:space="preserve">   ZZZ_Monde</v>
      </c>
      <c r="C3484">
        <v>11010261</v>
      </c>
      <c r="D3484">
        <v>38746</v>
      </c>
    </row>
    <row r="3485" spans="1:4" x14ac:dyDescent="0.25">
      <c r="A3485" t="str">
        <f>T("   CI")</f>
        <v xml:space="preserve">   CI</v>
      </c>
      <c r="B3485" t="str">
        <f>T("   Côte d'Ivoire")</f>
        <v xml:space="preserve">   Côte d'Ivoire</v>
      </c>
      <c r="C3485">
        <v>2586761</v>
      </c>
      <c r="D3485">
        <v>8400</v>
      </c>
    </row>
    <row r="3486" spans="1:4" x14ac:dyDescent="0.25">
      <c r="A3486" t="str">
        <f>T("   CM")</f>
        <v xml:space="preserve">   CM</v>
      </c>
      <c r="B3486" t="str">
        <f>T("   Cameroun")</f>
        <v xml:space="preserve">   Cameroun</v>
      </c>
      <c r="C3486">
        <v>201379</v>
      </c>
      <c r="D3486">
        <v>540</v>
      </c>
    </row>
    <row r="3487" spans="1:4" x14ac:dyDescent="0.25">
      <c r="A3487" t="str">
        <f>T("   CN")</f>
        <v xml:space="preserve">   CN</v>
      </c>
      <c r="B3487" t="str">
        <f>T("   Chine")</f>
        <v xml:space="preserve">   Chine</v>
      </c>
      <c r="C3487">
        <v>730232</v>
      </c>
      <c r="D3487">
        <v>2052</v>
      </c>
    </row>
    <row r="3488" spans="1:4" x14ac:dyDescent="0.25">
      <c r="A3488" t="str">
        <f>T("   ES")</f>
        <v xml:space="preserve">   ES</v>
      </c>
      <c r="B3488" t="str">
        <f>T("   Espagne")</f>
        <v xml:space="preserve">   Espagne</v>
      </c>
      <c r="C3488">
        <v>527661</v>
      </c>
      <c r="D3488">
        <v>903</v>
      </c>
    </row>
    <row r="3489" spans="1:4" x14ac:dyDescent="0.25">
      <c r="A3489" t="str">
        <f>T("   FR")</f>
        <v xml:space="preserve">   FR</v>
      </c>
      <c r="B3489" t="str">
        <f>T("   France")</f>
        <v xml:space="preserve">   France</v>
      </c>
      <c r="C3489">
        <v>120040</v>
      </c>
      <c r="D3489">
        <v>41</v>
      </c>
    </row>
    <row r="3490" spans="1:4" x14ac:dyDescent="0.25">
      <c r="A3490" t="str">
        <f>T("   GB")</f>
        <v xml:space="preserve">   GB</v>
      </c>
      <c r="B3490" t="str">
        <f>T("   Royaume-Uni")</f>
        <v xml:space="preserve">   Royaume-Uni</v>
      </c>
      <c r="C3490">
        <v>23324</v>
      </c>
      <c r="D3490">
        <v>6</v>
      </c>
    </row>
    <row r="3491" spans="1:4" x14ac:dyDescent="0.25">
      <c r="A3491" t="str">
        <f>T("   GH")</f>
        <v xml:space="preserve">   GH</v>
      </c>
      <c r="B3491" t="str">
        <f>T("   Ghana")</f>
        <v xml:space="preserve">   Ghana</v>
      </c>
      <c r="C3491">
        <v>549215</v>
      </c>
      <c r="D3491">
        <v>2187</v>
      </c>
    </row>
    <row r="3492" spans="1:4" x14ac:dyDescent="0.25">
      <c r="A3492" t="str">
        <f>T("   NG")</f>
        <v xml:space="preserve">   NG</v>
      </c>
      <c r="B3492" t="str">
        <f>T("   Nigéria")</f>
        <v xml:space="preserve">   Nigéria</v>
      </c>
      <c r="C3492">
        <v>148000</v>
      </c>
      <c r="D3492">
        <v>185</v>
      </c>
    </row>
    <row r="3493" spans="1:4" x14ac:dyDescent="0.25">
      <c r="A3493" t="str">
        <f>T("   NL")</f>
        <v xml:space="preserve">   NL</v>
      </c>
      <c r="B3493" t="str">
        <f>T("   Pays-bas")</f>
        <v xml:space="preserve">   Pays-bas</v>
      </c>
      <c r="C3493">
        <v>1042976</v>
      </c>
      <c r="D3493">
        <v>376</v>
      </c>
    </row>
    <row r="3494" spans="1:4" x14ac:dyDescent="0.25">
      <c r="A3494" t="str">
        <f>T("   SN")</f>
        <v xml:space="preserve">   SN</v>
      </c>
      <c r="B3494" t="str">
        <f>T("   Sénégal")</f>
        <v xml:space="preserve">   Sénégal</v>
      </c>
      <c r="C3494">
        <v>1612669</v>
      </c>
      <c r="D3494">
        <v>9608</v>
      </c>
    </row>
    <row r="3495" spans="1:4" x14ac:dyDescent="0.25">
      <c r="A3495" t="str">
        <f>T("   TG")</f>
        <v xml:space="preserve">   TG</v>
      </c>
      <c r="B3495" t="str">
        <f>T("   Togo")</f>
        <v xml:space="preserve">   Togo</v>
      </c>
      <c r="C3495">
        <v>2874402</v>
      </c>
      <c r="D3495">
        <v>14182</v>
      </c>
    </row>
    <row r="3496" spans="1:4" x14ac:dyDescent="0.25">
      <c r="A3496" t="str">
        <f>T("   US")</f>
        <v xml:space="preserve">   US</v>
      </c>
      <c r="B3496" t="str">
        <f>T("   Etats-Unis")</f>
        <v xml:space="preserve">   Etats-Unis</v>
      </c>
      <c r="C3496">
        <v>593602</v>
      </c>
      <c r="D3496">
        <v>266</v>
      </c>
    </row>
    <row r="3497" spans="1:4" x14ac:dyDescent="0.25">
      <c r="A3497" t="str">
        <f>T("330499")</f>
        <v>330499</v>
      </c>
      <c r="B3497" t="str">
        <f>T("Produits de beauté ou de maquillage préparés et préparations pour l'entretien ou les soins de la peau, y.c. les préparations antisolaires et les préparations pour bronzer (à l'excl. des médicaments, des produits de maquillage pour les lèvres ou les yeux,")</f>
        <v>Produits de beauté ou de maquillage préparés et préparations pour l'entretien ou les soins de la peau, y.c. les préparations antisolaires et les préparations pour bronzer (à l'excl. des médicaments, des produits de maquillage pour les lèvres ou les yeux,</v>
      </c>
    </row>
    <row r="3498" spans="1:4" x14ac:dyDescent="0.25">
      <c r="A3498" t="str">
        <f>T("   ZZZ_Monde")</f>
        <v xml:space="preserve">   ZZZ_Monde</v>
      </c>
      <c r="B3498" t="str">
        <f>T("   ZZZ_Monde")</f>
        <v xml:space="preserve">   ZZZ_Monde</v>
      </c>
      <c r="C3498">
        <v>2432855219</v>
      </c>
      <c r="D3498">
        <v>7738071.0999999996</v>
      </c>
    </row>
    <row r="3499" spans="1:4" x14ac:dyDescent="0.25">
      <c r="A3499" t="str">
        <f>T("   AE")</f>
        <v xml:space="preserve">   AE</v>
      </c>
      <c r="B3499" t="str">
        <f>T("   Emirats Arabes Unis")</f>
        <v xml:space="preserve">   Emirats Arabes Unis</v>
      </c>
      <c r="C3499">
        <v>2276913</v>
      </c>
      <c r="D3499">
        <v>2907</v>
      </c>
    </row>
    <row r="3500" spans="1:4" x14ac:dyDescent="0.25">
      <c r="A3500" t="str">
        <f>T("   BE")</f>
        <v xml:space="preserve">   BE</v>
      </c>
      <c r="B3500" t="str">
        <f>T("   Belgique")</f>
        <v xml:space="preserve">   Belgique</v>
      </c>
      <c r="C3500">
        <v>27589021</v>
      </c>
      <c r="D3500">
        <v>18859</v>
      </c>
    </row>
    <row r="3501" spans="1:4" x14ac:dyDescent="0.25">
      <c r="A3501" t="str">
        <f>T("   CA")</f>
        <v xml:space="preserve">   CA</v>
      </c>
      <c r="B3501" t="str">
        <f>T("   Canada")</f>
        <v xml:space="preserve">   Canada</v>
      </c>
      <c r="C3501">
        <v>253576</v>
      </c>
      <c r="D3501">
        <v>1365</v>
      </c>
    </row>
    <row r="3502" spans="1:4" x14ac:dyDescent="0.25">
      <c r="A3502" t="str">
        <f>T("   CD")</f>
        <v xml:space="preserve">   CD</v>
      </c>
      <c r="B3502" t="str">
        <f>T("   Congo, République Démocratique")</f>
        <v xml:space="preserve">   Congo, République Démocratique</v>
      </c>
      <c r="C3502">
        <v>5230000</v>
      </c>
      <c r="D3502">
        <v>13000</v>
      </c>
    </row>
    <row r="3503" spans="1:4" x14ac:dyDescent="0.25">
      <c r="A3503" t="str">
        <f>T("   CI")</f>
        <v xml:space="preserve">   CI</v>
      </c>
      <c r="B3503" t="str">
        <f>T("   Côte d'Ivoire")</f>
        <v xml:space="preserve">   Côte d'Ivoire</v>
      </c>
      <c r="C3503">
        <v>123406008</v>
      </c>
      <c r="D3503">
        <v>350826</v>
      </c>
    </row>
    <row r="3504" spans="1:4" x14ac:dyDescent="0.25">
      <c r="A3504" t="str">
        <f>T("   CM")</f>
        <v xml:space="preserve">   CM</v>
      </c>
      <c r="B3504" t="str">
        <f>T("   Cameroun")</f>
        <v xml:space="preserve">   Cameroun</v>
      </c>
      <c r="C3504">
        <v>16750195</v>
      </c>
      <c r="D3504">
        <v>42625.1</v>
      </c>
    </row>
    <row r="3505" spans="1:4" x14ac:dyDescent="0.25">
      <c r="A3505" t="str">
        <f>T("   CN")</f>
        <v xml:space="preserve">   CN</v>
      </c>
      <c r="B3505" t="str">
        <f>T("   Chine")</f>
        <v xml:space="preserve">   Chine</v>
      </c>
      <c r="C3505">
        <v>401477857</v>
      </c>
      <c r="D3505">
        <v>1808090</v>
      </c>
    </row>
    <row r="3506" spans="1:4" x14ac:dyDescent="0.25">
      <c r="A3506" t="str">
        <f>T("   DE")</f>
        <v xml:space="preserve">   DE</v>
      </c>
      <c r="B3506" t="str">
        <f>T("   Allemagne")</f>
        <v xml:space="preserve">   Allemagne</v>
      </c>
      <c r="C3506">
        <v>25761517</v>
      </c>
      <c r="D3506">
        <v>14857</v>
      </c>
    </row>
    <row r="3507" spans="1:4" x14ac:dyDescent="0.25">
      <c r="A3507" t="str">
        <f>T("   ES")</f>
        <v xml:space="preserve">   ES</v>
      </c>
      <c r="B3507" t="str">
        <f>T("   Espagne")</f>
        <v xml:space="preserve">   Espagne</v>
      </c>
      <c r="C3507">
        <v>7417146</v>
      </c>
      <c r="D3507">
        <v>19776</v>
      </c>
    </row>
    <row r="3508" spans="1:4" x14ac:dyDescent="0.25">
      <c r="A3508" t="str">
        <f>T("   FR")</f>
        <v xml:space="preserve">   FR</v>
      </c>
      <c r="B3508" t="str">
        <f>T("   France")</f>
        <v xml:space="preserve">   France</v>
      </c>
      <c r="C3508">
        <v>446641563</v>
      </c>
      <c r="D3508">
        <v>199879</v>
      </c>
    </row>
    <row r="3509" spans="1:4" x14ac:dyDescent="0.25">
      <c r="A3509" t="str">
        <f>T("   GB")</f>
        <v xml:space="preserve">   GB</v>
      </c>
      <c r="B3509" t="str">
        <f>T("   Royaume-Uni")</f>
        <v xml:space="preserve">   Royaume-Uni</v>
      </c>
      <c r="C3509">
        <v>597787</v>
      </c>
      <c r="D3509">
        <v>573</v>
      </c>
    </row>
    <row r="3510" spans="1:4" x14ac:dyDescent="0.25">
      <c r="A3510" t="str">
        <f>T("   GH")</f>
        <v xml:space="preserve">   GH</v>
      </c>
      <c r="B3510" t="str">
        <f>T("   Ghana")</f>
        <v xml:space="preserve">   Ghana</v>
      </c>
      <c r="C3510">
        <v>188878659</v>
      </c>
      <c r="D3510">
        <v>1029891</v>
      </c>
    </row>
    <row r="3511" spans="1:4" x14ac:dyDescent="0.25">
      <c r="A3511" t="str">
        <f>T("   HK")</f>
        <v xml:space="preserve">   HK</v>
      </c>
      <c r="B3511" t="str">
        <f>T("   Hong-Kong")</f>
        <v xml:space="preserve">   Hong-Kong</v>
      </c>
      <c r="C3511">
        <v>13592591</v>
      </c>
      <c r="D3511">
        <v>14952</v>
      </c>
    </row>
    <row r="3512" spans="1:4" x14ac:dyDescent="0.25">
      <c r="A3512" t="str">
        <f>T("   ID")</f>
        <v xml:space="preserve">   ID</v>
      </c>
      <c r="B3512" t="str">
        <f>T("   Indonésie")</f>
        <v xml:space="preserve">   Indonésie</v>
      </c>
      <c r="C3512">
        <v>1330676</v>
      </c>
      <c r="D3512">
        <v>2144</v>
      </c>
    </row>
    <row r="3513" spans="1:4" x14ac:dyDescent="0.25">
      <c r="A3513" t="str">
        <f>T("   IT")</f>
        <v xml:space="preserve">   IT</v>
      </c>
      <c r="B3513" t="str">
        <f>T("   Italie")</f>
        <v xml:space="preserve">   Italie</v>
      </c>
      <c r="C3513">
        <v>5874227</v>
      </c>
      <c r="D3513">
        <v>24690</v>
      </c>
    </row>
    <row r="3514" spans="1:4" x14ac:dyDescent="0.25">
      <c r="A3514" t="str">
        <f>T("   JM")</f>
        <v xml:space="preserve">   JM</v>
      </c>
      <c r="B3514" t="str">
        <f>T("   Jamaïque")</f>
        <v xml:space="preserve">   Jamaïque</v>
      </c>
      <c r="C3514">
        <v>204000</v>
      </c>
      <c r="D3514">
        <v>60</v>
      </c>
    </row>
    <row r="3515" spans="1:4" x14ac:dyDescent="0.25">
      <c r="A3515" t="str">
        <f>T("   LB")</f>
        <v xml:space="preserve">   LB</v>
      </c>
      <c r="B3515" t="str">
        <f>T("   Liban")</f>
        <v xml:space="preserve">   Liban</v>
      </c>
      <c r="C3515">
        <v>636567</v>
      </c>
      <c r="D3515">
        <v>806</v>
      </c>
    </row>
    <row r="3516" spans="1:4" x14ac:dyDescent="0.25">
      <c r="A3516" t="str">
        <f>T("   NG")</f>
        <v xml:space="preserve">   NG</v>
      </c>
      <c r="B3516" t="str">
        <f>T("   Nigéria")</f>
        <v xml:space="preserve">   Nigéria</v>
      </c>
      <c r="C3516">
        <v>115918924</v>
      </c>
      <c r="D3516">
        <v>124625</v>
      </c>
    </row>
    <row r="3517" spans="1:4" x14ac:dyDescent="0.25">
      <c r="A3517" t="str">
        <f>T("   NL")</f>
        <v xml:space="preserve">   NL</v>
      </c>
      <c r="B3517" t="str">
        <f>T("   Pays-bas")</f>
        <v xml:space="preserve">   Pays-bas</v>
      </c>
      <c r="C3517">
        <v>16092312</v>
      </c>
      <c r="D3517">
        <v>4382</v>
      </c>
    </row>
    <row r="3518" spans="1:4" x14ac:dyDescent="0.25">
      <c r="A3518" t="str">
        <f>T("   SA")</f>
        <v xml:space="preserve">   SA</v>
      </c>
      <c r="B3518" t="str">
        <f>T("   Arabie Saoudite")</f>
        <v xml:space="preserve">   Arabie Saoudite</v>
      </c>
      <c r="C3518">
        <v>160711</v>
      </c>
      <c r="D3518">
        <v>650</v>
      </c>
    </row>
    <row r="3519" spans="1:4" x14ac:dyDescent="0.25">
      <c r="A3519" t="str">
        <f>T("   SN")</f>
        <v xml:space="preserve">   SN</v>
      </c>
      <c r="B3519" t="str">
        <f>T("   Sénégal")</f>
        <v xml:space="preserve">   Sénégal</v>
      </c>
      <c r="C3519">
        <v>7825123</v>
      </c>
      <c r="D3519">
        <v>40961</v>
      </c>
    </row>
    <row r="3520" spans="1:4" x14ac:dyDescent="0.25">
      <c r="A3520" t="str">
        <f>T("   TG")</f>
        <v xml:space="preserve">   TG</v>
      </c>
      <c r="B3520" t="str">
        <f>T("   Togo")</f>
        <v xml:space="preserve">   Togo</v>
      </c>
      <c r="C3520">
        <v>971770017</v>
      </c>
      <c r="D3520">
        <v>3863808</v>
      </c>
    </row>
    <row r="3521" spans="1:4" x14ac:dyDescent="0.25">
      <c r="A3521" t="str">
        <f>T("   TH")</f>
        <v xml:space="preserve">   TH</v>
      </c>
      <c r="B3521" t="str">
        <f>T("   Thaïlande")</f>
        <v xml:space="preserve">   Thaïlande</v>
      </c>
      <c r="C3521">
        <v>12726747</v>
      </c>
      <c r="D3521">
        <v>12620</v>
      </c>
    </row>
    <row r="3522" spans="1:4" x14ac:dyDescent="0.25">
      <c r="A3522" t="str">
        <f>T("   US")</f>
        <v xml:space="preserve">   US</v>
      </c>
      <c r="B3522" t="str">
        <f>T("   Etats-Unis")</f>
        <v xml:space="preserve">   Etats-Unis</v>
      </c>
      <c r="C3522">
        <v>4833434</v>
      </c>
      <c r="D3522">
        <v>276</v>
      </c>
    </row>
    <row r="3523" spans="1:4" x14ac:dyDescent="0.25">
      <c r="A3523" t="str">
        <f>T("   ZA")</f>
        <v xml:space="preserve">   ZA</v>
      </c>
      <c r="B3523" t="str">
        <f>T("   Afrique du Sud")</f>
        <v xml:space="preserve">   Afrique du Sud</v>
      </c>
      <c r="C3523">
        <v>35609648</v>
      </c>
      <c r="D3523">
        <v>145449</v>
      </c>
    </row>
    <row r="3524" spans="1:4" x14ac:dyDescent="0.25">
      <c r="A3524" t="str">
        <f>T("330510")</f>
        <v>330510</v>
      </c>
      <c r="B3524" t="str">
        <f>T("Shampooings")</f>
        <v>Shampooings</v>
      </c>
    </row>
    <row r="3525" spans="1:4" x14ac:dyDescent="0.25">
      <c r="A3525" t="str">
        <f>T("   ZZZ_Monde")</f>
        <v xml:space="preserve">   ZZZ_Monde</v>
      </c>
      <c r="B3525" t="str">
        <f>T("   ZZZ_Monde")</f>
        <v xml:space="preserve">   ZZZ_Monde</v>
      </c>
      <c r="C3525">
        <v>23704712</v>
      </c>
      <c r="D3525">
        <v>70448</v>
      </c>
    </row>
    <row r="3526" spans="1:4" x14ac:dyDescent="0.25">
      <c r="A3526" t="str">
        <f>T("   AE")</f>
        <v xml:space="preserve">   AE</v>
      </c>
      <c r="B3526" t="str">
        <f>T("   Emirats Arabes Unis")</f>
        <v xml:space="preserve">   Emirats Arabes Unis</v>
      </c>
      <c r="C3526">
        <v>200369</v>
      </c>
      <c r="D3526">
        <v>389</v>
      </c>
    </row>
    <row r="3527" spans="1:4" x14ac:dyDescent="0.25">
      <c r="A3527" t="str">
        <f>T("   BE")</f>
        <v xml:space="preserve">   BE</v>
      </c>
      <c r="B3527" t="str">
        <f>T("   Belgique")</f>
        <v xml:space="preserve">   Belgique</v>
      </c>
      <c r="C3527">
        <v>1396085</v>
      </c>
      <c r="D3527">
        <v>4520</v>
      </c>
    </row>
    <row r="3528" spans="1:4" x14ac:dyDescent="0.25">
      <c r="A3528" t="str">
        <f>T("   CN")</f>
        <v xml:space="preserve">   CN</v>
      </c>
      <c r="B3528" t="str">
        <f>T("   Chine")</f>
        <v xml:space="preserve">   Chine</v>
      </c>
      <c r="C3528">
        <v>8905680</v>
      </c>
      <c r="D3528">
        <v>9709</v>
      </c>
    </row>
    <row r="3529" spans="1:4" x14ac:dyDescent="0.25">
      <c r="A3529" t="str">
        <f>T("   DE")</f>
        <v xml:space="preserve">   DE</v>
      </c>
      <c r="B3529" t="str">
        <f>T("   Allemagne")</f>
        <v xml:space="preserve">   Allemagne</v>
      </c>
      <c r="C3529">
        <v>72812</v>
      </c>
      <c r="D3529">
        <v>19</v>
      </c>
    </row>
    <row r="3530" spans="1:4" x14ac:dyDescent="0.25">
      <c r="A3530" t="str">
        <f>T("   FR")</f>
        <v xml:space="preserve">   FR</v>
      </c>
      <c r="B3530" t="str">
        <f>T("   France")</f>
        <v xml:space="preserve">   France</v>
      </c>
      <c r="C3530">
        <v>2761987</v>
      </c>
      <c r="D3530">
        <v>7143</v>
      </c>
    </row>
    <row r="3531" spans="1:4" x14ac:dyDescent="0.25">
      <c r="A3531" t="str">
        <f>T("   GB")</f>
        <v xml:space="preserve">   GB</v>
      </c>
      <c r="B3531" t="str">
        <f>T("   Royaume-Uni")</f>
        <v xml:space="preserve">   Royaume-Uni</v>
      </c>
      <c r="C3531">
        <v>838197</v>
      </c>
      <c r="D3531">
        <v>872</v>
      </c>
    </row>
    <row r="3532" spans="1:4" x14ac:dyDescent="0.25">
      <c r="A3532" t="str">
        <f>T("   GM")</f>
        <v xml:space="preserve">   GM</v>
      </c>
      <c r="B3532" t="str">
        <f>T("   Gambie")</f>
        <v xml:space="preserve">   Gambie</v>
      </c>
      <c r="C3532">
        <v>3434064</v>
      </c>
      <c r="D3532">
        <v>38000</v>
      </c>
    </row>
    <row r="3533" spans="1:4" x14ac:dyDescent="0.25">
      <c r="A3533" t="str">
        <f>T("   LB")</f>
        <v xml:space="preserve">   LB</v>
      </c>
      <c r="B3533" t="str">
        <f>T("   Liban")</f>
        <v xml:space="preserve">   Liban</v>
      </c>
      <c r="C3533">
        <v>925574</v>
      </c>
      <c r="D3533">
        <v>3433</v>
      </c>
    </row>
    <row r="3534" spans="1:4" x14ac:dyDescent="0.25">
      <c r="A3534" t="str">
        <f>T("   SN")</f>
        <v xml:space="preserve">   SN</v>
      </c>
      <c r="B3534" t="str">
        <f>T("   Sénégal")</f>
        <v xml:space="preserve">   Sénégal</v>
      </c>
      <c r="C3534">
        <v>4493452</v>
      </c>
      <c r="D3534">
        <v>4062</v>
      </c>
    </row>
    <row r="3535" spans="1:4" x14ac:dyDescent="0.25">
      <c r="A3535" t="str">
        <f>T("   US")</f>
        <v xml:space="preserve">   US</v>
      </c>
      <c r="B3535" t="str">
        <f>T("   Etats-Unis")</f>
        <v xml:space="preserve">   Etats-Unis</v>
      </c>
      <c r="C3535">
        <v>676492</v>
      </c>
      <c r="D3535">
        <v>2301</v>
      </c>
    </row>
    <row r="3536" spans="1:4" x14ac:dyDescent="0.25">
      <c r="A3536" t="str">
        <f>T("330520")</f>
        <v>330520</v>
      </c>
      <c r="B3536" t="str">
        <f>T("Préparations pour l'ondulation ou le défrisage permanents")</f>
        <v>Préparations pour l'ondulation ou le défrisage permanents</v>
      </c>
    </row>
    <row r="3537" spans="1:4" x14ac:dyDescent="0.25">
      <c r="A3537" t="str">
        <f>T("   ZZZ_Monde")</f>
        <v xml:space="preserve">   ZZZ_Monde</v>
      </c>
      <c r="B3537" t="str">
        <f>T("   ZZZ_Monde")</f>
        <v xml:space="preserve">   ZZZ_Monde</v>
      </c>
      <c r="C3537">
        <v>19281248</v>
      </c>
      <c r="D3537">
        <v>42836</v>
      </c>
    </row>
    <row r="3538" spans="1:4" x14ac:dyDescent="0.25">
      <c r="A3538" t="str">
        <f>T("   CN")</f>
        <v xml:space="preserve">   CN</v>
      </c>
      <c r="B3538" t="str">
        <f>T("   Chine")</f>
        <v xml:space="preserve">   Chine</v>
      </c>
      <c r="C3538">
        <v>3500000</v>
      </c>
      <c r="D3538">
        <v>19340</v>
      </c>
    </row>
    <row r="3539" spans="1:4" x14ac:dyDescent="0.25">
      <c r="A3539" t="str">
        <f>T("   FR")</f>
        <v xml:space="preserve">   FR</v>
      </c>
      <c r="B3539" t="str">
        <f>T("   France")</f>
        <v xml:space="preserve">   France</v>
      </c>
      <c r="C3539">
        <v>2968875</v>
      </c>
      <c r="D3539">
        <v>5703</v>
      </c>
    </row>
    <row r="3540" spans="1:4" x14ac:dyDescent="0.25">
      <c r="A3540" t="str">
        <f>T("   TG")</f>
        <v xml:space="preserve">   TG</v>
      </c>
      <c r="B3540" t="str">
        <f>T("   Togo")</f>
        <v xml:space="preserve">   Togo</v>
      </c>
      <c r="C3540">
        <v>1537341</v>
      </c>
      <c r="D3540">
        <v>3375</v>
      </c>
    </row>
    <row r="3541" spans="1:4" x14ac:dyDescent="0.25">
      <c r="A3541" t="str">
        <f>T("   US")</f>
        <v xml:space="preserve">   US</v>
      </c>
      <c r="B3541" t="str">
        <f>T("   Etats-Unis")</f>
        <v xml:space="preserve">   Etats-Unis</v>
      </c>
      <c r="C3541">
        <v>10948364</v>
      </c>
      <c r="D3541">
        <v>14231</v>
      </c>
    </row>
    <row r="3542" spans="1:4" x14ac:dyDescent="0.25">
      <c r="A3542" t="str">
        <f>T("   ZA")</f>
        <v xml:space="preserve">   ZA</v>
      </c>
      <c r="B3542" t="str">
        <f>T("   Afrique du Sud")</f>
        <v xml:space="preserve">   Afrique du Sud</v>
      </c>
      <c r="C3542">
        <v>326668</v>
      </c>
      <c r="D3542">
        <v>187</v>
      </c>
    </row>
    <row r="3543" spans="1:4" x14ac:dyDescent="0.25">
      <c r="A3543" t="str">
        <f>T("330530")</f>
        <v>330530</v>
      </c>
      <c r="B3543" t="str">
        <f>T("Laques pour cheveux")</f>
        <v>Laques pour cheveux</v>
      </c>
    </row>
    <row r="3544" spans="1:4" x14ac:dyDescent="0.25">
      <c r="A3544" t="str">
        <f>T("   ZZZ_Monde")</f>
        <v xml:space="preserve">   ZZZ_Monde</v>
      </c>
      <c r="B3544" t="str">
        <f>T("   ZZZ_Monde")</f>
        <v xml:space="preserve">   ZZZ_Monde</v>
      </c>
      <c r="C3544">
        <v>1817287</v>
      </c>
      <c r="D3544">
        <v>5472</v>
      </c>
    </row>
    <row r="3545" spans="1:4" x14ac:dyDescent="0.25">
      <c r="A3545" t="str">
        <f>T("   CN")</f>
        <v xml:space="preserve">   CN</v>
      </c>
      <c r="B3545" t="str">
        <f>T("   Chine")</f>
        <v xml:space="preserve">   Chine</v>
      </c>
      <c r="C3545">
        <v>1362218</v>
      </c>
      <c r="D3545">
        <v>4645</v>
      </c>
    </row>
    <row r="3546" spans="1:4" x14ac:dyDescent="0.25">
      <c r="A3546" t="str">
        <f>T("   GH")</f>
        <v xml:space="preserve">   GH</v>
      </c>
      <c r="B3546" t="str">
        <f>T("   Ghana")</f>
        <v xml:space="preserve">   Ghana</v>
      </c>
      <c r="C3546">
        <v>300000</v>
      </c>
      <c r="D3546">
        <v>780</v>
      </c>
    </row>
    <row r="3547" spans="1:4" x14ac:dyDescent="0.25">
      <c r="A3547" t="str">
        <f>T("   NL")</f>
        <v xml:space="preserve">   NL</v>
      </c>
      <c r="B3547" t="str">
        <f>T("   Pays-bas")</f>
        <v xml:space="preserve">   Pays-bas</v>
      </c>
      <c r="C3547">
        <v>155069</v>
      </c>
      <c r="D3547">
        <v>47</v>
      </c>
    </row>
    <row r="3548" spans="1:4" x14ac:dyDescent="0.25">
      <c r="A3548" t="str">
        <f>T("330590")</f>
        <v>330590</v>
      </c>
      <c r="B3548" t="str">
        <f>T("PRÉPARATIONS CAPILLAIRES (À L'EXCL. DES SHAMPOOINGS, DES LAQUES POUR CHEVEUX ET DES PRÉPARATIONS POUR L'ONDULATION OU LE DÉFRISAGE PERMANENTS)")</f>
        <v>PRÉPARATIONS CAPILLAIRES (À L'EXCL. DES SHAMPOOINGS, DES LAQUES POUR CHEVEUX ET DES PRÉPARATIONS POUR L'ONDULATION OU LE DÉFRISAGE PERMANENTS)</v>
      </c>
    </row>
    <row r="3549" spans="1:4" x14ac:dyDescent="0.25">
      <c r="A3549" t="str">
        <f>T("   ZZZ_Monde")</f>
        <v xml:space="preserve">   ZZZ_Monde</v>
      </c>
      <c r="B3549" t="str">
        <f>T("   ZZZ_Monde")</f>
        <v xml:space="preserve">   ZZZ_Monde</v>
      </c>
      <c r="C3549">
        <v>94276392</v>
      </c>
      <c r="D3549">
        <v>154101</v>
      </c>
    </row>
    <row r="3550" spans="1:4" x14ac:dyDescent="0.25">
      <c r="A3550" t="str">
        <f>T("   AE")</f>
        <v xml:space="preserve">   AE</v>
      </c>
      <c r="B3550" t="str">
        <f>T("   Emirats Arabes Unis")</f>
        <v xml:space="preserve">   Emirats Arabes Unis</v>
      </c>
      <c r="C3550">
        <v>2449868</v>
      </c>
      <c r="D3550">
        <v>5488</v>
      </c>
    </row>
    <row r="3551" spans="1:4" x14ac:dyDescent="0.25">
      <c r="A3551" t="str">
        <f>T("   BE")</f>
        <v xml:space="preserve">   BE</v>
      </c>
      <c r="B3551" t="str">
        <f>T("   Belgique")</f>
        <v xml:space="preserve">   Belgique</v>
      </c>
      <c r="C3551">
        <v>1000339</v>
      </c>
      <c r="D3551">
        <v>306</v>
      </c>
    </row>
    <row r="3552" spans="1:4" x14ac:dyDescent="0.25">
      <c r="A3552" t="str">
        <f>T("   CI")</f>
        <v xml:space="preserve">   CI</v>
      </c>
      <c r="B3552" t="str">
        <f>T("   Côte d'Ivoire")</f>
        <v xml:space="preserve">   Côte d'Ivoire</v>
      </c>
      <c r="C3552">
        <v>24235273</v>
      </c>
      <c r="D3552">
        <v>50866</v>
      </c>
    </row>
    <row r="3553" spans="1:4" x14ac:dyDescent="0.25">
      <c r="A3553" t="str">
        <f>T("   CN")</f>
        <v xml:space="preserve">   CN</v>
      </c>
      <c r="B3553" t="str">
        <f>T("   Chine")</f>
        <v xml:space="preserve">   Chine</v>
      </c>
      <c r="C3553">
        <v>3375632</v>
      </c>
      <c r="D3553">
        <v>10178</v>
      </c>
    </row>
    <row r="3554" spans="1:4" x14ac:dyDescent="0.25">
      <c r="A3554" t="str">
        <f>T("   DE")</f>
        <v xml:space="preserve">   DE</v>
      </c>
      <c r="B3554" t="str">
        <f>T("   Allemagne")</f>
        <v xml:space="preserve">   Allemagne</v>
      </c>
      <c r="C3554">
        <v>144312</v>
      </c>
      <c r="D3554">
        <v>51</v>
      </c>
    </row>
    <row r="3555" spans="1:4" x14ac:dyDescent="0.25">
      <c r="A3555" t="str">
        <f>T("   ES")</f>
        <v xml:space="preserve">   ES</v>
      </c>
      <c r="B3555" t="str">
        <f>T("   Espagne")</f>
        <v xml:space="preserve">   Espagne</v>
      </c>
      <c r="C3555">
        <v>261728</v>
      </c>
      <c r="D3555">
        <v>1209</v>
      </c>
    </row>
    <row r="3556" spans="1:4" x14ac:dyDescent="0.25">
      <c r="A3556" t="str">
        <f>T("   FR")</f>
        <v xml:space="preserve">   FR</v>
      </c>
      <c r="B3556" t="str">
        <f>T("   France")</f>
        <v xml:space="preserve">   France</v>
      </c>
      <c r="C3556">
        <v>34067102</v>
      </c>
      <c r="D3556">
        <v>13439</v>
      </c>
    </row>
    <row r="3557" spans="1:4" x14ac:dyDescent="0.25">
      <c r="A3557" t="str">
        <f>T("   GB")</f>
        <v xml:space="preserve">   GB</v>
      </c>
      <c r="B3557" t="str">
        <f>T("   Royaume-Uni")</f>
        <v xml:space="preserve">   Royaume-Uni</v>
      </c>
      <c r="C3557">
        <v>176887</v>
      </c>
      <c r="D3557">
        <v>287</v>
      </c>
    </row>
    <row r="3558" spans="1:4" x14ac:dyDescent="0.25">
      <c r="A3558" t="str">
        <f>T("   GH")</f>
        <v xml:space="preserve">   GH</v>
      </c>
      <c r="B3558" t="str">
        <f>T("   Ghana")</f>
        <v xml:space="preserve">   Ghana</v>
      </c>
      <c r="C3558">
        <v>2017648</v>
      </c>
      <c r="D3558">
        <v>9938</v>
      </c>
    </row>
    <row r="3559" spans="1:4" x14ac:dyDescent="0.25">
      <c r="A3559" t="str">
        <f>T("   LB")</f>
        <v xml:space="preserve">   LB</v>
      </c>
      <c r="B3559" t="str">
        <f>T("   Liban")</f>
        <v xml:space="preserve">   Liban</v>
      </c>
      <c r="C3559">
        <v>129905</v>
      </c>
      <c r="D3559">
        <v>635</v>
      </c>
    </row>
    <row r="3560" spans="1:4" x14ac:dyDescent="0.25">
      <c r="A3560" t="str">
        <f>T("   NL")</f>
        <v xml:space="preserve">   NL</v>
      </c>
      <c r="B3560" t="str">
        <f>T("   Pays-bas")</f>
        <v xml:space="preserve">   Pays-bas</v>
      </c>
      <c r="C3560">
        <v>201708</v>
      </c>
      <c r="D3560">
        <v>61</v>
      </c>
    </row>
    <row r="3561" spans="1:4" x14ac:dyDescent="0.25">
      <c r="A3561" t="str">
        <f>T("   SN")</f>
        <v xml:space="preserve">   SN</v>
      </c>
      <c r="B3561" t="str">
        <f>T("   Sénégal")</f>
        <v xml:space="preserve">   Sénégal</v>
      </c>
      <c r="C3561">
        <v>8007300</v>
      </c>
      <c r="D3561">
        <v>40254</v>
      </c>
    </row>
    <row r="3562" spans="1:4" x14ac:dyDescent="0.25">
      <c r="A3562" t="str">
        <f>T("   US")</f>
        <v xml:space="preserve">   US</v>
      </c>
      <c r="B3562" t="str">
        <f>T("   Etats-Unis")</f>
        <v xml:space="preserve">   Etats-Unis</v>
      </c>
      <c r="C3562">
        <v>18208690</v>
      </c>
      <c r="D3562">
        <v>21389</v>
      </c>
    </row>
    <row r="3563" spans="1:4" x14ac:dyDescent="0.25">
      <c r="A3563" t="str">
        <f>T("330610")</f>
        <v>330610</v>
      </c>
      <c r="B3563" t="str">
        <f>T("Dentifrices, préparés, même des types utilisés par les dentistes")</f>
        <v>Dentifrices, préparés, même des types utilisés par les dentistes</v>
      </c>
    </row>
    <row r="3564" spans="1:4" x14ac:dyDescent="0.25">
      <c r="A3564" t="str">
        <f>T("   ZZZ_Monde")</f>
        <v xml:space="preserve">   ZZZ_Monde</v>
      </c>
      <c r="B3564" t="str">
        <f>T("   ZZZ_Monde")</f>
        <v xml:space="preserve">   ZZZ_Monde</v>
      </c>
      <c r="C3564">
        <v>826899966</v>
      </c>
      <c r="D3564">
        <v>1449370.19</v>
      </c>
    </row>
    <row r="3565" spans="1:4" x14ac:dyDescent="0.25">
      <c r="A3565" t="str">
        <f>T("   AE")</f>
        <v xml:space="preserve">   AE</v>
      </c>
      <c r="B3565" t="str">
        <f>T("   Emirats Arabes Unis")</f>
        <v xml:space="preserve">   Emirats Arabes Unis</v>
      </c>
      <c r="C3565">
        <v>10900000</v>
      </c>
      <c r="D3565">
        <v>50404</v>
      </c>
    </row>
    <row r="3566" spans="1:4" x14ac:dyDescent="0.25">
      <c r="A3566" t="str">
        <f>T("   BE")</f>
        <v xml:space="preserve">   BE</v>
      </c>
      <c r="B3566" t="str">
        <f>T("   Belgique")</f>
        <v xml:space="preserve">   Belgique</v>
      </c>
      <c r="C3566">
        <v>36367084</v>
      </c>
      <c r="D3566">
        <v>12441</v>
      </c>
    </row>
    <row r="3567" spans="1:4" x14ac:dyDescent="0.25">
      <c r="A3567" t="str">
        <f>T("   CI")</f>
        <v xml:space="preserve">   CI</v>
      </c>
      <c r="B3567" t="str">
        <f>T("   Côte d'Ivoire")</f>
        <v xml:space="preserve">   Côte d'Ivoire</v>
      </c>
      <c r="C3567">
        <v>8896334</v>
      </c>
      <c r="D3567">
        <v>1886</v>
      </c>
    </row>
    <row r="3568" spans="1:4" x14ac:dyDescent="0.25">
      <c r="A3568" t="str">
        <f>T("   CN")</f>
        <v xml:space="preserve">   CN</v>
      </c>
      <c r="B3568" t="str">
        <f>T("   Chine")</f>
        <v xml:space="preserve">   Chine</v>
      </c>
      <c r="C3568">
        <v>137459941</v>
      </c>
      <c r="D3568">
        <v>498820.19</v>
      </c>
    </row>
    <row r="3569" spans="1:4" x14ac:dyDescent="0.25">
      <c r="A3569" t="str">
        <f>T("   ES")</f>
        <v xml:space="preserve">   ES</v>
      </c>
      <c r="B3569" t="str">
        <f>T("   Espagne")</f>
        <v xml:space="preserve">   Espagne</v>
      </c>
      <c r="C3569">
        <v>48541</v>
      </c>
      <c r="D3569">
        <v>39</v>
      </c>
    </row>
    <row r="3570" spans="1:4" x14ac:dyDescent="0.25">
      <c r="A3570" t="str">
        <f>T("   FR")</f>
        <v xml:space="preserve">   FR</v>
      </c>
      <c r="B3570" t="str">
        <f>T("   France")</f>
        <v xml:space="preserve">   France</v>
      </c>
      <c r="C3570">
        <v>341667573</v>
      </c>
      <c r="D3570">
        <v>67714</v>
      </c>
    </row>
    <row r="3571" spans="1:4" x14ac:dyDescent="0.25">
      <c r="A3571" t="str">
        <f>T("   GH")</f>
        <v xml:space="preserve">   GH</v>
      </c>
      <c r="B3571" t="str">
        <f>T("   Ghana")</f>
        <v xml:space="preserve">   Ghana</v>
      </c>
      <c r="C3571">
        <v>86244941</v>
      </c>
      <c r="D3571">
        <v>180738</v>
      </c>
    </row>
    <row r="3572" spans="1:4" x14ac:dyDescent="0.25">
      <c r="A3572" t="str">
        <f>T("   HK")</f>
        <v xml:space="preserve">   HK</v>
      </c>
      <c r="B3572" t="str">
        <f>T("   Hong-Kong")</f>
        <v xml:space="preserve">   Hong-Kong</v>
      </c>
      <c r="C3572">
        <v>262613</v>
      </c>
      <c r="D3572">
        <v>574</v>
      </c>
    </row>
    <row r="3573" spans="1:4" x14ac:dyDescent="0.25">
      <c r="A3573" t="str">
        <f>T("   ID")</f>
        <v xml:space="preserve">   ID</v>
      </c>
      <c r="B3573" t="str">
        <f>T("   Indonésie")</f>
        <v xml:space="preserve">   Indonésie</v>
      </c>
      <c r="C3573">
        <v>245427</v>
      </c>
      <c r="D3573">
        <v>268</v>
      </c>
    </row>
    <row r="3574" spans="1:4" x14ac:dyDescent="0.25">
      <c r="A3574" t="str">
        <f>T("   IN")</f>
        <v xml:space="preserve">   IN</v>
      </c>
      <c r="B3574" t="str">
        <f>T("   Inde")</f>
        <v xml:space="preserve">   Inde</v>
      </c>
      <c r="C3574">
        <v>14817188</v>
      </c>
      <c r="D3574">
        <v>26805</v>
      </c>
    </row>
    <row r="3575" spans="1:4" x14ac:dyDescent="0.25">
      <c r="A3575" t="str">
        <f>T("   NG")</f>
        <v xml:space="preserve">   NG</v>
      </c>
      <c r="B3575" t="str">
        <f>T("   Nigéria")</f>
        <v xml:space="preserve">   Nigéria</v>
      </c>
      <c r="C3575">
        <v>670000</v>
      </c>
      <c r="D3575">
        <v>1340</v>
      </c>
    </row>
    <row r="3576" spans="1:4" x14ac:dyDescent="0.25">
      <c r="A3576" t="str">
        <f>T("   NL")</f>
        <v xml:space="preserve">   NL</v>
      </c>
      <c r="B3576" t="str">
        <f>T("   Pays-bas")</f>
        <v xml:space="preserve">   Pays-bas</v>
      </c>
      <c r="C3576">
        <v>13988662</v>
      </c>
      <c r="D3576">
        <v>3211</v>
      </c>
    </row>
    <row r="3577" spans="1:4" x14ac:dyDescent="0.25">
      <c r="A3577" t="str">
        <f>T("   SN")</f>
        <v xml:space="preserve">   SN</v>
      </c>
      <c r="B3577" t="str">
        <f>T("   Sénégal")</f>
        <v xml:space="preserve">   Sénégal</v>
      </c>
      <c r="C3577">
        <v>38053721</v>
      </c>
      <c r="D3577">
        <v>40498</v>
      </c>
    </row>
    <row r="3578" spans="1:4" x14ac:dyDescent="0.25">
      <c r="A3578" t="str">
        <f>T("   TG")</f>
        <v xml:space="preserve">   TG</v>
      </c>
      <c r="B3578" t="str">
        <f>T("   Togo")</f>
        <v xml:space="preserve">   Togo</v>
      </c>
      <c r="C3578">
        <v>136460170</v>
      </c>
      <c r="D3578">
        <v>562658</v>
      </c>
    </row>
    <row r="3579" spans="1:4" x14ac:dyDescent="0.25">
      <c r="A3579" t="str">
        <f>T("   TR")</f>
        <v xml:space="preserve">   TR</v>
      </c>
      <c r="B3579" t="str">
        <f>T("   Turquie")</f>
        <v xml:space="preserve">   Turquie</v>
      </c>
      <c r="C3579">
        <v>817771</v>
      </c>
      <c r="D3579">
        <v>1974</v>
      </c>
    </row>
    <row r="3580" spans="1:4" x14ac:dyDescent="0.25">
      <c r="A3580" t="str">
        <f>T("330620")</f>
        <v>330620</v>
      </c>
      <c r="B3580" t="str">
        <f>T("Fils utilisés pour nettoyer les espaces intermédiaires [fils dentaires], en emballages individuels de détail")</f>
        <v>Fils utilisés pour nettoyer les espaces intermédiaires [fils dentaires], en emballages individuels de détail</v>
      </c>
    </row>
    <row r="3581" spans="1:4" x14ac:dyDescent="0.25">
      <c r="A3581" t="str">
        <f>T("   ZZZ_Monde")</f>
        <v xml:space="preserve">   ZZZ_Monde</v>
      </c>
      <c r="B3581" t="str">
        <f>T("   ZZZ_Monde")</f>
        <v xml:space="preserve">   ZZZ_Monde</v>
      </c>
      <c r="C3581">
        <v>50000</v>
      </c>
      <c r="D3581">
        <v>900</v>
      </c>
    </row>
    <row r="3582" spans="1:4" x14ac:dyDescent="0.25">
      <c r="A3582" t="str">
        <f>T("   GH")</f>
        <v xml:space="preserve">   GH</v>
      </c>
      <c r="B3582" t="str">
        <f>T("   Ghana")</f>
        <v xml:space="preserve">   Ghana</v>
      </c>
      <c r="C3582">
        <v>50000</v>
      </c>
      <c r="D3582">
        <v>900</v>
      </c>
    </row>
    <row r="3583" spans="1:4" x14ac:dyDescent="0.25">
      <c r="A3583" t="str">
        <f>T("330690")</f>
        <v>330690</v>
      </c>
      <c r="B3583" t="str">
        <f>T("Préparations pour l'hygiène buccale ou dentaire, y.c. les poudres et crèmes pour faciliter l'adhérence des dentiers (à l'excl. des dentifrices et des fils utilisés pour nettoyer les espaces interdentaires [fils dentaires])")</f>
        <v>Préparations pour l'hygiène buccale ou dentaire, y.c. les poudres et crèmes pour faciliter l'adhérence des dentiers (à l'excl. des dentifrices et des fils utilisés pour nettoyer les espaces interdentaires [fils dentaires])</v>
      </c>
    </row>
    <row r="3584" spans="1:4" x14ac:dyDescent="0.25">
      <c r="A3584" t="str">
        <f>T("   ZZZ_Monde")</f>
        <v xml:space="preserve">   ZZZ_Monde</v>
      </c>
      <c r="B3584" t="str">
        <f>T("   ZZZ_Monde")</f>
        <v xml:space="preserve">   ZZZ_Monde</v>
      </c>
      <c r="C3584">
        <v>4487929</v>
      </c>
      <c r="D3584">
        <v>8898</v>
      </c>
    </row>
    <row r="3585" spans="1:4" x14ac:dyDescent="0.25">
      <c r="A3585" t="str">
        <f>T("   CN")</f>
        <v xml:space="preserve">   CN</v>
      </c>
      <c r="B3585" t="str">
        <f>T("   Chine")</f>
        <v xml:space="preserve">   Chine</v>
      </c>
      <c r="C3585">
        <v>850000</v>
      </c>
      <c r="D3585">
        <v>7610</v>
      </c>
    </row>
    <row r="3586" spans="1:4" x14ac:dyDescent="0.25">
      <c r="A3586" t="str">
        <f>T("   DE")</f>
        <v xml:space="preserve">   DE</v>
      </c>
      <c r="B3586" t="str">
        <f>T("   Allemagne")</f>
        <v xml:space="preserve">   Allemagne</v>
      </c>
      <c r="C3586">
        <v>97082</v>
      </c>
      <c r="D3586">
        <v>8</v>
      </c>
    </row>
    <row r="3587" spans="1:4" x14ac:dyDescent="0.25">
      <c r="A3587" t="str">
        <f>T("   ES")</f>
        <v xml:space="preserve">   ES</v>
      </c>
      <c r="B3587" t="str">
        <f>T("   Espagne")</f>
        <v xml:space="preserve">   Espagne</v>
      </c>
      <c r="C3587">
        <v>160055</v>
      </c>
      <c r="D3587">
        <v>598</v>
      </c>
    </row>
    <row r="3588" spans="1:4" x14ac:dyDescent="0.25">
      <c r="A3588" t="str">
        <f>T("   FR")</f>
        <v xml:space="preserve">   FR</v>
      </c>
      <c r="B3588" t="str">
        <f>T("   France")</f>
        <v xml:space="preserve">   France</v>
      </c>
      <c r="C3588">
        <v>3380792</v>
      </c>
      <c r="D3588">
        <v>682</v>
      </c>
    </row>
    <row r="3589" spans="1:4" x14ac:dyDescent="0.25">
      <c r="A3589" t="str">
        <f>T("330710")</f>
        <v>330710</v>
      </c>
      <c r="B3589" t="str">
        <f>T("Préparations pour le prérasage, le rasage ou l'après-rasage")</f>
        <v>Préparations pour le prérasage, le rasage ou l'après-rasage</v>
      </c>
    </row>
    <row r="3590" spans="1:4" x14ac:dyDescent="0.25">
      <c r="A3590" t="str">
        <f>T("   ZZZ_Monde")</f>
        <v xml:space="preserve">   ZZZ_Monde</v>
      </c>
      <c r="B3590" t="str">
        <f>T("   ZZZ_Monde")</f>
        <v xml:space="preserve">   ZZZ_Monde</v>
      </c>
      <c r="C3590">
        <v>7470230</v>
      </c>
      <c r="D3590">
        <v>2667</v>
      </c>
    </row>
    <row r="3591" spans="1:4" x14ac:dyDescent="0.25">
      <c r="A3591" t="str">
        <f>T("   FR")</f>
        <v xml:space="preserve">   FR</v>
      </c>
      <c r="B3591" t="str">
        <f>T("   France")</f>
        <v xml:space="preserve">   France</v>
      </c>
      <c r="C3591">
        <v>7444490</v>
      </c>
      <c r="D3591">
        <v>2658</v>
      </c>
    </row>
    <row r="3592" spans="1:4" x14ac:dyDescent="0.25">
      <c r="A3592" t="str">
        <f>T("   NL")</f>
        <v xml:space="preserve">   NL</v>
      </c>
      <c r="B3592" t="str">
        <f>T("   Pays-bas")</f>
        <v xml:space="preserve">   Pays-bas</v>
      </c>
      <c r="C3592">
        <v>25740</v>
      </c>
      <c r="D3592">
        <v>9</v>
      </c>
    </row>
    <row r="3593" spans="1:4" x14ac:dyDescent="0.25">
      <c r="A3593" t="str">
        <f>T("330720")</f>
        <v>330720</v>
      </c>
      <c r="B3593" t="str">
        <f>T("Désodorisants corporels et antisudoraux, préparés")</f>
        <v>Désodorisants corporels et antisudoraux, préparés</v>
      </c>
    </row>
    <row r="3594" spans="1:4" x14ac:dyDescent="0.25">
      <c r="A3594" t="str">
        <f>T("   ZZZ_Monde")</f>
        <v xml:space="preserve">   ZZZ_Monde</v>
      </c>
      <c r="B3594" t="str">
        <f>T("   ZZZ_Monde")</f>
        <v xml:space="preserve">   ZZZ_Monde</v>
      </c>
      <c r="C3594">
        <v>180499593</v>
      </c>
      <c r="D3594">
        <v>94897</v>
      </c>
    </row>
    <row r="3595" spans="1:4" x14ac:dyDescent="0.25">
      <c r="A3595" t="str">
        <f>T("   BE")</f>
        <v xml:space="preserve">   BE</v>
      </c>
      <c r="B3595" t="str">
        <f>T("   Belgique")</f>
        <v xml:space="preserve">   Belgique</v>
      </c>
      <c r="C3595">
        <v>7832550</v>
      </c>
      <c r="D3595">
        <v>2674</v>
      </c>
    </row>
    <row r="3596" spans="1:4" x14ac:dyDescent="0.25">
      <c r="A3596" t="str">
        <f>T("   CI")</f>
        <v xml:space="preserve">   CI</v>
      </c>
      <c r="B3596" t="str">
        <f>T("   Côte d'Ivoire")</f>
        <v xml:space="preserve">   Côte d'Ivoire</v>
      </c>
      <c r="C3596">
        <v>611801</v>
      </c>
      <c r="D3596">
        <v>1422</v>
      </c>
    </row>
    <row r="3597" spans="1:4" x14ac:dyDescent="0.25">
      <c r="A3597" t="str">
        <f>T("   CN")</f>
        <v xml:space="preserve">   CN</v>
      </c>
      <c r="B3597" t="str">
        <f>T("   Chine")</f>
        <v xml:space="preserve">   Chine</v>
      </c>
      <c r="C3597">
        <v>3594698</v>
      </c>
      <c r="D3597">
        <v>17221</v>
      </c>
    </row>
    <row r="3598" spans="1:4" x14ac:dyDescent="0.25">
      <c r="A3598" t="str">
        <f>T("   DE")</f>
        <v xml:space="preserve">   DE</v>
      </c>
      <c r="B3598" t="str">
        <f>T("   Allemagne")</f>
        <v xml:space="preserve">   Allemagne</v>
      </c>
      <c r="C3598">
        <v>10999138</v>
      </c>
      <c r="D3598">
        <v>2924</v>
      </c>
    </row>
    <row r="3599" spans="1:4" x14ac:dyDescent="0.25">
      <c r="A3599" t="str">
        <f>T("   ES")</f>
        <v xml:space="preserve">   ES</v>
      </c>
      <c r="B3599" t="str">
        <f>T("   Espagne")</f>
        <v xml:space="preserve">   Espagne</v>
      </c>
      <c r="C3599">
        <v>658583</v>
      </c>
      <c r="D3599">
        <v>1991</v>
      </c>
    </row>
    <row r="3600" spans="1:4" x14ac:dyDescent="0.25">
      <c r="A3600" t="str">
        <f>T("   FR")</f>
        <v xml:space="preserve">   FR</v>
      </c>
      <c r="B3600" t="str">
        <f>T("   France")</f>
        <v xml:space="preserve">   France</v>
      </c>
      <c r="C3600">
        <v>147277818</v>
      </c>
      <c r="D3600">
        <v>44678</v>
      </c>
    </row>
    <row r="3601" spans="1:4" x14ac:dyDescent="0.25">
      <c r="A3601" t="str">
        <f>T("   GH")</f>
        <v xml:space="preserve">   GH</v>
      </c>
      <c r="B3601" t="str">
        <f>T("   Ghana")</f>
        <v xml:space="preserve">   Ghana</v>
      </c>
      <c r="C3601">
        <v>994022</v>
      </c>
      <c r="D3601">
        <v>5170</v>
      </c>
    </row>
    <row r="3602" spans="1:4" x14ac:dyDescent="0.25">
      <c r="A3602" t="str">
        <f>T("   NG")</f>
        <v xml:space="preserve">   NG</v>
      </c>
      <c r="B3602" t="str">
        <f>T("   Nigéria")</f>
        <v xml:space="preserve">   Nigéria</v>
      </c>
      <c r="C3602">
        <v>135000</v>
      </c>
      <c r="D3602">
        <v>135</v>
      </c>
    </row>
    <row r="3603" spans="1:4" x14ac:dyDescent="0.25">
      <c r="A3603" t="str">
        <f>T("   NL")</f>
        <v xml:space="preserve">   NL</v>
      </c>
      <c r="B3603" t="str">
        <f>T("   Pays-bas")</f>
        <v xml:space="preserve">   Pays-bas</v>
      </c>
      <c r="C3603">
        <v>3443003</v>
      </c>
      <c r="D3603">
        <v>1190</v>
      </c>
    </row>
    <row r="3604" spans="1:4" x14ac:dyDescent="0.25">
      <c r="A3604" t="str">
        <f>T("   SN")</f>
        <v xml:space="preserve">   SN</v>
      </c>
      <c r="B3604" t="str">
        <f>T("   Sénégal")</f>
        <v xml:space="preserve">   Sénégal</v>
      </c>
      <c r="C3604">
        <v>2483758</v>
      </c>
      <c r="D3604">
        <v>2247</v>
      </c>
    </row>
    <row r="3605" spans="1:4" x14ac:dyDescent="0.25">
      <c r="A3605" t="str">
        <f>T("   TG")</f>
        <v xml:space="preserve">   TG</v>
      </c>
      <c r="B3605" t="str">
        <f>T("   Togo")</f>
        <v xml:space="preserve">   Togo</v>
      </c>
      <c r="C3605">
        <v>1922151</v>
      </c>
      <c r="D3605">
        <v>14308</v>
      </c>
    </row>
    <row r="3606" spans="1:4" x14ac:dyDescent="0.25">
      <c r="A3606" t="str">
        <f>T("   ZA")</f>
        <v xml:space="preserve">   ZA</v>
      </c>
      <c r="B3606" t="str">
        <f>T("   Afrique du Sud")</f>
        <v xml:space="preserve">   Afrique du Sud</v>
      </c>
      <c r="C3606">
        <v>547071</v>
      </c>
      <c r="D3606">
        <v>937</v>
      </c>
    </row>
    <row r="3607" spans="1:4" x14ac:dyDescent="0.25">
      <c r="A3607" t="str">
        <f>T("330730")</f>
        <v>330730</v>
      </c>
      <c r="B3607" t="str">
        <f>T("Sels parfumés et autres préparations pour bains")</f>
        <v>Sels parfumés et autres préparations pour bains</v>
      </c>
    </row>
    <row r="3608" spans="1:4" x14ac:dyDescent="0.25">
      <c r="A3608" t="str">
        <f>T("   ZZZ_Monde")</f>
        <v xml:space="preserve">   ZZZ_Monde</v>
      </c>
      <c r="B3608" t="str">
        <f>T("   ZZZ_Monde")</f>
        <v xml:space="preserve">   ZZZ_Monde</v>
      </c>
      <c r="C3608">
        <v>3516149</v>
      </c>
      <c r="D3608">
        <v>3672</v>
      </c>
    </row>
    <row r="3609" spans="1:4" x14ac:dyDescent="0.25">
      <c r="A3609" t="str">
        <f>T("   FR")</f>
        <v xml:space="preserve">   FR</v>
      </c>
      <c r="B3609" t="str">
        <f>T("   France")</f>
        <v xml:space="preserve">   France</v>
      </c>
      <c r="C3609">
        <v>3317191</v>
      </c>
      <c r="D3609">
        <v>2432</v>
      </c>
    </row>
    <row r="3610" spans="1:4" x14ac:dyDescent="0.25">
      <c r="A3610" t="str">
        <f>T("   GB")</f>
        <v xml:space="preserve">   GB</v>
      </c>
      <c r="B3610" t="str">
        <f>T("   Royaume-Uni")</f>
        <v xml:space="preserve">   Royaume-Uni</v>
      </c>
      <c r="C3610">
        <v>48548</v>
      </c>
      <c r="D3610">
        <v>100</v>
      </c>
    </row>
    <row r="3611" spans="1:4" x14ac:dyDescent="0.25">
      <c r="A3611" t="str">
        <f>T("   TG")</f>
        <v xml:space="preserve">   TG</v>
      </c>
      <c r="B3611" t="str">
        <f>T("   Togo")</f>
        <v xml:space="preserve">   Togo</v>
      </c>
      <c r="C3611">
        <v>150410</v>
      </c>
      <c r="D3611">
        <v>1140</v>
      </c>
    </row>
    <row r="3612" spans="1:4" x14ac:dyDescent="0.25">
      <c r="A3612" t="str">
        <f>T("330741")</f>
        <v>330741</v>
      </c>
      <c r="B3612" t="str">
        <f>T("'Agarbatti' et autres préparations odoriférantes agissant par combustion")</f>
        <v>'Agarbatti' et autres préparations odoriférantes agissant par combustion</v>
      </c>
    </row>
    <row r="3613" spans="1:4" x14ac:dyDescent="0.25">
      <c r="A3613" t="str">
        <f>T("   ZZZ_Monde")</f>
        <v xml:space="preserve">   ZZZ_Monde</v>
      </c>
      <c r="B3613" t="str">
        <f>T("   ZZZ_Monde")</f>
        <v xml:space="preserve">   ZZZ_Monde</v>
      </c>
      <c r="C3613">
        <v>2042830</v>
      </c>
      <c r="D3613">
        <v>1088</v>
      </c>
    </row>
    <row r="3614" spans="1:4" x14ac:dyDescent="0.25">
      <c r="A3614" t="str">
        <f>T("   FR")</f>
        <v xml:space="preserve">   FR</v>
      </c>
      <c r="B3614" t="str">
        <f>T("   France")</f>
        <v xml:space="preserve">   France</v>
      </c>
      <c r="C3614">
        <v>718932</v>
      </c>
      <c r="D3614">
        <v>150</v>
      </c>
    </row>
    <row r="3615" spans="1:4" x14ac:dyDescent="0.25">
      <c r="A3615" t="str">
        <f>T("   IN")</f>
        <v xml:space="preserve">   IN</v>
      </c>
      <c r="B3615" t="str">
        <f>T("   Inde")</f>
        <v xml:space="preserve">   Inde</v>
      </c>
      <c r="C3615">
        <v>1323898</v>
      </c>
      <c r="D3615">
        <v>938</v>
      </c>
    </row>
    <row r="3616" spans="1:4" x14ac:dyDescent="0.25">
      <c r="A3616" t="str">
        <f>T("330749")</f>
        <v>330749</v>
      </c>
      <c r="B3616" t="str">
        <f>T("Préparations pour parfumer ou pour désodoriser les locaux, y.c. les préparations odoriférantes pour cérémonies religieuses (à l'excl. de l'agarbatti et des autres préparations odoriférantes agissant par combustion)")</f>
        <v>Préparations pour parfumer ou pour désodoriser les locaux, y.c. les préparations odoriférantes pour cérémonies religieuses (à l'excl. de l'agarbatti et des autres préparations odoriférantes agissant par combustion)</v>
      </c>
    </row>
    <row r="3617" spans="1:4" x14ac:dyDescent="0.25">
      <c r="A3617" t="str">
        <f>T("   ZZZ_Monde")</f>
        <v xml:space="preserve">   ZZZ_Monde</v>
      </c>
      <c r="B3617" t="str">
        <f>T("   ZZZ_Monde")</f>
        <v xml:space="preserve">   ZZZ_Monde</v>
      </c>
      <c r="C3617">
        <v>185037228</v>
      </c>
      <c r="D3617">
        <v>350450</v>
      </c>
    </row>
    <row r="3618" spans="1:4" x14ac:dyDescent="0.25">
      <c r="A3618" t="str">
        <f>T("   BE")</f>
        <v xml:space="preserve">   BE</v>
      </c>
      <c r="B3618" t="str">
        <f>T("   Belgique")</f>
        <v xml:space="preserve">   Belgique</v>
      </c>
      <c r="C3618">
        <v>1271907</v>
      </c>
      <c r="D3618">
        <v>1642</v>
      </c>
    </row>
    <row r="3619" spans="1:4" x14ac:dyDescent="0.25">
      <c r="A3619" t="str">
        <f>T("   CN")</f>
        <v xml:space="preserve">   CN</v>
      </c>
      <c r="B3619" t="str">
        <f>T("   Chine")</f>
        <v xml:space="preserve">   Chine</v>
      </c>
      <c r="C3619">
        <v>49476729</v>
      </c>
      <c r="D3619">
        <v>191833</v>
      </c>
    </row>
    <row r="3620" spans="1:4" x14ac:dyDescent="0.25">
      <c r="A3620" t="str">
        <f>T("   ES")</f>
        <v xml:space="preserve">   ES</v>
      </c>
      <c r="B3620" t="str">
        <f>T("   Espagne")</f>
        <v xml:space="preserve">   Espagne</v>
      </c>
      <c r="C3620">
        <v>15317646</v>
      </c>
      <c r="D3620">
        <v>26045</v>
      </c>
    </row>
    <row r="3621" spans="1:4" x14ac:dyDescent="0.25">
      <c r="A3621" t="str">
        <f>T("   FR")</f>
        <v xml:space="preserve">   FR</v>
      </c>
      <c r="B3621" t="str">
        <f>T("   France")</f>
        <v xml:space="preserve">   France</v>
      </c>
      <c r="C3621">
        <v>27801921</v>
      </c>
      <c r="D3621">
        <v>32289</v>
      </c>
    </row>
    <row r="3622" spans="1:4" x14ac:dyDescent="0.25">
      <c r="A3622" t="str">
        <f>T("   HK")</f>
        <v xml:space="preserve">   HK</v>
      </c>
      <c r="B3622" t="str">
        <f>T("   Hong-Kong")</f>
        <v xml:space="preserve">   Hong-Kong</v>
      </c>
      <c r="C3622">
        <v>23416357</v>
      </c>
      <c r="D3622">
        <v>13681</v>
      </c>
    </row>
    <row r="3623" spans="1:4" x14ac:dyDescent="0.25">
      <c r="A3623" t="str">
        <f>T("   ID")</f>
        <v xml:space="preserve">   ID</v>
      </c>
      <c r="B3623" t="str">
        <f>T("   Indonésie")</f>
        <v xml:space="preserve">   Indonésie</v>
      </c>
      <c r="C3623">
        <v>36688652</v>
      </c>
      <c r="D3623">
        <v>32229</v>
      </c>
    </row>
    <row r="3624" spans="1:4" x14ac:dyDescent="0.25">
      <c r="A3624" t="str">
        <f>T("   NG")</f>
        <v xml:space="preserve">   NG</v>
      </c>
      <c r="B3624" t="str">
        <f>T("   Nigéria")</f>
        <v xml:space="preserve">   Nigéria</v>
      </c>
      <c r="C3624">
        <v>403300</v>
      </c>
      <c r="D3624">
        <v>658</v>
      </c>
    </row>
    <row r="3625" spans="1:4" x14ac:dyDescent="0.25">
      <c r="A3625" t="str">
        <f>T("   NL")</f>
        <v xml:space="preserve">   NL</v>
      </c>
      <c r="B3625" t="str">
        <f>T("   Pays-bas")</f>
        <v xml:space="preserve">   Pays-bas</v>
      </c>
      <c r="C3625">
        <v>5396583</v>
      </c>
      <c r="D3625">
        <v>1721</v>
      </c>
    </row>
    <row r="3626" spans="1:4" x14ac:dyDescent="0.25">
      <c r="A3626" t="str">
        <f>T("   TG")</f>
        <v xml:space="preserve">   TG</v>
      </c>
      <c r="B3626" t="str">
        <f>T("   Togo")</f>
        <v xml:space="preserve">   Togo</v>
      </c>
      <c r="C3626">
        <v>17738</v>
      </c>
      <c r="D3626">
        <v>85</v>
      </c>
    </row>
    <row r="3627" spans="1:4" x14ac:dyDescent="0.25">
      <c r="A3627" t="str">
        <f>T("   TH")</f>
        <v xml:space="preserve">   TH</v>
      </c>
      <c r="B3627" t="str">
        <f>T("   Thaïlande")</f>
        <v xml:space="preserve">   Thaïlande</v>
      </c>
      <c r="C3627">
        <v>232964</v>
      </c>
      <c r="D3627">
        <v>500</v>
      </c>
    </row>
    <row r="3628" spans="1:4" x14ac:dyDescent="0.25">
      <c r="A3628" t="str">
        <f>T("   TR")</f>
        <v xml:space="preserve">   TR</v>
      </c>
      <c r="B3628" t="str">
        <f>T("   Turquie")</f>
        <v xml:space="preserve">   Turquie</v>
      </c>
      <c r="C3628">
        <v>17903218</v>
      </c>
      <c r="D3628">
        <v>23835</v>
      </c>
    </row>
    <row r="3629" spans="1:4" x14ac:dyDescent="0.25">
      <c r="A3629" t="str">
        <f>T("   ZA")</f>
        <v xml:space="preserve">   ZA</v>
      </c>
      <c r="B3629" t="str">
        <f>T("   Afrique du Sud")</f>
        <v xml:space="preserve">   Afrique du Sud</v>
      </c>
      <c r="C3629">
        <v>7110213</v>
      </c>
      <c r="D3629">
        <v>25932</v>
      </c>
    </row>
    <row r="3630" spans="1:4" x14ac:dyDescent="0.25">
      <c r="A3630" t="str">
        <f>T("330790")</f>
        <v>330790</v>
      </c>
      <c r="B3630" t="str">
        <f>T("Dépilatoires, autres produits de parfumerie ou de toilette préparés et autres préparations cosmétiques, n.d.a.")</f>
        <v>Dépilatoires, autres produits de parfumerie ou de toilette préparés et autres préparations cosmétiques, n.d.a.</v>
      </c>
    </row>
    <row r="3631" spans="1:4" x14ac:dyDescent="0.25">
      <c r="A3631" t="str">
        <f>T("   ZZZ_Monde")</f>
        <v xml:space="preserve">   ZZZ_Monde</v>
      </c>
      <c r="B3631" t="str">
        <f>T("   ZZZ_Monde")</f>
        <v xml:space="preserve">   ZZZ_Monde</v>
      </c>
      <c r="C3631">
        <v>21286863</v>
      </c>
      <c r="D3631">
        <v>42321</v>
      </c>
    </row>
    <row r="3632" spans="1:4" x14ac:dyDescent="0.25">
      <c r="A3632" t="str">
        <f>T("   AE")</f>
        <v xml:space="preserve">   AE</v>
      </c>
      <c r="B3632" t="str">
        <f>T("   Emirats Arabes Unis")</f>
        <v xml:space="preserve">   Emirats Arabes Unis</v>
      </c>
      <c r="C3632">
        <v>1490398</v>
      </c>
      <c r="D3632">
        <v>4120</v>
      </c>
    </row>
    <row r="3633" spans="1:4" x14ac:dyDescent="0.25">
      <c r="A3633" t="str">
        <f>T("   CN")</f>
        <v xml:space="preserve">   CN</v>
      </c>
      <c r="B3633" t="str">
        <f>T("   Chine")</f>
        <v xml:space="preserve">   Chine</v>
      </c>
      <c r="C3633">
        <v>2195098</v>
      </c>
      <c r="D3633">
        <v>5384</v>
      </c>
    </row>
    <row r="3634" spans="1:4" x14ac:dyDescent="0.25">
      <c r="A3634" t="str">
        <f>T("   FR")</f>
        <v xml:space="preserve">   FR</v>
      </c>
      <c r="B3634" t="str">
        <f>T("   France")</f>
        <v xml:space="preserve">   France</v>
      </c>
      <c r="C3634">
        <v>7898319</v>
      </c>
      <c r="D3634">
        <v>9059</v>
      </c>
    </row>
    <row r="3635" spans="1:4" x14ac:dyDescent="0.25">
      <c r="A3635" t="str">
        <f>T("   IN")</f>
        <v xml:space="preserve">   IN</v>
      </c>
      <c r="B3635" t="str">
        <f>T("   Inde")</f>
        <v xml:space="preserve">   Inde</v>
      </c>
      <c r="C3635">
        <v>1129349</v>
      </c>
      <c r="D3635">
        <v>1503</v>
      </c>
    </row>
    <row r="3636" spans="1:4" x14ac:dyDescent="0.25">
      <c r="A3636" t="str">
        <f>T("   NG")</f>
        <v xml:space="preserve">   NG</v>
      </c>
      <c r="B3636" t="str">
        <f>T("   Nigéria")</f>
        <v xml:space="preserve">   Nigéria</v>
      </c>
      <c r="C3636">
        <v>152000</v>
      </c>
      <c r="D3636">
        <v>190</v>
      </c>
    </row>
    <row r="3637" spans="1:4" x14ac:dyDescent="0.25">
      <c r="A3637" t="str">
        <f>T("   US")</f>
        <v xml:space="preserve">   US</v>
      </c>
      <c r="B3637" t="str">
        <f>T("   Etats-Unis")</f>
        <v xml:space="preserve">   Etats-Unis</v>
      </c>
      <c r="C3637">
        <v>5921699</v>
      </c>
      <c r="D3637">
        <v>943</v>
      </c>
    </row>
    <row r="3638" spans="1:4" x14ac:dyDescent="0.25">
      <c r="A3638" t="str">
        <f>T("   Z2")</f>
        <v xml:space="preserve">   Z2</v>
      </c>
      <c r="B3638" t="str">
        <f>T("   Pays non défini")</f>
        <v xml:space="preserve">   Pays non défini</v>
      </c>
      <c r="C3638">
        <v>2500000</v>
      </c>
      <c r="D3638">
        <v>21122</v>
      </c>
    </row>
    <row r="3639" spans="1:4" x14ac:dyDescent="0.25">
      <c r="A3639" t="str">
        <f>T("340111")</f>
        <v>340111</v>
      </c>
      <c r="B3639" t="str">
        <f>T("Savons, produits et préparations organiques tensio-actifs à usage de savon, en barres, en pains, en morceaux ou en sujets frappés, et papier, ouates, feutres et nontissés, imprégnés, enduits ou recouverts de savon ou de détergents, pour la toilette, y.c.")</f>
        <v>Savons, produits et préparations organiques tensio-actifs à usage de savon, en barres, en pains, en morceaux ou en sujets frappés, et papier, ouates, feutres et nontissés, imprégnés, enduits ou recouverts de savon ou de détergents, pour la toilette, y.c.</v>
      </c>
    </row>
    <row r="3640" spans="1:4" x14ac:dyDescent="0.25">
      <c r="A3640" t="str">
        <f>T("   ZZZ_Monde")</f>
        <v xml:space="preserve">   ZZZ_Monde</v>
      </c>
      <c r="B3640" t="str">
        <f>T("   ZZZ_Monde")</f>
        <v xml:space="preserve">   ZZZ_Monde</v>
      </c>
      <c r="C3640">
        <v>1871125191</v>
      </c>
      <c r="D3640">
        <v>4830495.2</v>
      </c>
    </row>
    <row r="3641" spans="1:4" x14ac:dyDescent="0.25">
      <c r="A3641" t="str">
        <f>T("   AE")</f>
        <v xml:space="preserve">   AE</v>
      </c>
      <c r="B3641" t="str">
        <f>T("   Emirats Arabes Unis")</f>
        <v xml:space="preserve">   Emirats Arabes Unis</v>
      </c>
      <c r="C3641">
        <v>16218057</v>
      </c>
      <c r="D3641">
        <v>47838</v>
      </c>
    </row>
    <row r="3642" spans="1:4" x14ac:dyDescent="0.25">
      <c r="A3642" t="str">
        <f>T("   BE")</f>
        <v xml:space="preserve">   BE</v>
      </c>
      <c r="B3642" t="str">
        <f>T("   Belgique")</f>
        <v xml:space="preserve">   Belgique</v>
      </c>
      <c r="C3642">
        <v>3725400</v>
      </c>
      <c r="D3642">
        <v>534</v>
      </c>
    </row>
    <row r="3643" spans="1:4" x14ac:dyDescent="0.25">
      <c r="A3643" t="str">
        <f>T("   CI")</f>
        <v xml:space="preserve">   CI</v>
      </c>
      <c r="B3643" t="str">
        <f>T("   Côte d'Ivoire")</f>
        <v xml:space="preserve">   Côte d'Ivoire</v>
      </c>
      <c r="C3643">
        <v>11735378</v>
      </c>
      <c r="D3643">
        <v>23400</v>
      </c>
    </row>
    <row r="3644" spans="1:4" x14ac:dyDescent="0.25">
      <c r="A3644" t="str">
        <f>T("   CM")</f>
        <v xml:space="preserve">   CM</v>
      </c>
      <c r="B3644" t="str">
        <f>T("   Cameroun")</f>
        <v xml:space="preserve">   Cameroun</v>
      </c>
      <c r="C3644">
        <v>3214756</v>
      </c>
      <c r="D3644">
        <v>3460</v>
      </c>
    </row>
    <row r="3645" spans="1:4" x14ac:dyDescent="0.25">
      <c r="A3645" t="str">
        <f>T("   CN")</f>
        <v xml:space="preserve">   CN</v>
      </c>
      <c r="B3645" t="str">
        <f>T("   Chine")</f>
        <v xml:space="preserve">   Chine</v>
      </c>
      <c r="C3645">
        <v>499179080</v>
      </c>
      <c r="D3645">
        <v>1303480.2</v>
      </c>
    </row>
    <row r="3646" spans="1:4" x14ac:dyDescent="0.25">
      <c r="A3646" t="str">
        <f>T("   DE")</f>
        <v xml:space="preserve">   DE</v>
      </c>
      <c r="B3646" t="str">
        <f>T("   Allemagne")</f>
        <v xml:space="preserve">   Allemagne</v>
      </c>
      <c r="C3646">
        <v>165395921</v>
      </c>
      <c r="D3646">
        <v>624123</v>
      </c>
    </row>
    <row r="3647" spans="1:4" x14ac:dyDescent="0.25">
      <c r="A3647" t="str">
        <f>T("   ES")</f>
        <v xml:space="preserve">   ES</v>
      </c>
      <c r="B3647" t="str">
        <f>T("   Espagne")</f>
        <v xml:space="preserve">   Espagne</v>
      </c>
      <c r="C3647">
        <v>2154390</v>
      </c>
      <c r="D3647">
        <v>3926</v>
      </c>
    </row>
    <row r="3648" spans="1:4" x14ac:dyDescent="0.25">
      <c r="A3648" t="str">
        <f>T("   FR")</f>
        <v xml:space="preserve">   FR</v>
      </c>
      <c r="B3648" t="str">
        <f>T("   France")</f>
        <v xml:space="preserve">   France</v>
      </c>
      <c r="C3648">
        <v>132135885</v>
      </c>
      <c r="D3648">
        <v>80200</v>
      </c>
    </row>
    <row r="3649" spans="1:4" x14ac:dyDescent="0.25">
      <c r="A3649" t="str">
        <f>T("   GB")</f>
        <v xml:space="preserve">   GB</v>
      </c>
      <c r="B3649" t="str">
        <f>T("   Royaume-Uni")</f>
        <v xml:space="preserve">   Royaume-Uni</v>
      </c>
      <c r="C3649">
        <v>7238</v>
      </c>
      <c r="D3649">
        <v>2</v>
      </c>
    </row>
    <row r="3650" spans="1:4" x14ac:dyDescent="0.25">
      <c r="A3650" t="str">
        <f>T("   GH")</f>
        <v xml:space="preserve">   GH</v>
      </c>
      <c r="B3650" t="str">
        <f>T("   Ghana")</f>
        <v xml:space="preserve">   Ghana</v>
      </c>
      <c r="C3650">
        <v>23455828</v>
      </c>
      <c r="D3650">
        <v>77771</v>
      </c>
    </row>
    <row r="3651" spans="1:4" x14ac:dyDescent="0.25">
      <c r="A3651" t="str">
        <f>T("   HK")</f>
        <v xml:space="preserve">   HK</v>
      </c>
      <c r="B3651" t="str">
        <f>T("   Hong-Kong")</f>
        <v xml:space="preserve">   Hong-Kong</v>
      </c>
      <c r="C3651">
        <v>79648348</v>
      </c>
      <c r="D3651">
        <v>192332</v>
      </c>
    </row>
    <row r="3652" spans="1:4" x14ac:dyDescent="0.25">
      <c r="A3652" t="str">
        <f>T("   ID")</f>
        <v xml:space="preserve">   ID</v>
      </c>
      <c r="B3652" t="str">
        <f>T("   Indonésie")</f>
        <v xml:space="preserve">   Indonésie</v>
      </c>
      <c r="C3652">
        <v>333183412</v>
      </c>
      <c r="D3652">
        <v>928200</v>
      </c>
    </row>
    <row r="3653" spans="1:4" x14ac:dyDescent="0.25">
      <c r="A3653" t="str">
        <f>T("   IN")</f>
        <v xml:space="preserve">   IN</v>
      </c>
      <c r="B3653" t="str">
        <f>T("   Inde")</f>
        <v xml:space="preserve">   Inde</v>
      </c>
      <c r="C3653">
        <v>30366631</v>
      </c>
      <c r="D3653">
        <v>61363</v>
      </c>
    </row>
    <row r="3654" spans="1:4" x14ac:dyDescent="0.25">
      <c r="A3654" t="str">
        <f>T("   LB")</f>
        <v xml:space="preserve">   LB</v>
      </c>
      <c r="B3654" t="str">
        <f>T("   Liban")</f>
        <v xml:space="preserve">   Liban</v>
      </c>
      <c r="C3654">
        <v>1633604</v>
      </c>
      <c r="D3654">
        <v>2723</v>
      </c>
    </row>
    <row r="3655" spans="1:4" x14ac:dyDescent="0.25">
      <c r="A3655" t="str">
        <f>T("   MY")</f>
        <v xml:space="preserve">   MY</v>
      </c>
      <c r="B3655" t="str">
        <f>T("   Malaisie")</f>
        <v xml:space="preserve">   Malaisie</v>
      </c>
      <c r="C3655">
        <v>10486176</v>
      </c>
      <c r="D3655">
        <v>38790</v>
      </c>
    </row>
    <row r="3656" spans="1:4" x14ac:dyDescent="0.25">
      <c r="A3656" t="str">
        <f>T("   NG")</f>
        <v xml:space="preserve">   NG</v>
      </c>
      <c r="B3656" t="str">
        <f>T("   Nigéria")</f>
        <v xml:space="preserve">   Nigéria</v>
      </c>
      <c r="C3656">
        <v>7707893</v>
      </c>
      <c r="D3656">
        <v>12381</v>
      </c>
    </row>
    <row r="3657" spans="1:4" x14ac:dyDescent="0.25">
      <c r="A3657" t="str">
        <f>T("   SG")</f>
        <v xml:space="preserve">   SG</v>
      </c>
      <c r="B3657" t="str">
        <f>T("   Singapour")</f>
        <v xml:space="preserve">   Singapour</v>
      </c>
      <c r="C3657">
        <v>68814914</v>
      </c>
      <c r="D3657">
        <v>163531</v>
      </c>
    </row>
    <row r="3658" spans="1:4" x14ac:dyDescent="0.25">
      <c r="A3658" t="str">
        <f>T("   SN")</f>
        <v xml:space="preserve">   SN</v>
      </c>
      <c r="B3658" t="str">
        <f>T("   Sénégal")</f>
        <v xml:space="preserve">   Sénégal</v>
      </c>
      <c r="C3658">
        <v>170499286</v>
      </c>
      <c r="D3658">
        <v>124713</v>
      </c>
    </row>
    <row r="3659" spans="1:4" x14ac:dyDescent="0.25">
      <c r="A3659" t="str">
        <f>T("   TG")</f>
        <v xml:space="preserve">   TG</v>
      </c>
      <c r="B3659" t="str">
        <f>T("   Togo")</f>
        <v xml:space="preserve">   Togo</v>
      </c>
      <c r="C3659">
        <v>258020490</v>
      </c>
      <c r="D3659">
        <v>995614</v>
      </c>
    </row>
    <row r="3660" spans="1:4" x14ac:dyDescent="0.25">
      <c r="A3660" t="str">
        <f>T("   TH")</f>
        <v xml:space="preserve">   TH</v>
      </c>
      <c r="B3660" t="str">
        <f>T("   Thaïlande")</f>
        <v xml:space="preserve">   Thaïlande</v>
      </c>
      <c r="C3660">
        <v>13685443</v>
      </c>
      <c r="D3660">
        <v>29127</v>
      </c>
    </row>
    <row r="3661" spans="1:4" x14ac:dyDescent="0.25">
      <c r="A3661" t="str">
        <f>T("   TR")</f>
        <v xml:space="preserve">   TR</v>
      </c>
      <c r="B3661" t="str">
        <f>T("   Turquie")</f>
        <v xml:space="preserve">   Turquie</v>
      </c>
      <c r="C3661">
        <v>34463102</v>
      </c>
      <c r="D3661">
        <v>101549</v>
      </c>
    </row>
    <row r="3662" spans="1:4" x14ac:dyDescent="0.25">
      <c r="A3662" t="str">
        <f>T("   ZA")</f>
        <v xml:space="preserve">   ZA</v>
      </c>
      <c r="B3662" t="str">
        <f>T("   Afrique du Sud")</f>
        <v xml:space="preserve">   Afrique du Sud</v>
      </c>
      <c r="C3662">
        <v>5393959</v>
      </c>
      <c r="D3662">
        <v>15438</v>
      </c>
    </row>
    <row r="3663" spans="1:4" x14ac:dyDescent="0.25">
      <c r="A3663" t="str">
        <f>T("340119")</f>
        <v>340119</v>
      </c>
      <c r="B3663" t="str">
        <f>T("Savons, produits et préparations organiques tensio-actifs à usage de savon, en barres, en pains, en morceaux ou en sujets frappés, et papier, ouates, feutres et nontissés, imprégnés, enduits ou recouverts de savon ou de détergents (à l'excl. des produits")</f>
        <v>Savons, produits et préparations organiques tensio-actifs à usage de savon, en barres, en pains, en morceaux ou en sujets frappés, et papier, ouates, feutres et nontissés, imprégnés, enduits ou recouverts de savon ou de détergents (à l'excl. des produits</v>
      </c>
    </row>
    <row r="3664" spans="1:4" x14ac:dyDescent="0.25">
      <c r="A3664" t="str">
        <f>T("   ZZZ_Monde")</f>
        <v xml:space="preserve">   ZZZ_Monde</v>
      </c>
      <c r="B3664" t="str">
        <f>T("   ZZZ_Monde")</f>
        <v xml:space="preserve">   ZZZ_Monde</v>
      </c>
      <c r="C3664">
        <v>2651808653</v>
      </c>
      <c r="D3664">
        <v>9692232</v>
      </c>
    </row>
    <row r="3665" spans="1:4" x14ac:dyDescent="0.25">
      <c r="A3665" t="str">
        <f>T("   AE")</f>
        <v xml:space="preserve">   AE</v>
      </c>
      <c r="B3665" t="str">
        <f>T("   Emirats Arabes Unis")</f>
        <v xml:space="preserve">   Emirats Arabes Unis</v>
      </c>
      <c r="C3665">
        <v>69000</v>
      </c>
      <c r="D3665">
        <v>95</v>
      </c>
    </row>
    <row r="3666" spans="1:4" x14ac:dyDescent="0.25">
      <c r="A3666" t="str">
        <f>T("   BR")</f>
        <v xml:space="preserve">   BR</v>
      </c>
      <c r="B3666" t="str">
        <f>T("   Brésil")</f>
        <v xml:space="preserve">   Brésil</v>
      </c>
      <c r="C3666">
        <v>12451983</v>
      </c>
      <c r="D3666">
        <v>50000</v>
      </c>
    </row>
    <row r="3667" spans="1:4" x14ac:dyDescent="0.25">
      <c r="A3667" t="str">
        <f>T("   CI")</f>
        <v xml:space="preserve">   CI</v>
      </c>
      <c r="B3667" t="str">
        <f>T("   Côte d'Ivoire")</f>
        <v xml:space="preserve">   Côte d'Ivoire</v>
      </c>
      <c r="C3667">
        <v>452927582</v>
      </c>
      <c r="D3667">
        <v>906963</v>
      </c>
    </row>
    <row r="3668" spans="1:4" x14ac:dyDescent="0.25">
      <c r="A3668" t="str">
        <f>T("   CN")</f>
        <v xml:space="preserve">   CN</v>
      </c>
      <c r="B3668" t="str">
        <f>T("   Chine")</f>
        <v xml:space="preserve">   Chine</v>
      </c>
      <c r="C3668">
        <v>596624590</v>
      </c>
      <c r="D3668">
        <v>2747772</v>
      </c>
    </row>
    <row r="3669" spans="1:4" x14ac:dyDescent="0.25">
      <c r="A3669" t="str">
        <f>T("   ES")</f>
        <v xml:space="preserve">   ES</v>
      </c>
      <c r="B3669" t="str">
        <f>T("   Espagne")</f>
        <v xml:space="preserve">   Espagne</v>
      </c>
      <c r="C3669">
        <v>62936606</v>
      </c>
      <c r="D3669">
        <v>208260</v>
      </c>
    </row>
    <row r="3670" spans="1:4" x14ac:dyDescent="0.25">
      <c r="A3670" t="str">
        <f>T("   FR")</f>
        <v xml:space="preserve">   FR</v>
      </c>
      <c r="B3670" t="str">
        <f>T("   France")</f>
        <v xml:space="preserve">   France</v>
      </c>
      <c r="C3670">
        <v>46746748</v>
      </c>
      <c r="D3670">
        <v>41514</v>
      </c>
    </row>
    <row r="3671" spans="1:4" x14ac:dyDescent="0.25">
      <c r="A3671" t="str">
        <f>T("   GB")</f>
        <v xml:space="preserve">   GB</v>
      </c>
      <c r="B3671" t="str">
        <f>T("   Royaume-Uni")</f>
        <v xml:space="preserve">   Royaume-Uni</v>
      </c>
      <c r="C3671">
        <v>7289</v>
      </c>
      <c r="D3671">
        <v>4</v>
      </c>
    </row>
    <row r="3672" spans="1:4" x14ac:dyDescent="0.25">
      <c r="A3672" t="str">
        <f>T("   GH")</f>
        <v xml:space="preserve">   GH</v>
      </c>
      <c r="B3672" t="str">
        <f>T("   Ghana")</f>
        <v xml:space="preserve">   Ghana</v>
      </c>
      <c r="C3672">
        <v>217386734</v>
      </c>
      <c r="D3672">
        <v>558966</v>
      </c>
    </row>
    <row r="3673" spans="1:4" x14ac:dyDescent="0.25">
      <c r="A3673" t="str">
        <f>T("   GM")</f>
        <v xml:space="preserve">   GM</v>
      </c>
      <c r="B3673" t="str">
        <f>T("   Gambie")</f>
        <v xml:space="preserve">   Gambie</v>
      </c>
      <c r="C3673">
        <v>1575145</v>
      </c>
      <c r="D3673">
        <v>16952</v>
      </c>
    </row>
    <row r="3674" spans="1:4" x14ac:dyDescent="0.25">
      <c r="A3674" t="str">
        <f>T("   GY")</f>
        <v xml:space="preserve">   GY</v>
      </c>
      <c r="B3674" t="str">
        <f>T("   Guyane")</f>
        <v xml:space="preserve">   Guyane</v>
      </c>
      <c r="C3674">
        <v>5243088</v>
      </c>
      <c r="D3674">
        <v>1450</v>
      </c>
    </row>
    <row r="3675" spans="1:4" x14ac:dyDescent="0.25">
      <c r="A3675" t="str">
        <f>T("   HK")</f>
        <v xml:space="preserve">   HK</v>
      </c>
      <c r="B3675" t="str">
        <f>T("   Hong-Kong")</f>
        <v xml:space="preserve">   Hong-Kong</v>
      </c>
      <c r="C3675">
        <v>26814309</v>
      </c>
      <c r="D3675">
        <v>63530</v>
      </c>
    </row>
    <row r="3676" spans="1:4" x14ac:dyDescent="0.25">
      <c r="A3676" t="str">
        <f>T("   ID")</f>
        <v xml:space="preserve">   ID</v>
      </c>
      <c r="B3676" t="str">
        <f>T("   Indonésie")</f>
        <v xml:space="preserve">   Indonésie</v>
      </c>
      <c r="C3676">
        <v>150332776</v>
      </c>
      <c r="D3676">
        <v>735311</v>
      </c>
    </row>
    <row r="3677" spans="1:4" x14ac:dyDescent="0.25">
      <c r="A3677" t="str">
        <f>T("   IN")</f>
        <v xml:space="preserve">   IN</v>
      </c>
      <c r="B3677" t="str">
        <f>T("   Inde")</f>
        <v xml:space="preserve">   Inde</v>
      </c>
      <c r="C3677">
        <v>10480000</v>
      </c>
      <c r="D3677">
        <v>42039</v>
      </c>
    </row>
    <row r="3678" spans="1:4" x14ac:dyDescent="0.25">
      <c r="A3678" t="str">
        <f>T("   LB")</f>
        <v xml:space="preserve">   LB</v>
      </c>
      <c r="B3678" t="str">
        <f>T("   Liban")</f>
        <v xml:space="preserve">   Liban</v>
      </c>
      <c r="C3678">
        <v>3891080</v>
      </c>
      <c r="D3678">
        <v>14987</v>
      </c>
    </row>
    <row r="3679" spans="1:4" x14ac:dyDescent="0.25">
      <c r="A3679" t="str">
        <f>T("   MY")</f>
        <v xml:space="preserve">   MY</v>
      </c>
      <c r="B3679" t="str">
        <f>T("   Malaisie")</f>
        <v xml:space="preserve">   Malaisie</v>
      </c>
      <c r="C3679">
        <v>10500000</v>
      </c>
      <c r="D3679">
        <v>33482</v>
      </c>
    </row>
    <row r="3680" spans="1:4" x14ac:dyDescent="0.25">
      <c r="A3680" t="str">
        <f>T("   NG")</f>
        <v xml:space="preserve">   NG</v>
      </c>
      <c r="B3680" t="str">
        <f>T("   Nigéria")</f>
        <v xml:space="preserve">   Nigéria</v>
      </c>
      <c r="C3680">
        <v>22557800</v>
      </c>
      <c r="D3680">
        <v>45046</v>
      </c>
    </row>
    <row r="3681" spans="1:4" x14ac:dyDescent="0.25">
      <c r="A3681" t="str">
        <f>T("   SG")</f>
        <v xml:space="preserve">   SG</v>
      </c>
      <c r="B3681" t="str">
        <f>T("   Singapour")</f>
        <v xml:space="preserve">   Singapour</v>
      </c>
      <c r="C3681">
        <v>20963303</v>
      </c>
      <c r="D3681">
        <v>85075</v>
      </c>
    </row>
    <row r="3682" spans="1:4" x14ac:dyDescent="0.25">
      <c r="A3682" t="str">
        <f>T("   SN")</f>
        <v xml:space="preserve">   SN</v>
      </c>
      <c r="B3682" t="str">
        <f>T("   Sénégal")</f>
        <v xml:space="preserve">   Sénégal</v>
      </c>
      <c r="C3682">
        <v>975635</v>
      </c>
      <c r="D3682">
        <v>8367</v>
      </c>
    </row>
    <row r="3683" spans="1:4" x14ac:dyDescent="0.25">
      <c r="A3683" t="str">
        <f>T("   TG")</f>
        <v xml:space="preserve">   TG</v>
      </c>
      <c r="B3683" t="str">
        <f>T("   Togo")</f>
        <v xml:space="preserve">   Togo</v>
      </c>
      <c r="C3683">
        <v>989240421</v>
      </c>
      <c r="D3683">
        <v>4041757</v>
      </c>
    </row>
    <row r="3684" spans="1:4" x14ac:dyDescent="0.25">
      <c r="A3684" t="str">
        <f>T("   TR")</f>
        <v xml:space="preserve">   TR</v>
      </c>
      <c r="B3684" t="str">
        <f>T("   Turquie")</f>
        <v xml:space="preserve">   Turquie</v>
      </c>
      <c r="C3684">
        <v>20084564</v>
      </c>
      <c r="D3684">
        <v>90662</v>
      </c>
    </row>
    <row r="3685" spans="1:4" x14ac:dyDescent="0.25">
      <c r="A3685" t="str">
        <f>T("340120")</f>
        <v>340120</v>
      </c>
      <c r="B3685" t="str">
        <f>T("Savons en flocons, en paillettes, en granulés ou en poudres et savons liquides ou pâteux")</f>
        <v>Savons en flocons, en paillettes, en granulés ou en poudres et savons liquides ou pâteux</v>
      </c>
    </row>
    <row r="3686" spans="1:4" x14ac:dyDescent="0.25">
      <c r="A3686" t="str">
        <f>T("   ZZZ_Monde")</f>
        <v xml:space="preserve">   ZZZ_Monde</v>
      </c>
      <c r="B3686" t="str">
        <f>T("   ZZZ_Monde")</f>
        <v xml:space="preserve">   ZZZ_Monde</v>
      </c>
      <c r="C3686">
        <v>337267374</v>
      </c>
      <c r="D3686">
        <v>1204585</v>
      </c>
    </row>
    <row r="3687" spans="1:4" x14ac:dyDescent="0.25">
      <c r="A3687" t="str">
        <f>T("   AE")</f>
        <v xml:space="preserve">   AE</v>
      </c>
      <c r="B3687" t="str">
        <f>T("   Emirats Arabes Unis")</f>
        <v xml:space="preserve">   Emirats Arabes Unis</v>
      </c>
      <c r="C3687">
        <v>5244902</v>
      </c>
      <c r="D3687">
        <v>13644</v>
      </c>
    </row>
    <row r="3688" spans="1:4" x14ac:dyDescent="0.25">
      <c r="A3688" t="str">
        <f>T("   CN")</f>
        <v xml:space="preserve">   CN</v>
      </c>
      <c r="B3688" t="str">
        <f>T("   Chine")</f>
        <v xml:space="preserve">   Chine</v>
      </c>
      <c r="C3688">
        <v>143970339</v>
      </c>
      <c r="D3688">
        <v>536001</v>
      </c>
    </row>
    <row r="3689" spans="1:4" x14ac:dyDescent="0.25">
      <c r="A3689" t="str">
        <f>T("   DE")</f>
        <v xml:space="preserve">   DE</v>
      </c>
      <c r="B3689" t="str">
        <f>T("   Allemagne")</f>
        <v xml:space="preserve">   Allemagne</v>
      </c>
      <c r="C3689">
        <v>550744</v>
      </c>
      <c r="D3689">
        <v>3384</v>
      </c>
    </row>
    <row r="3690" spans="1:4" x14ac:dyDescent="0.25">
      <c r="A3690" t="str">
        <f>T("   ES")</f>
        <v xml:space="preserve">   ES</v>
      </c>
      <c r="B3690" t="str">
        <f>T("   Espagne")</f>
        <v xml:space="preserve">   Espagne</v>
      </c>
      <c r="C3690">
        <v>15729376</v>
      </c>
      <c r="D3690">
        <v>50007</v>
      </c>
    </row>
    <row r="3691" spans="1:4" x14ac:dyDescent="0.25">
      <c r="A3691" t="str">
        <f>T("   FR")</f>
        <v xml:space="preserve">   FR</v>
      </c>
      <c r="B3691" t="str">
        <f>T("   France")</f>
        <v xml:space="preserve">   France</v>
      </c>
      <c r="C3691">
        <v>10710514</v>
      </c>
      <c r="D3691">
        <v>8189</v>
      </c>
    </row>
    <row r="3692" spans="1:4" x14ac:dyDescent="0.25">
      <c r="A3692" t="str">
        <f>T("   GH")</f>
        <v xml:space="preserve">   GH</v>
      </c>
      <c r="B3692" t="str">
        <f>T("   Ghana")</f>
        <v xml:space="preserve">   Ghana</v>
      </c>
      <c r="C3692">
        <v>5542156</v>
      </c>
      <c r="D3692">
        <v>34250</v>
      </c>
    </row>
    <row r="3693" spans="1:4" x14ac:dyDescent="0.25">
      <c r="A3693" t="str">
        <f>T("   GY")</f>
        <v xml:space="preserve">   GY</v>
      </c>
      <c r="B3693" t="str">
        <f>T("   Guyane")</f>
        <v xml:space="preserve">   Guyane</v>
      </c>
      <c r="C3693">
        <v>5243038</v>
      </c>
      <c r="D3693">
        <v>1450</v>
      </c>
    </row>
    <row r="3694" spans="1:4" x14ac:dyDescent="0.25">
      <c r="A3694" t="str">
        <f>T("   ID")</f>
        <v xml:space="preserve">   ID</v>
      </c>
      <c r="B3694" t="str">
        <f>T("   Indonésie")</f>
        <v xml:space="preserve">   Indonésie</v>
      </c>
      <c r="C3694">
        <v>36709823</v>
      </c>
      <c r="D3694">
        <v>156904</v>
      </c>
    </row>
    <row r="3695" spans="1:4" x14ac:dyDescent="0.25">
      <c r="A3695" t="str">
        <f>T("   IN")</f>
        <v xml:space="preserve">   IN</v>
      </c>
      <c r="B3695" t="str">
        <f>T("   Inde")</f>
        <v xml:space="preserve">   Inde</v>
      </c>
      <c r="C3695">
        <v>269092</v>
      </c>
      <c r="D3695">
        <v>51</v>
      </c>
    </row>
    <row r="3696" spans="1:4" x14ac:dyDescent="0.25">
      <c r="A3696" t="str">
        <f>T("   IT")</f>
        <v xml:space="preserve">   IT</v>
      </c>
      <c r="B3696" t="str">
        <f>T("   Italie")</f>
        <v xml:space="preserve">   Italie</v>
      </c>
      <c r="C3696">
        <v>953300</v>
      </c>
      <c r="D3696">
        <v>164</v>
      </c>
    </row>
    <row r="3697" spans="1:4" x14ac:dyDescent="0.25">
      <c r="A3697" t="str">
        <f>T("   LB")</f>
        <v xml:space="preserve">   LB</v>
      </c>
      <c r="B3697" t="str">
        <f>T("   Liban")</f>
        <v xml:space="preserve">   Liban</v>
      </c>
      <c r="C3697">
        <v>1822235</v>
      </c>
      <c r="D3697">
        <v>6235</v>
      </c>
    </row>
    <row r="3698" spans="1:4" x14ac:dyDescent="0.25">
      <c r="A3698" t="str">
        <f>T("   MY")</f>
        <v xml:space="preserve">   MY</v>
      </c>
      <c r="B3698" t="str">
        <f>T("   Malaisie")</f>
        <v xml:space="preserve">   Malaisie</v>
      </c>
      <c r="C3698">
        <v>21847629</v>
      </c>
      <c r="D3698">
        <v>53001</v>
      </c>
    </row>
    <row r="3699" spans="1:4" x14ac:dyDescent="0.25">
      <c r="A3699" t="str">
        <f>T("   NG")</f>
        <v xml:space="preserve">   NG</v>
      </c>
      <c r="B3699" t="str">
        <f>T("   Nigéria")</f>
        <v xml:space="preserve">   Nigéria</v>
      </c>
      <c r="C3699">
        <v>573574</v>
      </c>
      <c r="D3699">
        <v>1456</v>
      </c>
    </row>
    <row r="3700" spans="1:4" x14ac:dyDescent="0.25">
      <c r="A3700" t="str">
        <f>T("   SG")</f>
        <v xml:space="preserve">   SG</v>
      </c>
      <c r="B3700" t="str">
        <f>T("   Singapour")</f>
        <v xml:space="preserve">   Singapour</v>
      </c>
      <c r="C3700">
        <v>10486606</v>
      </c>
      <c r="D3700">
        <v>44700</v>
      </c>
    </row>
    <row r="3701" spans="1:4" x14ac:dyDescent="0.25">
      <c r="A3701" t="str">
        <f>T("   TG")</f>
        <v xml:space="preserve">   TG</v>
      </c>
      <c r="B3701" t="str">
        <f>T("   Togo")</f>
        <v xml:space="preserve">   Togo</v>
      </c>
      <c r="C3701">
        <v>62683378</v>
      </c>
      <c r="D3701">
        <v>236257</v>
      </c>
    </row>
    <row r="3702" spans="1:4" x14ac:dyDescent="0.25">
      <c r="A3702" t="str">
        <f>T("   TH")</f>
        <v xml:space="preserve">   TH</v>
      </c>
      <c r="B3702" t="str">
        <f>T("   Thaïlande")</f>
        <v xml:space="preserve">   Thaïlande</v>
      </c>
      <c r="C3702">
        <v>10490095</v>
      </c>
      <c r="D3702">
        <v>29127</v>
      </c>
    </row>
    <row r="3703" spans="1:4" x14ac:dyDescent="0.25">
      <c r="A3703" t="str">
        <f>T("   TR")</f>
        <v xml:space="preserve">   TR</v>
      </c>
      <c r="B3703" t="str">
        <f>T("   Turquie")</f>
        <v xml:space="preserve">   Turquie</v>
      </c>
      <c r="C3703">
        <v>1565716</v>
      </c>
      <c r="D3703">
        <v>5474</v>
      </c>
    </row>
    <row r="3704" spans="1:4" x14ac:dyDescent="0.25">
      <c r="A3704" t="str">
        <f>T("   US")</f>
        <v xml:space="preserve">   US</v>
      </c>
      <c r="B3704" t="str">
        <f>T("   Etats-Unis")</f>
        <v xml:space="preserve">   Etats-Unis</v>
      </c>
      <c r="C3704">
        <v>159857</v>
      </c>
      <c r="D3704">
        <v>1050</v>
      </c>
    </row>
    <row r="3705" spans="1:4" x14ac:dyDescent="0.25">
      <c r="A3705" t="str">
        <f>T("   Z2")</f>
        <v xml:space="preserve">   Z2</v>
      </c>
      <c r="B3705" t="str">
        <f>T("   Pays non défini")</f>
        <v xml:space="preserve">   Pays non défini</v>
      </c>
      <c r="C3705">
        <v>2715000</v>
      </c>
      <c r="D3705">
        <v>23241</v>
      </c>
    </row>
    <row r="3706" spans="1:4" x14ac:dyDescent="0.25">
      <c r="A3706" t="str">
        <f>T("340130")</f>
        <v>340130</v>
      </c>
      <c r="B3706" t="str">
        <f>T("Produits et préparations organiques tensio-actifs destinés au lavage de la peau, sous forme de liquide ou de crème, conditionnés pour la vente au détail, même contenant  du savon")</f>
        <v>Produits et préparations organiques tensio-actifs destinés au lavage de la peau, sous forme de liquide ou de crème, conditionnés pour la vente au détail, même contenant  du savon</v>
      </c>
    </row>
    <row r="3707" spans="1:4" x14ac:dyDescent="0.25">
      <c r="A3707" t="str">
        <f>T("   ZZZ_Monde")</f>
        <v xml:space="preserve">   ZZZ_Monde</v>
      </c>
      <c r="B3707" t="str">
        <f>T("   ZZZ_Monde")</f>
        <v xml:space="preserve">   ZZZ_Monde</v>
      </c>
      <c r="C3707">
        <v>58127256</v>
      </c>
      <c r="D3707">
        <v>55127</v>
      </c>
    </row>
    <row r="3708" spans="1:4" x14ac:dyDescent="0.25">
      <c r="A3708" t="str">
        <f>T("   BE")</f>
        <v xml:space="preserve">   BE</v>
      </c>
      <c r="B3708" t="str">
        <f>T("   Belgique")</f>
        <v xml:space="preserve">   Belgique</v>
      </c>
      <c r="C3708">
        <v>4355474</v>
      </c>
      <c r="D3708">
        <v>3491</v>
      </c>
    </row>
    <row r="3709" spans="1:4" x14ac:dyDescent="0.25">
      <c r="A3709" t="str">
        <f>T("   CI")</f>
        <v xml:space="preserve">   CI</v>
      </c>
      <c r="B3709" t="str">
        <f>T("   Côte d'Ivoire")</f>
        <v xml:space="preserve">   Côte d'Ivoire</v>
      </c>
      <c r="C3709">
        <v>768800</v>
      </c>
      <c r="D3709">
        <v>811</v>
      </c>
    </row>
    <row r="3710" spans="1:4" x14ac:dyDescent="0.25">
      <c r="A3710" t="str">
        <f>T("   DE")</f>
        <v xml:space="preserve">   DE</v>
      </c>
      <c r="B3710" t="str">
        <f>T("   Allemagne")</f>
        <v xml:space="preserve">   Allemagne</v>
      </c>
      <c r="C3710">
        <v>1185124</v>
      </c>
      <c r="D3710">
        <v>419</v>
      </c>
    </row>
    <row r="3711" spans="1:4" x14ac:dyDescent="0.25">
      <c r="A3711" t="str">
        <f>T("   ES")</f>
        <v xml:space="preserve">   ES</v>
      </c>
      <c r="B3711" t="str">
        <f>T("   Espagne")</f>
        <v xml:space="preserve">   Espagne</v>
      </c>
      <c r="C3711">
        <v>2706490</v>
      </c>
      <c r="D3711">
        <v>8985</v>
      </c>
    </row>
    <row r="3712" spans="1:4" x14ac:dyDescent="0.25">
      <c r="A3712" t="str">
        <f>T("   FR")</f>
        <v xml:space="preserve">   FR</v>
      </c>
      <c r="B3712" t="str">
        <f>T("   France")</f>
        <v xml:space="preserve">   France</v>
      </c>
      <c r="C3712">
        <v>32618300</v>
      </c>
      <c r="D3712">
        <v>15535</v>
      </c>
    </row>
    <row r="3713" spans="1:4" x14ac:dyDescent="0.25">
      <c r="A3713" t="str">
        <f>T("   NG")</f>
        <v xml:space="preserve">   NG</v>
      </c>
      <c r="B3713" t="str">
        <f>T("   Nigéria")</f>
        <v xml:space="preserve">   Nigéria</v>
      </c>
      <c r="C3713">
        <v>41250</v>
      </c>
      <c r="D3713">
        <v>165</v>
      </c>
    </row>
    <row r="3714" spans="1:4" x14ac:dyDescent="0.25">
      <c r="A3714" t="str">
        <f>T("   SN")</f>
        <v xml:space="preserve">   SN</v>
      </c>
      <c r="B3714" t="str">
        <f>T("   Sénégal")</f>
        <v xml:space="preserve">   Sénégal</v>
      </c>
      <c r="C3714">
        <v>10621808</v>
      </c>
      <c r="D3714">
        <v>9636</v>
      </c>
    </row>
    <row r="3715" spans="1:4" x14ac:dyDescent="0.25">
      <c r="A3715" t="str">
        <f>T("   TG")</f>
        <v xml:space="preserve">   TG</v>
      </c>
      <c r="B3715" t="str">
        <f>T("   Togo")</f>
        <v xml:space="preserve">   Togo</v>
      </c>
      <c r="C3715">
        <v>906606</v>
      </c>
      <c r="D3715">
        <v>3855</v>
      </c>
    </row>
    <row r="3716" spans="1:4" x14ac:dyDescent="0.25">
      <c r="A3716" t="str">
        <f>T("   TR")</f>
        <v xml:space="preserve">   TR</v>
      </c>
      <c r="B3716" t="str">
        <f>T("   Turquie")</f>
        <v xml:space="preserve">   Turquie</v>
      </c>
      <c r="C3716">
        <v>4923404</v>
      </c>
      <c r="D3716">
        <v>12230</v>
      </c>
    </row>
    <row r="3717" spans="1:4" x14ac:dyDescent="0.25">
      <c r="A3717" t="str">
        <f>T("340213")</f>
        <v>340213</v>
      </c>
      <c r="B3717" t="str">
        <f>T("Agents de surface organiques, non ioniques, même conditionnés pour la vente au détail (à l'excl. des savons)")</f>
        <v>Agents de surface organiques, non ioniques, même conditionnés pour la vente au détail (à l'excl. des savons)</v>
      </c>
    </row>
    <row r="3718" spans="1:4" x14ac:dyDescent="0.25">
      <c r="A3718" t="str">
        <f>T("   ZZZ_Monde")</f>
        <v xml:space="preserve">   ZZZ_Monde</v>
      </c>
      <c r="B3718" t="str">
        <f>T("   ZZZ_Monde")</f>
        <v xml:space="preserve">   ZZZ_Monde</v>
      </c>
      <c r="C3718">
        <v>45544348</v>
      </c>
      <c r="D3718">
        <v>14712</v>
      </c>
    </row>
    <row r="3719" spans="1:4" x14ac:dyDescent="0.25">
      <c r="A3719" t="str">
        <f>T("   CH")</f>
        <v xml:space="preserve">   CH</v>
      </c>
      <c r="B3719" t="str">
        <f>T("   Suisse")</f>
        <v xml:space="preserve">   Suisse</v>
      </c>
      <c r="C3719">
        <v>24264643</v>
      </c>
      <c r="D3719">
        <v>1980</v>
      </c>
    </row>
    <row r="3720" spans="1:4" x14ac:dyDescent="0.25">
      <c r="A3720" t="str">
        <f>T("   CN")</f>
        <v xml:space="preserve">   CN</v>
      </c>
      <c r="B3720" t="str">
        <f>T("   Chine")</f>
        <v xml:space="preserve">   Chine</v>
      </c>
      <c r="C3720">
        <v>473401</v>
      </c>
      <c r="D3720">
        <v>200</v>
      </c>
    </row>
    <row r="3721" spans="1:4" x14ac:dyDescent="0.25">
      <c r="A3721" t="str">
        <f>T("   DE")</f>
        <v xml:space="preserve">   DE</v>
      </c>
      <c r="B3721" t="str">
        <f>T("   Allemagne")</f>
        <v xml:space="preserve">   Allemagne</v>
      </c>
      <c r="C3721">
        <v>57291</v>
      </c>
      <c r="D3721">
        <v>12</v>
      </c>
    </row>
    <row r="3722" spans="1:4" x14ac:dyDescent="0.25">
      <c r="A3722" t="str">
        <f>T("   FR")</f>
        <v xml:space="preserve">   FR</v>
      </c>
      <c r="B3722" t="str">
        <f>T("   France")</f>
        <v xml:space="preserve">   France</v>
      </c>
      <c r="C3722">
        <v>3126305</v>
      </c>
      <c r="D3722">
        <v>4554</v>
      </c>
    </row>
    <row r="3723" spans="1:4" x14ac:dyDescent="0.25">
      <c r="A3723" t="str">
        <f>T("   GB")</f>
        <v xml:space="preserve">   GB</v>
      </c>
      <c r="B3723" t="str">
        <f>T("   Royaume-Uni")</f>
        <v xml:space="preserve">   Royaume-Uni</v>
      </c>
      <c r="C3723">
        <v>16904090</v>
      </c>
      <c r="D3723">
        <v>7246</v>
      </c>
    </row>
    <row r="3724" spans="1:4" x14ac:dyDescent="0.25">
      <c r="A3724" t="str">
        <f>T("   IN")</f>
        <v xml:space="preserve">   IN</v>
      </c>
      <c r="B3724" t="str">
        <f>T("   Inde")</f>
        <v xml:space="preserve">   Inde</v>
      </c>
      <c r="C3724">
        <v>718618</v>
      </c>
      <c r="D3724">
        <v>720</v>
      </c>
    </row>
    <row r="3725" spans="1:4" x14ac:dyDescent="0.25">
      <c r="A3725" t="str">
        <f>T("340219")</f>
        <v>340219</v>
      </c>
      <c r="B3725" t="str">
        <f>T("Agents de surface organiques, même conditionnés pour la vente au détail (à l'excl. des savons et des agents de surface anioniques, cationiques ou non ioniques)")</f>
        <v>Agents de surface organiques, même conditionnés pour la vente au détail (à l'excl. des savons et des agents de surface anioniques, cationiques ou non ioniques)</v>
      </c>
    </row>
    <row r="3726" spans="1:4" x14ac:dyDescent="0.25">
      <c r="A3726" t="str">
        <f>T("   ZZZ_Monde")</f>
        <v xml:space="preserve">   ZZZ_Monde</v>
      </c>
      <c r="B3726" t="str">
        <f>T("   ZZZ_Monde")</f>
        <v xml:space="preserve">   ZZZ_Monde</v>
      </c>
      <c r="C3726">
        <v>130829806</v>
      </c>
      <c r="D3726">
        <v>343353.5</v>
      </c>
    </row>
    <row r="3727" spans="1:4" x14ac:dyDescent="0.25">
      <c r="A3727" t="str">
        <f>T("   FR")</f>
        <v xml:space="preserve">   FR</v>
      </c>
      <c r="B3727" t="str">
        <f>T("   France")</f>
        <v xml:space="preserve">   France</v>
      </c>
      <c r="C3727">
        <v>14847912</v>
      </c>
      <c r="D3727">
        <v>19619</v>
      </c>
    </row>
    <row r="3728" spans="1:4" x14ac:dyDescent="0.25">
      <c r="A3728" t="str">
        <f>T("   IT")</f>
        <v xml:space="preserve">   IT</v>
      </c>
      <c r="B3728" t="str">
        <f>T("   Italie")</f>
        <v xml:space="preserve">   Italie</v>
      </c>
      <c r="C3728">
        <v>11379575</v>
      </c>
      <c r="D3728">
        <v>11800</v>
      </c>
    </row>
    <row r="3729" spans="1:4" x14ac:dyDescent="0.25">
      <c r="A3729" t="str">
        <f>T("   NL")</f>
        <v xml:space="preserve">   NL</v>
      </c>
      <c r="B3729" t="str">
        <f>T("   Pays-bas")</f>
        <v xml:space="preserve">   Pays-bas</v>
      </c>
      <c r="C3729">
        <v>1362292</v>
      </c>
      <c r="D3729">
        <v>123.5</v>
      </c>
    </row>
    <row r="3730" spans="1:4" x14ac:dyDescent="0.25">
      <c r="A3730" t="str">
        <f>T("   SG")</f>
        <v xml:space="preserve">   SG</v>
      </c>
      <c r="B3730" t="str">
        <f>T("   Singapour")</f>
        <v xml:space="preserve">   Singapour</v>
      </c>
      <c r="C3730">
        <v>94898027</v>
      </c>
      <c r="D3730">
        <v>264791</v>
      </c>
    </row>
    <row r="3731" spans="1:4" x14ac:dyDescent="0.25">
      <c r="A3731" t="str">
        <f>T("   TG")</f>
        <v xml:space="preserve">   TG</v>
      </c>
      <c r="B3731" t="str">
        <f>T("   Togo")</f>
        <v xml:space="preserve">   Togo</v>
      </c>
      <c r="C3731">
        <v>7450000</v>
      </c>
      <c r="D3731">
        <v>27020</v>
      </c>
    </row>
    <row r="3732" spans="1:4" x14ac:dyDescent="0.25">
      <c r="A3732" t="str">
        <f>T("   Z2")</f>
        <v xml:space="preserve">   Z2</v>
      </c>
      <c r="B3732" t="str">
        <f>T("   Pays non défini")</f>
        <v xml:space="preserve">   Pays non défini</v>
      </c>
      <c r="C3732">
        <v>892000</v>
      </c>
      <c r="D3732">
        <v>20000</v>
      </c>
    </row>
    <row r="3733" spans="1:4" x14ac:dyDescent="0.25">
      <c r="A3733" t="str">
        <f>T("340220")</f>
        <v>340220</v>
      </c>
      <c r="B3733" t="str">
        <f>T("Préparations tensio-actives, préparations pour lessives, préparations auxiliaires de lavage et préparations de nettoyage, conditionnées pour la vente au détail (à l'excl. des agents de surface organiques, des savons et des préparations organiques tensio-a")</f>
        <v>Préparations tensio-actives, préparations pour lessives, préparations auxiliaires de lavage et préparations de nettoyage, conditionnées pour la vente au détail (à l'excl. des agents de surface organiques, des savons et des préparations organiques tensio-a</v>
      </c>
    </row>
    <row r="3734" spans="1:4" x14ac:dyDescent="0.25">
      <c r="A3734" t="str">
        <f>T("   ZZZ_Monde")</f>
        <v xml:space="preserve">   ZZZ_Monde</v>
      </c>
      <c r="B3734" t="str">
        <f>T("   ZZZ_Monde")</f>
        <v xml:space="preserve">   ZZZ_Monde</v>
      </c>
      <c r="C3734">
        <v>1663269268</v>
      </c>
      <c r="D3734">
        <v>7392154.4400000004</v>
      </c>
    </row>
    <row r="3735" spans="1:4" x14ac:dyDescent="0.25">
      <c r="A3735" t="str">
        <f>T("   AE")</f>
        <v xml:space="preserve">   AE</v>
      </c>
      <c r="B3735" t="str">
        <f>T("   Emirats Arabes Unis")</f>
        <v xml:space="preserve">   Emirats Arabes Unis</v>
      </c>
      <c r="C3735">
        <v>491823</v>
      </c>
      <c r="D3735">
        <v>3909</v>
      </c>
    </row>
    <row r="3736" spans="1:4" x14ac:dyDescent="0.25">
      <c r="A3736" t="str">
        <f>T("   AT")</f>
        <v xml:space="preserve">   AT</v>
      </c>
      <c r="B3736" t="str">
        <f>T("   Autriche")</f>
        <v xml:space="preserve">   Autriche</v>
      </c>
      <c r="C3736">
        <v>85130</v>
      </c>
      <c r="D3736">
        <v>1.33</v>
      </c>
    </row>
    <row r="3737" spans="1:4" x14ac:dyDescent="0.25">
      <c r="A3737" t="str">
        <f>T("   BE")</f>
        <v xml:space="preserve">   BE</v>
      </c>
      <c r="B3737" t="str">
        <f>T("   Belgique")</f>
        <v xml:space="preserve">   Belgique</v>
      </c>
      <c r="C3737">
        <v>18885528</v>
      </c>
      <c r="D3737">
        <v>34747</v>
      </c>
    </row>
    <row r="3738" spans="1:4" x14ac:dyDescent="0.25">
      <c r="A3738" t="str">
        <f>T("   CI")</f>
        <v xml:space="preserve">   CI</v>
      </c>
      <c r="B3738" t="str">
        <f>T("   Côte d'Ivoire")</f>
        <v xml:space="preserve">   Côte d'Ivoire</v>
      </c>
      <c r="C3738">
        <v>52721696</v>
      </c>
      <c r="D3738">
        <v>79657</v>
      </c>
    </row>
    <row r="3739" spans="1:4" x14ac:dyDescent="0.25">
      <c r="A3739" t="str">
        <f>T("   CN")</f>
        <v xml:space="preserve">   CN</v>
      </c>
      <c r="B3739" t="str">
        <f>T("   Chine")</f>
        <v xml:space="preserve">   Chine</v>
      </c>
      <c r="C3739">
        <v>881428653</v>
      </c>
      <c r="D3739">
        <v>4374304</v>
      </c>
    </row>
    <row r="3740" spans="1:4" x14ac:dyDescent="0.25">
      <c r="A3740" t="str">
        <f>T("   DE")</f>
        <v xml:space="preserve">   DE</v>
      </c>
      <c r="B3740" t="str">
        <f>T("   Allemagne")</f>
        <v xml:space="preserve">   Allemagne</v>
      </c>
      <c r="C3740">
        <v>719289</v>
      </c>
      <c r="D3740">
        <v>55</v>
      </c>
    </row>
    <row r="3741" spans="1:4" x14ac:dyDescent="0.25">
      <c r="A3741" t="str">
        <f>T("   ES")</f>
        <v xml:space="preserve">   ES</v>
      </c>
      <c r="B3741" t="str">
        <f>T("   Espagne")</f>
        <v xml:space="preserve">   Espagne</v>
      </c>
      <c r="C3741">
        <v>8323477</v>
      </c>
      <c r="D3741">
        <v>32740</v>
      </c>
    </row>
    <row r="3742" spans="1:4" x14ac:dyDescent="0.25">
      <c r="A3742" t="str">
        <f>T("   FR")</f>
        <v xml:space="preserve">   FR</v>
      </c>
      <c r="B3742" t="str">
        <f>T("   France")</f>
        <v xml:space="preserve">   France</v>
      </c>
      <c r="C3742">
        <v>136423716</v>
      </c>
      <c r="D3742">
        <v>178851</v>
      </c>
    </row>
    <row r="3743" spans="1:4" x14ac:dyDescent="0.25">
      <c r="A3743" t="str">
        <f>T("   GH")</f>
        <v xml:space="preserve">   GH</v>
      </c>
      <c r="B3743" t="str">
        <f>T("   Ghana")</f>
        <v xml:space="preserve">   Ghana</v>
      </c>
      <c r="C3743">
        <v>59713455</v>
      </c>
      <c r="D3743">
        <v>336154</v>
      </c>
    </row>
    <row r="3744" spans="1:4" x14ac:dyDescent="0.25">
      <c r="A3744" t="str">
        <f>T("   ID")</f>
        <v xml:space="preserve">   ID</v>
      </c>
      <c r="B3744" t="str">
        <f>T("   Indonésie")</f>
        <v xml:space="preserve">   Indonésie</v>
      </c>
      <c r="C3744">
        <v>47608296</v>
      </c>
      <c r="D3744">
        <v>102467</v>
      </c>
    </row>
    <row r="3745" spans="1:4" x14ac:dyDescent="0.25">
      <c r="A3745" t="str">
        <f>T("   LB")</f>
        <v xml:space="preserve">   LB</v>
      </c>
      <c r="B3745" t="str">
        <f>T("   Liban")</f>
        <v xml:space="preserve">   Liban</v>
      </c>
      <c r="C3745">
        <v>2026730</v>
      </c>
      <c r="D3745">
        <v>8233</v>
      </c>
    </row>
    <row r="3746" spans="1:4" x14ac:dyDescent="0.25">
      <c r="A3746" t="str">
        <f>T("   NG")</f>
        <v xml:space="preserve">   NG</v>
      </c>
      <c r="B3746" t="str">
        <f>T("   Nigéria")</f>
        <v xml:space="preserve">   Nigéria</v>
      </c>
      <c r="C3746">
        <v>32076152</v>
      </c>
      <c r="D3746">
        <v>138406</v>
      </c>
    </row>
    <row r="3747" spans="1:4" x14ac:dyDescent="0.25">
      <c r="A3747" t="str">
        <f>T("   PL")</f>
        <v xml:space="preserve">   PL</v>
      </c>
      <c r="B3747" t="str">
        <f>T("   Pologne")</f>
        <v xml:space="preserve">   Pologne</v>
      </c>
      <c r="C3747">
        <v>3499547</v>
      </c>
      <c r="D3747">
        <v>7776.11</v>
      </c>
    </row>
    <row r="3748" spans="1:4" x14ac:dyDescent="0.25">
      <c r="A3748" t="str">
        <f>T("   SN")</f>
        <v xml:space="preserve">   SN</v>
      </c>
      <c r="B3748" t="str">
        <f>T("   Sénégal")</f>
        <v xml:space="preserve">   Sénégal</v>
      </c>
      <c r="C3748">
        <v>17145651</v>
      </c>
      <c r="D3748">
        <v>22874</v>
      </c>
    </row>
    <row r="3749" spans="1:4" x14ac:dyDescent="0.25">
      <c r="A3749" t="str">
        <f>T("   TG")</f>
        <v xml:space="preserve">   TG</v>
      </c>
      <c r="B3749" t="str">
        <f>T("   Togo")</f>
        <v xml:space="preserve">   Togo</v>
      </c>
      <c r="C3749">
        <v>397047400</v>
      </c>
      <c r="D3749">
        <v>2062838</v>
      </c>
    </row>
    <row r="3750" spans="1:4" x14ac:dyDescent="0.25">
      <c r="A3750" t="str">
        <f>T("   TH")</f>
        <v xml:space="preserve">   TH</v>
      </c>
      <c r="B3750" t="str">
        <f>T("   Thaïlande")</f>
        <v xml:space="preserve">   Thaïlande</v>
      </c>
      <c r="C3750">
        <v>147770</v>
      </c>
      <c r="D3750">
        <v>214</v>
      </c>
    </row>
    <row r="3751" spans="1:4" x14ac:dyDescent="0.25">
      <c r="A3751" t="str">
        <f>T("   TR")</f>
        <v xml:space="preserve">   TR</v>
      </c>
      <c r="B3751" t="str">
        <f>T("   Turquie")</f>
        <v xml:space="preserve">   Turquie</v>
      </c>
      <c r="C3751">
        <v>4924955</v>
      </c>
      <c r="D3751">
        <v>8928</v>
      </c>
    </row>
    <row r="3752" spans="1:4" x14ac:dyDescent="0.25">
      <c r="A3752" t="str">
        <f>T("340290")</f>
        <v>340290</v>
      </c>
      <c r="B3752" t="str">
        <f>T("Préparations tensio-actives, préparations pour lessives, préparations auxiliaires de lavage et préparations de nettoyage (à l'excl. des préparations conditionnées pour la vente au détail, des agents de surface organiques, des savons et des préparations or")</f>
        <v>Préparations tensio-actives, préparations pour lessives, préparations auxiliaires de lavage et préparations de nettoyage (à l'excl. des préparations conditionnées pour la vente au détail, des agents de surface organiques, des savons et des préparations or</v>
      </c>
    </row>
    <row r="3753" spans="1:4" x14ac:dyDescent="0.25">
      <c r="A3753" t="str">
        <f>T("   ZZZ_Monde")</f>
        <v xml:space="preserve">   ZZZ_Monde</v>
      </c>
      <c r="B3753" t="str">
        <f>T("   ZZZ_Monde")</f>
        <v xml:space="preserve">   ZZZ_Monde</v>
      </c>
      <c r="C3753">
        <v>710024931</v>
      </c>
      <c r="D3753">
        <v>991316</v>
      </c>
    </row>
    <row r="3754" spans="1:4" x14ac:dyDescent="0.25">
      <c r="A3754" t="str">
        <f>T("   AE")</f>
        <v xml:space="preserve">   AE</v>
      </c>
      <c r="B3754" t="str">
        <f>T("   Emirats Arabes Unis")</f>
        <v xml:space="preserve">   Emirats Arabes Unis</v>
      </c>
      <c r="C3754">
        <v>250000</v>
      </c>
      <c r="D3754">
        <v>2562</v>
      </c>
    </row>
    <row r="3755" spans="1:4" x14ac:dyDescent="0.25">
      <c r="A3755" t="str">
        <f>T("   AT")</f>
        <v xml:space="preserve">   AT</v>
      </c>
      <c r="B3755" t="str">
        <f>T("   Autriche")</f>
        <v xml:space="preserve">   Autriche</v>
      </c>
      <c r="C3755">
        <v>302398</v>
      </c>
      <c r="D3755">
        <v>2</v>
      </c>
    </row>
    <row r="3756" spans="1:4" x14ac:dyDescent="0.25">
      <c r="A3756" t="str">
        <f>T("   BE")</f>
        <v xml:space="preserve">   BE</v>
      </c>
      <c r="B3756" t="str">
        <f>T("   Belgique")</f>
        <v xml:space="preserve">   Belgique</v>
      </c>
      <c r="C3756">
        <v>371596092</v>
      </c>
      <c r="D3756">
        <v>193327</v>
      </c>
    </row>
    <row r="3757" spans="1:4" x14ac:dyDescent="0.25">
      <c r="A3757" t="str">
        <f>T("   CH")</f>
        <v xml:space="preserve">   CH</v>
      </c>
      <c r="B3757" t="str">
        <f>T("   Suisse")</f>
        <v xml:space="preserve">   Suisse</v>
      </c>
      <c r="C3757">
        <v>57245616</v>
      </c>
      <c r="D3757">
        <v>21909</v>
      </c>
    </row>
    <row r="3758" spans="1:4" x14ac:dyDescent="0.25">
      <c r="A3758" t="str">
        <f>T("   CN")</f>
        <v xml:space="preserve">   CN</v>
      </c>
      <c r="B3758" t="str">
        <f>T("   Chine")</f>
        <v xml:space="preserve">   Chine</v>
      </c>
      <c r="C3758">
        <v>20225447</v>
      </c>
      <c r="D3758">
        <v>79761</v>
      </c>
    </row>
    <row r="3759" spans="1:4" x14ac:dyDescent="0.25">
      <c r="A3759" t="str">
        <f>T("   DE")</f>
        <v xml:space="preserve">   DE</v>
      </c>
      <c r="B3759" t="str">
        <f>T("   Allemagne")</f>
        <v xml:space="preserve">   Allemagne</v>
      </c>
      <c r="C3759">
        <v>16577948</v>
      </c>
      <c r="D3759">
        <v>22187</v>
      </c>
    </row>
    <row r="3760" spans="1:4" x14ac:dyDescent="0.25">
      <c r="A3760" t="str">
        <f>T("   ES")</f>
        <v xml:space="preserve">   ES</v>
      </c>
      <c r="B3760" t="str">
        <f>T("   Espagne")</f>
        <v xml:space="preserve">   Espagne</v>
      </c>
      <c r="C3760">
        <v>2815957</v>
      </c>
      <c r="D3760">
        <v>521</v>
      </c>
    </row>
    <row r="3761" spans="1:4" x14ac:dyDescent="0.25">
      <c r="A3761" t="str">
        <f>T("   FR")</f>
        <v xml:space="preserve">   FR</v>
      </c>
      <c r="B3761" t="str">
        <f>T("   France")</f>
        <v xml:space="preserve">   France</v>
      </c>
      <c r="C3761">
        <v>69243583</v>
      </c>
      <c r="D3761">
        <v>54195</v>
      </c>
    </row>
    <row r="3762" spans="1:4" x14ac:dyDescent="0.25">
      <c r="A3762" t="str">
        <f>T("   GB")</f>
        <v xml:space="preserve">   GB</v>
      </c>
      <c r="B3762" t="str">
        <f>T("   Royaume-Uni")</f>
        <v xml:space="preserve">   Royaume-Uni</v>
      </c>
      <c r="C3762">
        <v>1110007</v>
      </c>
      <c r="D3762">
        <v>1371</v>
      </c>
    </row>
    <row r="3763" spans="1:4" x14ac:dyDescent="0.25">
      <c r="A3763" t="str">
        <f>T("   GH")</f>
        <v xml:space="preserve">   GH</v>
      </c>
      <c r="B3763" t="str">
        <f>T("   Ghana")</f>
        <v xml:space="preserve">   Ghana</v>
      </c>
      <c r="C3763">
        <v>7000000</v>
      </c>
      <c r="D3763">
        <v>29650</v>
      </c>
    </row>
    <row r="3764" spans="1:4" x14ac:dyDescent="0.25">
      <c r="A3764" t="str">
        <f>T("   HK")</f>
        <v xml:space="preserve">   HK</v>
      </c>
      <c r="B3764" t="str">
        <f>T("   Hong-Kong")</f>
        <v xml:space="preserve">   Hong-Kong</v>
      </c>
      <c r="C3764">
        <v>5324366</v>
      </c>
      <c r="D3764">
        <v>12176</v>
      </c>
    </row>
    <row r="3765" spans="1:4" x14ac:dyDescent="0.25">
      <c r="A3765" t="str">
        <f>T("   ID")</f>
        <v xml:space="preserve">   ID</v>
      </c>
      <c r="B3765" t="str">
        <f>T("   Indonésie")</f>
        <v xml:space="preserve">   Indonésie</v>
      </c>
      <c r="C3765">
        <v>69662313</v>
      </c>
      <c r="D3765">
        <v>121189</v>
      </c>
    </row>
    <row r="3766" spans="1:4" x14ac:dyDescent="0.25">
      <c r="A3766" t="str">
        <f>T("   LB")</f>
        <v xml:space="preserve">   LB</v>
      </c>
      <c r="B3766" t="str">
        <f>T("   Liban")</f>
        <v xml:space="preserve">   Liban</v>
      </c>
      <c r="C3766">
        <v>2075411</v>
      </c>
      <c r="D3766">
        <v>5576</v>
      </c>
    </row>
    <row r="3767" spans="1:4" x14ac:dyDescent="0.25">
      <c r="A3767" t="str">
        <f>T("   MY")</f>
        <v xml:space="preserve">   MY</v>
      </c>
      <c r="B3767" t="str">
        <f>T("   Malaisie")</f>
        <v xml:space="preserve">   Malaisie</v>
      </c>
      <c r="C3767">
        <v>7460215</v>
      </c>
      <c r="D3767">
        <v>14123</v>
      </c>
    </row>
    <row r="3768" spans="1:4" x14ac:dyDescent="0.25">
      <c r="A3768" t="str">
        <f>T("   NG")</f>
        <v xml:space="preserve">   NG</v>
      </c>
      <c r="B3768" t="str">
        <f>T("   Nigéria")</f>
        <v xml:space="preserve">   Nigéria</v>
      </c>
      <c r="C3768">
        <v>18750</v>
      </c>
      <c r="D3768">
        <v>75</v>
      </c>
    </row>
    <row r="3769" spans="1:4" x14ac:dyDescent="0.25">
      <c r="A3769" t="str">
        <f>T("   NL")</f>
        <v xml:space="preserve">   NL</v>
      </c>
      <c r="B3769" t="str">
        <f>T("   Pays-bas")</f>
        <v xml:space="preserve">   Pays-bas</v>
      </c>
      <c r="C3769">
        <v>645917</v>
      </c>
      <c r="D3769">
        <v>667</v>
      </c>
    </row>
    <row r="3770" spans="1:4" x14ac:dyDescent="0.25">
      <c r="A3770" t="str">
        <f>T("   TG")</f>
        <v xml:space="preserve">   TG</v>
      </c>
      <c r="B3770" t="str">
        <f>T("   Togo")</f>
        <v xml:space="preserve">   Togo</v>
      </c>
      <c r="C3770">
        <v>74803263</v>
      </c>
      <c r="D3770">
        <v>423265</v>
      </c>
    </row>
    <row r="3771" spans="1:4" x14ac:dyDescent="0.25">
      <c r="A3771" t="str">
        <f>T("   TH")</f>
        <v xml:space="preserve">   TH</v>
      </c>
      <c r="B3771" t="str">
        <f>T("   Thaïlande")</f>
        <v xml:space="preserve">   Thaïlande</v>
      </c>
      <c r="C3771">
        <v>3667648</v>
      </c>
      <c r="D3771">
        <v>8760</v>
      </c>
    </row>
    <row r="3772" spans="1:4" x14ac:dyDescent="0.25">
      <c r="A3772" t="str">
        <f>T("340319")</f>
        <v>340319</v>
      </c>
      <c r="B3772" t="str">
        <f>T("Préparations lubrifiantes, y.c. huiles de coupe, préparations pour le dégrippage des écrous, préparations antirouille ou anticorrosion, préparations pour le démoulage, à base de lubrifiants, contenant des huiles de pétrole ou de minéraux bitumineux (sauf")</f>
        <v>Préparations lubrifiantes, y.c. huiles de coupe, préparations pour le dégrippage des écrous, préparations antirouille ou anticorrosion, préparations pour le démoulage, à base de lubrifiants, contenant des huiles de pétrole ou de minéraux bitumineux (sauf</v>
      </c>
    </row>
    <row r="3773" spans="1:4" x14ac:dyDescent="0.25">
      <c r="A3773" t="str">
        <f>T("   ZZZ_Monde")</f>
        <v xml:space="preserve">   ZZZ_Monde</v>
      </c>
      <c r="B3773" t="str">
        <f>T("   ZZZ_Monde")</f>
        <v xml:space="preserve">   ZZZ_Monde</v>
      </c>
      <c r="C3773">
        <v>36516369</v>
      </c>
      <c r="D3773">
        <v>24132</v>
      </c>
    </row>
    <row r="3774" spans="1:4" x14ac:dyDescent="0.25">
      <c r="A3774" t="str">
        <f>T("   BE")</f>
        <v xml:space="preserve">   BE</v>
      </c>
      <c r="B3774" t="str">
        <f>T("   Belgique")</f>
        <v xml:space="preserve">   Belgique</v>
      </c>
      <c r="C3774">
        <v>989843</v>
      </c>
      <c r="D3774">
        <v>244</v>
      </c>
    </row>
    <row r="3775" spans="1:4" x14ac:dyDescent="0.25">
      <c r="A3775" t="str">
        <f>T("   FR")</f>
        <v xml:space="preserve">   FR</v>
      </c>
      <c r="B3775" t="str">
        <f>T("   France")</f>
        <v xml:space="preserve">   France</v>
      </c>
      <c r="C3775">
        <v>34601622</v>
      </c>
      <c r="D3775">
        <v>23812</v>
      </c>
    </row>
    <row r="3776" spans="1:4" x14ac:dyDescent="0.25">
      <c r="A3776" t="str">
        <f>T("   NL")</f>
        <v xml:space="preserve">   NL</v>
      </c>
      <c r="B3776" t="str">
        <f>T("   Pays-bas")</f>
        <v xml:space="preserve">   Pays-bas</v>
      </c>
      <c r="C3776">
        <v>924904</v>
      </c>
      <c r="D3776">
        <v>76</v>
      </c>
    </row>
    <row r="3777" spans="1:4" x14ac:dyDescent="0.25">
      <c r="A3777" t="str">
        <f>T("340399")</f>
        <v>340399</v>
      </c>
      <c r="B3777" t="str">
        <f>T("Préparations lubrifiantes, y.c. les huiles de coupe, les préparations pour le dégrippage des écrous, les préparations antirouille ou anticorrosion et les préparations pour le démoulage, à base de lubrifiants, ne contenant pas d'huiles de pétrole ou de min")</f>
        <v>Préparations lubrifiantes, y.c. les huiles de coupe, les préparations pour le dégrippage des écrous, les préparations antirouille ou anticorrosion et les préparations pour le démoulage, à base de lubrifiants, ne contenant pas d'huiles de pétrole ou de min</v>
      </c>
    </row>
    <row r="3778" spans="1:4" x14ac:dyDescent="0.25">
      <c r="A3778" t="str">
        <f>T("   ZZZ_Monde")</f>
        <v xml:space="preserve">   ZZZ_Monde</v>
      </c>
      <c r="B3778" t="str">
        <f>T("   ZZZ_Monde")</f>
        <v xml:space="preserve">   ZZZ_Monde</v>
      </c>
      <c r="C3778">
        <v>81818918</v>
      </c>
      <c r="D3778">
        <v>70181.539999999994</v>
      </c>
    </row>
    <row r="3779" spans="1:4" x14ac:dyDescent="0.25">
      <c r="A3779" t="str">
        <f>T("   AT")</f>
        <v xml:space="preserve">   AT</v>
      </c>
      <c r="B3779" t="str">
        <f>T("   Autriche")</f>
        <v xml:space="preserve">   Autriche</v>
      </c>
      <c r="C3779">
        <v>1681225</v>
      </c>
      <c r="D3779">
        <v>87</v>
      </c>
    </row>
    <row r="3780" spans="1:4" x14ac:dyDescent="0.25">
      <c r="A3780" t="str">
        <f>T("   BE")</f>
        <v xml:space="preserve">   BE</v>
      </c>
      <c r="B3780" t="str">
        <f>T("   Belgique")</f>
        <v xml:space="preserve">   Belgique</v>
      </c>
      <c r="C3780">
        <v>135836</v>
      </c>
      <c r="D3780">
        <v>3</v>
      </c>
    </row>
    <row r="3781" spans="1:4" x14ac:dyDescent="0.25">
      <c r="A3781" t="str">
        <f>T("   DE")</f>
        <v xml:space="preserve">   DE</v>
      </c>
      <c r="B3781" t="str">
        <f>T("   Allemagne")</f>
        <v xml:space="preserve">   Allemagne</v>
      </c>
      <c r="C3781">
        <v>864036</v>
      </c>
      <c r="D3781">
        <v>25</v>
      </c>
    </row>
    <row r="3782" spans="1:4" x14ac:dyDescent="0.25">
      <c r="A3782" t="str">
        <f>T("   FR")</f>
        <v xml:space="preserve">   FR</v>
      </c>
      <c r="B3782" t="str">
        <f>T("   France")</f>
        <v xml:space="preserve">   France</v>
      </c>
      <c r="C3782">
        <v>49133686</v>
      </c>
      <c r="D3782">
        <v>21719</v>
      </c>
    </row>
    <row r="3783" spans="1:4" x14ac:dyDescent="0.25">
      <c r="A3783" t="str">
        <f>T("   IT")</f>
        <v xml:space="preserve">   IT</v>
      </c>
      <c r="B3783" t="str">
        <f>T("   Italie")</f>
        <v xml:space="preserve">   Italie</v>
      </c>
      <c r="C3783">
        <v>29944574</v>
      </c>
      <c r="D3783">
        <v>48325</v>
      </c>
    </row>
    <row r="3784" spans="1:4" x14ac:dyDescent="0.25">
      <c r="A3784" t="str">
        <f>T("   SA")</f>
        <v xml:space="preserve">   SA</v>
      </c>
      <c r="B3784" t="str">
        <f>T("   Arabie Saoudite")</f>
        <v xml:space="preserve">   Arabie Saoudite</v>
      </c>
      <c r="C3784">
        <v>59561</v>
      </c>
      <c r="D3784">
        <v>22.54</v>
      </c>
    </row>
    <row r="3785" spans="1:4" x14ac:dyDescent="0.25">
      <c r="A3785" t="str">
        <f>T("340420")</f>
        <v>340420</v>
      </c>
      <c r="B3785" t="str">
        <f>T("CIRES DE POLY'OXYÉTHYLÈNE' [POLYÉTHYLÈNE-GLYCOL]")</f>
        <v>CIRES DE POLY'OXYÉTHYLÈNE' [POLYÉTHYLÈNE-GLYCOL]</v>
      </c>
    </row>
    <row r="3786" spans="1:4" x14ac:dyDescent="0.25">
      <c r="A3786" t="str">
        <f>T("   ZZZ_Monde")</f>
        <v xml:space="preserve">   ZZZ_Monde</v>
      </c>
      <c r="B3786" t="str">
        <f>T("   ZZZ_Monde")</f>
        <v xml:space="preserve">   ZZZ_Monde</v>
      </c>
      <c r="C3786">
        <v>26579284</v>
      </c>
      <c r="D3786">
        <v>52545</v>
      </c>
    </row>
    <row r="3787" spans="1:4" x14ac:dyDescent="0.25">
      <c r="A3787" t="str">
        <f>T("   CN")</f>
        <v xml:space="preserve">   CN</v>
      </c>
      <c r="B3787" t="str">
        <f>T("   Chine")</f>
        <v xml:space="preserve">   Chine</v>
      </c>
      <c r="C3787">
        <v>12484671</v>
      </c>
      <c r="D3787">
        <v>35955</v>
      </c>
    </row>
    <row r="3788" spans="1:4" x14ac:dyDescent="0.25">
      <c r="A3788" t="str">
        <f>T("   FR")</f>
        <v xml:space="preserve">   FR</v>
      </c>
      <c r="B3788" t="str">
        <f>T("   France")</f>
        <v xml:space="preserve">   France</v>
      </c>
      <c r="C3788">
        <v>14094613</v>
      </c>
      <c r="D3788">
        <v>16590</v>
      </c>
    </row>
    <row r="3789" spans="1:4" x14ac:dyDescent="0.25">
      <c r="A3789" t="str">
        <f>T("340490")</f>
        <v>340490</v>
      </c>
      <c r="B3789" t="s">
        <v>15</v>
      </c>
    </row>
    <row r="3790" spans="1:4" x14ac:dyDescent="0.25">
      <c r="A3790" t="str">
        <f>T("   ZZZ_Monde")</f>
        <v xml:space="preserve">   ZZZ_Monde</v>
      </c>
      <c r="B3790" t="str">
        <f>T("   ZZZ_Monde")</f>
        <v xml:space="preserve">   ZZZ_Monde</v>
      </c>
      <c r="C3790">
        <v>1919995</v>
      </c>
      <c r="D3790">
        <v>1000</v>
      </c>
    </row>
    <row r="3791" spans="1:4" x14ac:dyDescent="0.25">
      <c r="A3791" t="str">
        <f>T("   BE")</f>
        <v xml:space="preserve">   BE</v>
      </c>
      <c r="B3791" t="str">
        <f>T("   Belgique")</f>
        <v xml:space="preserve">   Belgique</v>
      </c>
      <c r="C3791">
        <v>1919995</v>
      </c>
      <c r="D3791">
        <v>1000</v>
      </c>
    </row>
    <row r="3792" spans="1:4" x14ac:dyDescent="0.25">
      <c r="A3792" t="str">
        <f>T("340510")</f>
        <v>340510</v>
      </c>
      <c r="B3792" t="str">
        <f>T("Cirages, crèmes et préparations simil. pour l'entretien des chaussures ou du cuir, même sous forme de papier, ouates, feutres, nontissés, matière plastique ou caoutchouc alvéolaires, imprégnés, enduits ou recouverts de ces préparations (à l'excl. des cire")</f>
        <v>Cirages, crèmes et préparations simil. pour l'entretien des chaussures ou du cuir, même sous forme de papier, ouates, feutres, nontissés, matière plastique ou caoutchouc alvéolaires, imprégnés, enduits ou recouverts de ces préparations (à l'excl. des cire</v>
      </c>
    </row>
    <row r="3793" spans="1:4" x14ac:dyDescent="0.25">
      <c r="A3793" t="str">
        <f>T("   ZZZ_Monde")</f>
        <v xml:space="preserve">   ZZZ_Monde</v>
      </c>
      <c r="B3793" t="str">
        <f>T("   ZZZ_Monde")</f>
        <v xml:space="preserve">   ZZZ_Monde</v>
      </c>
      <c r="C3793">
        <v>12326421</v>
      </c>
      <c r="D3793">
        <v>26776</v>
      </c>
    </row>
    <row r="3794" spans="1:4" x14ac:dyDescent="0.25">
      <c r="A3794" t="str">
        <f>T("   CN")</f>
        <v xml:space="preserve">   CN</v>
      </c>
      <c r="B3794" t="str">
        <f>T("   Chine")</f>
        <v xml:space="preserve">   Chine</v>
      </c>
      <c r="C3794">
        <v>2780863</v>
      </c>
      <c r="D3794">
        <v>13950</v>
      </c>
    </row>
    <row r="3795" spans="1:4" x14ac:dyDescent="0.25">
      <c r="A3795" t="str">
        <f>T("   FR")</f>
        <v xml:space="preserve">   FR</v>
      </c>
      <c r="B3795" t="str">
        <f>T("   France")</f>
        <v xml:space="preserve">   France</v>
      </c>
      <c r="C3795">
        <v>7831506</v>
      </c>
      <c r="D3795">
        <v>9931</v>
      </c>
    </row>
    <row r="3796" spans="1:4" x14ac:dyDescent="0.25">
      <c r="A3796" t="str">
        <f>T("   NG")</f>
        <v xml:space="preserve">   NG</v>
      </c>
      <c r="B3796" t="str">
        <f>T("   Nigéria")</f>
        <v xml:space="preserve">   Nigéria</v>
      </c>
      <c r="C3796">
        <v>29750</v>
      </c>
      <c r="D3796">
        <v>50</v>
      </c>
    </row>
    <row r="3797" spans="1:4" x14ac:dyDescent="0.25">
      <c r="A3797" t="str">
        <f>T("   NL")</f>
        <v xml:space="preserve">   NL</v>
      </c>
      <c r="B3797" t="str">
        <f>T("   Pays-bas")</f>
        <v xml:space="preserve">   Pays-bas</v>
      </c>
      <c r="C3797">
        <v>1084302</v>
      </c>
      <c r="D3797">
        <v>345</v>
      </c>
    </row>
    <row r="3798" spans="1:4" x14ac:dyDescent="0.25">
      <c r="A3798" t="str">
        <f>T("   TG")</f>
        <v xml:space="preserve">   TG</v>
      </c>
      <c r="B3798" t="str">
        <f>T("   Togo")</f>
        <v xml:space="preserve">   Togo</v>
      </c>
      <c r="C3798">
        <v>600000</v>
      </c>
      <c r="D3798">
        <v>2500</v>
      </c>
    </row>
    <row r="3799" spans="1:4" x14ac:dyDescent="0.25">
      <c r="A3799" t="str">
        <f>T("340520")</f>
        <v>340520</v>
      </c>
      <c r="B3799" t="str">
        <f>T("Encaustiques et préparations simil. pour l'entretien des meubles en bois, des parquets ou d'autres boiseries, même sous forme de papier, ouates, feutres, nontissés, matière plastique ou caoutchouc alvéolaires, imprégnés, enduits ou recouverts de ces prépa")</f>
        <v>Encaustiques et préparations simil. pour l'entretien des meubles en bois, des parquets ou d'autres boiseries, même sous forme de papier, ouates, feutres, nontissés, matière plastique ou caoutchouc alvéolaires, imprégnés, enduits ou recouverts de ces prépa</v>
      </c>
    </row>
    <row r="3800" spans="1:4" x14ac:dyDescent="0.25">
      <c r="A3800" t="str">
        <f>T("   ZZZ_Monde")</f>
        <v xml:space="preserve">   ZZZ_Monde</v>
      </c>
      <c r="B3800" t="str">
        <f>T("   ZZZ_Monde")</f>
        <v xml:space="preserve">   ZZZ_Monde</v>
      </c>
      <c r="C3800">
        <v>7773784</v>
      </c>
      <c r="D3800">
        <v>2303</v>
      </c>
    </row>
    <row r="3801" spans="1:4" x14ac:dyDescent="0.25">
      <c r="A3801" t="str">
        <f>T("   ES")</f>
        <v xml:space="preserve">   ES</v>
      </c>
      <c r="B3801" t="str">
        <f>T("   Espagne")</f>
        <v xml:space="preserve">   Espagne</v>
      </c>
      <c r="C3801">
        <v>274848</v>
      </c>
      <c r="D3801">
        <v>760</v>
      </c>
    </row>
    <row r="3802" spans="1:4" x14ac:dyDescent="0.25">
      <c r="A3802" t="str">
        <f>T("   FR")</f>
        <v xml:space="preserve">   FR</v>
      </c>
      <c r="B3802" t="str">
        <f>T("   France")</f>
        <v xml:space="preserve">   France</v>
      </c>
      <c r="C3802">
        <v>7317891</v>
      </c>
      <c r="D3802">
        <v>1485</v>
      </c>
    </row>
    <row r="3803" spans="1:4" x14ac:dyDescent="0.25">
      <c r="A3803" t="str">
        <f>T("   NL")</f>
        <v xml:space="preserve">   NL</v>
      </c>
      <c r="B3803" t="str">
        <f>T("   Pays-bas")</f>
        <v xml:space="preserve">   Pays-bas</v>
      </c>
      <c r="C3803">
        <v>181045</v>
      </c>
      <c r="D3803">
        <v>58</v>
      </c>
    </row>
    <row r="3804" spans="1:4" x14ac:dyDescent="0.25">
      <c r="A3804" t="str">
        <f>T("340530")</f>
        <v>340530</v>
      </c>
      <c r="B3804" t="str">
        <f>T("Brillants et préparations simil. pour carrosseries, même sous forme de papier, ouates, feutres, nontissés, matière plastique ou caoutchouc alvéolaires, imprégnés, enduits ou recouverts de ces préparations (à l'excl. des brillants pour métaux et des cires")</f>
        <v>Brillants et préparations simil. pour carrosseries, même sous forme de papier, ouates, feutres, nontissés, matière plastique ou caoutchouc alvéolaires, imprégnés, enduits ou recouverts de ces préparations (à l'excl. des brillants pour métaux et des cires</v>
      </c>
    </row>
    <row r="3805" spans="1:4" x14ac:dyDescent="0.25">
      <c r="A3805" t="str">
        <f>T("   ZZZ_Monde")</f>
        <v xml:space="preserve">   ZZZ_Monde</v>
      </c>
      <c r="B3805" t="str">
        <f>T("   ZZZ_Monde")</f>
        <v xml:space="preserve">   ZZZ_Monde</v>
      </c>
      <c r="C3805">
        <v>23426307</v>
      </c>
      <c r="D3805">
        <v>11239</v>
      </c>
    </row>
    <row r="3806" spans="1:4" x14ac:dyDescent="0.25">
      <c r="A3806" t="str">
        <f>T("   ES")</f>
        <v xml:space="preserve">   ES</v>
      </c>
      <c r="B3806" t="str">
        <f>T("   Espagne")</f>
        <v xml:space="preserve">   Espagne</v>
      </c>
      <c r="C3806">
        <v>73113</v>
      </c>
      <c r="D3806">
        <v>279</v>
      </c>
    </row>
    <row r="3807" spans="1:4" x14ac:dyDescent="0.25">
      <c r="A3807" t="str">
        <f>T("   FR")</f>
        <v xml:space="preserve">   FR</v>
      </c>
      <c r="B3807" t="str">
        <f>T("   France")</f>
        <v xml:space="preserve">   France</v>
      </c>
      <c r="C3807">
        <v>13559351</v>
      </c>
      <c r="D3807">
        <v>3637</v>
      </c>
    </row>
    <row r="3808" spans="1:4" x14ac:dyDescent="0.25">
      <c r="A3808" t="str">
        <f>T("   HK")</f>
        <v xml:space="preserve">   HK</v>
      </c>
      <c r="B3808" t="str">
        <f>T("   Hong-Kong")</f>
        <v xml:space="preserve">   Hong-Kong</v>
      </c>
      <c r="C3808">
        <v>4170664</v>
      </c>
      <c r="D3808">
        <v>2320</v>
      </c>
    </row>
    <row r="3809" spans="1:4" x14ac:dyDescent="0.25">
      <c r="A3809" t="str">
        <f>T("   ID")</f>
        <v xml:space="preserve">   ID</v>
      </c>
      <c r="B3809" t="str">
        <f>T("   Indonésie")</f>
        <v xml:space="preserve">   Indonésie</v>
      </c>
      <c r="C3809">
        <v>5623179</v>
      </c>
      <c r="D3809">
        <v>5003</v>
      </c>
    </row>
    <row r="3810" spans="1:4" x14ac:dyDescent="0.25">
      <c r="A3810" t="str">
        <f>T("340540")</f>
        <v>340540</v>
      </c>
      <c r="B3810" t="str">
        <f>T("Pâtes, poudres et autres préparations à récurer, même sous forme de papier, ouates, feutres, nontissés, matière plastique ou caoutchouc alvéolaires, imprégnés, enduits ou recouverts de ces préparations")</f>
        <v>Pâtes, poudres et autres préparations à récurer, même sous forme de papier, ouates, feutres, nontissés, matière plastique ou caoutchouc alvéolaires, imprégnés, enduits ou recouverts de ces préparations</v>
      </c>
    </row>
    <row r="3811" spans="1:4" x14ac:dyDescent="0.25">
      <c r="A3811" t="str">
        <f>T("   ZZZ_Monde")</f>
        <v xml:space="preserve">   ZZZ_Monde</v>
      </c>
      <c r="B3811" t="str">
        <f>T("   ZZZ_Monde")</f>
        <v xml:space="preserve">   ZZZ_Monde</v>
      </c>
      <c r="C3811">
        <v>24445648</v>
      </c>
      <c r="D3811">
        <v>47183</v>
      </c>
    </row>
    <row r="3812" spans="1:4" x14ac:dyDescent="0.25">
      <c r="A3812" t="str">
        <f>T("   BE")</f>
        <v xml:space="preserve">   BE</v>
      </c>
      <c r="B3812" t="str">
        <f>T("   Belgique")</f>
        <v xml:space="preserve">   Belgique</v>
      </c>
      <c r="C3812">
        <v>4661833</v>
      </c>
      <c r="D3812">
        <v>8098</v>
      </c>
    </row>
    <row r="3813" spans="1:4" x14ac:dyDescent="0.25">
      <c r="A3813" t="str">
        <f>T("   ES")</f>
        <v xml:space="preserve">   ES</v>
      </c>
      <c r="B3813" t="str">
        <f>T("   Espagne")</f>
        <v xml:space="preserve">   Espagne</v>
      </c>
      <c r="C3813">
        <v>3371233</v>
      </c>
      <c r="D3813">
        <v>16600</v>
      </c>
    </row>
    <row r="3814" spans="1:4" x14ac:dyDescent="0.25">
      <c r="A3814" t="str">
        <f>T("   FR")</f>
        <v xml:space="preserve">   FR</v>
      </c>
      <c r="B3814" t="str">
        <f>T("   France")</f>
        <v xml:space="preserve">   France</v>
      </c>
      <c r="C3814">
        <v>6929785</v>
      </c>
      <c r="D3814">
        <v>13505</v>
      </c>
    </row>
    <row r="3815" spans="1:4" x14ac:dyDescent="0.25">
      <c r="A3815" t="str">
        <f>T("   NG")</f>
        <v xml:space="preserve">   NG</v>
      </c>
      <c r="B3815" t="str">
        <f>T("   Nigéria")</f>
        <v xml:space="preserve">   Nigéria</v>
      </c>
      <c r="C3815">
        <v>189600</v>
      </c>
      <c r="D3815">
        <v>480</v>
      </c>
    </row>
    <row r="3816" spans="1:4" x14ac:dyDescent="0.25">
      <c r="A3816" t="str">
        <f>T("   SN")</f>
        <v xml:space="preserve">   SN</v>
      </c>
      <c r="B3816" t="str">
        <f>T("   Sénégal")</f>
        <v xml:space="preserve">   Sénégal</v>
      </c>
      <c r="C3816">
        <v>9293197</v>
      </c>
      <c r="D3816">
        <v>8500</v>
      </c>
    </row>
    <row r="3817" spans="1:4" x14ac:dyDescent="0.25">
      <c r="A3817" t="str">
        <f>T("340590")</f>
        <v>340590</v>
      </c>
      <c r="B3817" t="str">
        <f>T("Brillants pour verre ou métaux, même sous forme de papier, ouates, feutres, nontissés, matière plastique ou caoutchouc alvéolaires, imprégnés, enduits ou recouverts de ces préparations")</f>
        <v>Brillants pour verre ou métaux, même sous forme de papier, ouates, feutres, nontissés, matière plastique ou caoutchouc alvéolaires, imprégnés, enduits ou recouverts de ces préparations</v>
      </c>
    </row>
    <row r="3818" spans="1:4" x14ac:dyDescent="0.25">
      <c r="A3818" t="str">
        <f>T("   ZZZ_Monde")</f>
        <v xml:space="preserve">   ZZZ_Monde</v>
      </c>
      <c r="B3818" t="str">
        <f>T("   ZZZ_Monde")</f>
        <v xml:space="preserve">   ZZZ_Monde</v>
      </c>
      <c r="C3818">
        <v>7522982</v>
      </c>
      <c r="D3818">
        <v>7842</v>
      </c>
    </row>
    <row r="3819" spans="1:4" x14ac:dyDescent="0.25">
      <c r="A3819" t="str">
        <f>T("   BE")</f>
        <v xml:space="preserve">   BE</v>
      </c>
      <c r="B3819" t="str">
        <f>T("   Belgique")</f>
        <v xml:space="preserve">   Belgique</v>
      </c>
      <c r="C3819">
        <v>516897</v>
      </c>
      <c r="D3819">
        <v>332</v>
      </c>
    </row>
    <row r="3820" spans="1:4" x14ac:dyDescent="0.25">
      <c r="A3820" t="str">
        <f>T("   DE")</f>
        <v xml:space="preserve">   DE</v>
      </c>
      <c r="B3820" t="str">
        <f>T("   Allemagne")</f>
        <v xml:space="preserve">   Allemagne</v>
      </c>
      <c r="C3820">
        <v>31663</v>
      </c>
      <c r="D3820">
        <v>1</v>
      </c>
    </row>
    <row r="3821" spans="1:4" x14ac:dyDescent="0.25">
      <c r="A3821" t="str">
        <f>T("   FR")</f>
        <v xml:space="preserve">   FR</v>
      </c>
      <c r="B3821" t="str">
        <f>T("   France")</f>
        <v xml:space="preserve">   France</v>
      </c>
      <c r="C3821">
        <v>5281789</v>
      </c>
      <c r="D3821">
        <v>2314</v>
      </c>
    </row>
    <row r="3822" spans="1:4" x14ac:dyDescent="0.25">
      <c r="A3822" t="str">
        <f>T("   LB")</f>
        <v xml:space="preserve">   LB</v>
      </c>
      <c r="B3822" t="str">
        <f>T("   Liban")</f>
        <v xml:space="preserve">   Liban</v>
      </c>
      <c r="C3822">
        <v>108990</v>
      </c>
      <c r="D3822">
        <v>1184</v>
      </c>
    </row>
    <row r="3823" spans="1:4" x14ac:dyDescent="0.25">
      <c r="A3823" t="str">
        <f>T("   TR")</f>
        <v xml:space="preserve">   TR</v>
      </c>
      <c r="B3823" t="str">
        <f>T("   Turquie")</f>
        <v xml:space="preserve">   Turquie</v>
      </c>
      <c r="C3823">
        <v>1583643</v>
      </c>
      <c r="D3823">
        <v>4011</v>
      </c>
    </row>
    <row r="3824" spans="1:4" x14ac:dyDescent="0.25">
      <c r="A3824" t="str">
        <f>T("340600")</f>
        <v>340600</v>
      </c>
      <c r="B3824" t="str">
        <f>T("Bougies, chandelles, cierges et articles simil.")</f>
        <v>Bougies, chandelles, cierges et articles simil.</v>
      </c>
    </row>
    <row r="3825" spans="1:4" x14ac:dyDescent="0.25">
      <c r="A3825" t="str">
        <f>T("   ZZZ_Monde")</f>
        <v xml:space="preserve">   ZZZ_Monde</v>
      </c>
      <c r="B3825" t="str">
        <f>T("   ZZZ_Monde")</f>
        <v xml:space="preserve">   ZZZ_Monde</v>
      </c>
      <c r="C3825">
        <v>184234334</v>
      </c>
      <c r="D3825">
        <v>768914.23</v>
      </c>
    </row>
    <row r="3826" spans="1:4" x14ac:dyDescent="0.25">
      <c r="A3826" t="str">
        <f>T("   BE")</f>
        <v xml:space="preserve">   BE</v>
      </c>
      <c r="B3826" t="str">
        <f>T("   Belgique")</f>
        <v xml:space="preserve">   Belgique</v>
      </c>
      <c r="C3826">
        <v>1049536</v>
      </c>
      <c r="D3826">
        <v>435</v>
      </c>
    </row>
    <row r="3827" spans="1:4" x14ac:dyDescent="0.25">
      <c r="A3827" t="str">
        <f>T("   CN")</f>
        <v xml:space="preserve">   CN</v>
      </c>
      <c r="B3827" t="str">
        <f>T("   Chine")</f>
        <v xml:space="preserve">   Chine</v>
      </c>
      <c r="C3827">
        <v>60268422</v>
      </c>
      <c r="D3827">
        <v>275007</v>
      </c>
    </row>
    <row r="3828" spans="1:4" x14ac:dyDescent="0.25">
      <c r="A3828" t="str">
        <f>T("   FR")</f>
        <v xml:space="preserve">   FR</v>
      </c>
      <c r="B3828" t="str">
        <f>T("   France")</f>
        <v xml:space="preserve">   France</v>
      </c>
      <c r="C3828">
        <v>23215884</v>
      </c>
      <c r="D3828">
        <v>17109.23</v>
      </c>
    </row>
    <row r="3829" spans="1:4" x14ac:dyDescent="0.25">
      <c r="A3829" t="str">
        <f>T("   GH")</f>
        <v xml:space="preserve">   GH</v>
      </c>
      <c r="B3829" t="str">
        <f>T("   Ghana")</f>
        <v xml:space="preserve">   Ghana</v>
      </c>
      <c r="C3829">
        <v>1550000</v>
      </c>
      <c r="D3829">
        <v>7600</v>
      </c>
    </row>
    <row r="3830" spans="1:4" x14ac:dyDescent="0.25">
      <c r="A3830" t="str">
        <f>T("   IN")</f>
        <v xml:space="preserve">   IN</v>
      </c>
      <c r="B3830" t="str">
        <f>T("   Inde")</f>
        <v xml:space="preserve">   Inde</v>
      </c>
      <c r="C3830">
        <v>74600</v>
      </c>
      <c r="D3830">
        <v>50</v>
      </c>
    </row>
    <row r="3831" spans="1:4" x14ac:dyDescent="0.25">
      <c r="A3831" t="str">
        <f>T("   IT")</f>
        <v xml:space="preserve">   IT</v>
      </c>
      <c r="B3831" t="str">
        <f>T("   Italie")</f>
        <v xml:space="preserve">   Italie</v>
      </c>
      <c r="C3831">
        <v>9825152</v>
      </c>
      <c r="D3831">
        <v>36090</v>
      </c>
    </row>
    <row r="3832" spans="1:4" x14ac:dyDescent="0.25">
      <c r="A3832" t="str">
        <f>T("   NG")</f>
        <v xml:space="preserve">   NG</v>
      </c>
      <c r="B3832" t="str">
        <f>T("   Nigéria")</f>
        <v xml:space="preserve">   Nigéria</v>
      </c>
      <c r="C3832">
        <v>22119710</v>
      </c>
      <c r="D3832">
        <v>51884</v>
      </c>
    </row>
    <row r="3833" spans="1:4" x14ac:dyDescent="0.25">
      <c r="A3833" t="str">
        <f>T("   TG")</f>
        <v xml:space="preserve">   TG</v>
      </c>
      <c r="B3833" t="str">
        <f>T("   Togo")</f>
        <v xml:space="preserve">   Togo</v>
      </c>
      <c r="C3833">
        <v>66131030</v>
      </c>
      <c r="D3833">
        <v>380739</v>
      </c>
    </row>
    <row r="3834" spans="1:4" x14ac:dyDescent="0.25">
      <c r="A3834" t="str">
        <f>T("350110")</f>
        <v>350110</v>
      </c>
      <c r="B3834" t="str">
        <f>T("Caséines")</f>
        <v>Caséines</v>
      </c>
    </row>
    <row r="3835" spans="1:4" x14ac:dyDescent="0.25">
      <c r="A3835" t="str">
        <f>T("   ZZZ_Monde")</f>
        <v xml:space="preserve">   ZZZ_Monde</v>
      </c>
      <c r="B3835" t="str">
        <f>T("   ZZZ_Monde")</f>
        <v xml:space="preserve">   ZZZ_Monde</v>
      </c>
      <c r="C3835">
        <v>17905</v>
      </c>
      <c r="D3835">
        <v>80</v>
      </c>
    </row>
    <row r="3836" spans="1:4" x14ac:dyDescent="0.25">
      <c r="A3836" t="str">
        <f>T("   TG")</f>
        <v xml:space="preserve">   TG</v>
      </c>
      <c r="B3836" t="str">
        <f>T("   Togo")</f>
        <v xml:space="preserve">   Togo</v>
      </c>
      <c r="C3836">
        <v>17905</v>
      </c>
      <c r="D3836">
        <v>80</v>
      </c>
    </row>
    <row r="3837" spans="1:4" x14ac:dyDescent="0.25">
      <c r="A3837" t="str">
        <f>T("350190")</f>
        <v>350190</v>
      </c>
      <c r="B3837" t="str">
        <f>T("Caséinates et autres dérivés des caséines; colles de caséine (à l'excl. des produits conditionnés pour la vente au détail comme colles et d'un poids net &lt;= 1 kg)")</f>
        <v>Caséinates et autres dérivés des caséines; colles de caséine (à l'excl. des produits conditionnés pour la vente au détail comme colles et d'un poids net &lt;= 1 kg)</v>
      </c>
    </row>
    <row r="3838" spans="1:4" x14ac:dyDescent="0.25">
      <c r="A3838" t="str">
        <f>T("   ZZZ_Monde")</f>
        <v xml:space="preserve">   ZZZ_Monde</v>
      </c>
      <c r="B3838" t="str">
        <f>T("   ZZZ_Monde")</f>
        <v xml:space="preserve">   ZZZ_Monde</v>
      </c>
      <c r="C3838">
        <v>81567685</v>
      </c>
      <c r="D3838">
        <v>27422</v>
      </c>
    </row>
    <row r="3839" spans="1:4" x14ac:dyDescent="0.25">
      <c r="A3839" t="str">
        <f>T("   FR")</f>
        <v xml:space="preserve">   FR</v>
      </c>
      <c r="B3839" t="str">
        <f>T("   France")</f>
        <v xml:space="preserve">   France</v>
      </c>
      <c r="C3839">
        <v>52347576</v>
      </c>
      <c r="D3839">
        <v>17580</v>
      </c>
    </row>
    <row r="3840" spans="1:4" x14ac:dyDescent="0.25">
      <c r="A3840" t="str">
        <f>T("   IE")</f>
        <v xml:space="preserve">   IE</v>
      </c>
      <c r="B3840" t="str">
        <f>T("   Irlande")</f>
        <v xml:space="preserve">   Irlande</v>
      </c>
      <c r="C3840">
        <v>28929200</v>
      </c>
      <c r="D3840">
        <v>9012</v>
      </c>
    </row>
    <row r="3841" spans="1:4" x14ac:dyDescent="0.25">
      <c r="A3841" t="str">
        <f>T("   TG")</f>
        <v xml:space="preserve">   TG</v>
      </c>
      <c r="B3841" t="str">
        <f>T("   Togo")</f>
        <v xml:space="preserve">   Togo</v>
      </c>
      <c r="C3841">
        <v>290909</v>
      </c>
      <c r="D3841">
        <v>830</v>
      </c>
    </row>
    <row r="3842" spans="1:4" x14ac:dyDescent="0.25">
      <c r="A3842" t="str">
        <f>T("350510")</f>
        <v>350510</v>
      </c>
      <c r="B3842" t="str">
        <f>T("DEXTRINE ET AUTRES AMIDONS ET FÉCULES MODIFIÉS [LES AMIDONS ET FÉCULES PRÉ-GÉLATINISÉS OU ESTÉRIFIÉS, P.EX.]")</f>
        <v>DEXTRINE ET AUTRES AMIDONS ET FÉCULES MODIFIÉS [LES AMIDONS ET FÉCULES PRÉ-GÉLATINISÉS OU ESTÉRIFIÉS, P.EX.]</v>
      </c>
    </row>
    <row r="3843" spans="1:4" x14ac:dyDescent="0.25">
      <c r="A3843" t="str">
        <f>T("   ZZZ_Monde")</f>
        <v xml:space="preserve">   ZZZ_Monde</v>
      </c>
      <c r="B3843" t="str">
        <f>T("   ZZZ_Monde")</f>
        <v xml:space="preserve">   ZZZ_Monde</v>
      </c>
      <c r="C3843">
        <v>142387850</v>
      </c>
      <c r="D3843">
        <v>187769</v>
      </c>
    </row>
    <row r="3844" spans="1:4" x14ac:dyDescent="0.25">
      <c r="A3844" t="str">
        <f>T("   BE")</f>
        <v xml:space="preserve">   BE</v>
      </c>
      <c r="B3844" t="str">
        <f>T("   Belgique")</f>
        <v xml:space="preserve">   Belgique</v>
      </c>
      <c r="C3844">
        <v>2071522</v>
      </c>
      <c r="D3844">
        <v>1</v>
      </c>
    </row>
    <row r="3845" spans="1:4" x14ac:dyDescent="0.25">
      <c r="A3845" t="str">
        <f>T("   CN")</f>
        <v xml:space="preserve">   CN</v>
      </c>
      <c r="B3845" t="str">
        <f>T("   Chine")</f>
        <v xml:space="preserve">   Chine</v>
      </c>
      <c r="C3845">
        <v>139677309</v>
      </c>
      <c r="D3845">
        <v>187524</v>
      </c>
    </row>
    <row r="3846" spans="1:4" x14ac:dyDescent="0.25">
      <c r="A3846" t="str">
        <f>T("   ES")</f>
        <v xml:space="preserve">   ES</v>
      </c>
      <c r="B3846" t="str">
        <f>T("   Espagne")</f>
        <v xml:space="preserve">   Espagne</v>
      </c>
      <c r="C3846">
        <v>36078</v>
      </c>
      <c r="D3846">
        <v>18</v>
      </c>
    </row>
    <row r="3847" spans="1:4" x14ac:dyDescent="0.25">
      <c r="A3847" t="str">
        <f>T("   FR")</f>
        <v xml:space="preserve">   FR</v>
      </c>
      <c r="B3847" t="str">
        <f>T("   France")</f>
        <v xml:space="preserve">   France</v>
      </c>
      <c r="C3847">
        <v>557941</v>
      </c>
      <c r="D3847">
        <v>76</v>
      </c>
    </row>
    <row r="3848" spans="1:4" x14ac:dyDescent="0.25">
      <c r="A3848" t="str">
        <f>T("   NG")</f>
        <v xml:space="preserve">   NG</v>
      </c>
      <c r="B3848" t="str">
        <f>T("   Nigéria")</f>
        <v xml:space="preserve">   Nigéria</v>
      </c>
      <c r="C3848">
        <v>45000</v>
      </c>
      <c r="D3848">
        <v>150</v>
      </c>
    </row>
    <row r="3849" spans="1:4" x14ac:dyDescent="0.25">
      <c r="A3849" t="str">
        <f>T("350520")</f>
        <v>350520</v>
      </c>
      <c r="B3849" t="str">
        <f>T("Colles à base d'amidons ou de fécules, de dextrine ou d'autres amidons ou fécules modifiés (à l'excl. des produits conditionnés pour la vente au détail comme colles et d'un poids net &lt;= 1 kg)")</f>
        <v>Colles à base d'amidons ou de fécules, de dextrine ou d'autres amidons ou fécules modifiés (à l'excl. des produits conditionnés pour la vente au détail comme colles et d'un poids net &lt;= 1 kg)</v>
      </c>
    </row>
    <row r="3850" spans="1:4" x14ac:dyDescent="0.25">
      <c r="A3850" t="str">
        <f>T("   ZZZ_Monde")</f>
        <v xml:space="preserve">   ZZZ_Monde</v>
      </c>
      <c r="B3850" t="str">
        <f>T("   ZZZ_Monde")</f>
        <v xml:space="preserve">   ZZZ_Monde</v>
      </c>
      <c r="C3850">
        <v>38246774</v>
      </c>
      <c r="D3850">
        <v>79367</v>
      </c>
    </row>
    <row r="3851" spans="1:4" x14ac:dyDescent="0.25">
      <c r="A3851" t="str">
        <f>T("   CN")</f>
        <v xml:space="preserve">   CN</v>
      </c>
      <c r="B3851" t="str">
        <f>T("   Chine")</f>
        <v xml:space="preserve">   Chine</v>
      </c>
      <c r="C3851">
        <v>11055953</v>
      </c>
      <c r="D3851">
        <v>42960</v>
      </c>
    </row>
    <row r="3852" spans="1:4" x14ac:dyDescent="0.25">
      <c r="A3852" t="str">
        <f>T("   FR")</f>
        <v xml:space="preserve">   FR</v>
      </c>
      <c r="B3852" t="str">
        <f>T("   France")</f>
        <v xml:space="preserve">   France</v>
      </c>
      <c r="C3852">
        <v>1381721</v>
      </c>
      <c r="D3852">
        <v>2466</v>
      </c>
    </row>
    <row r="3853" spans="1:4" x14ac:dyDescent="0.25">
      <c r="A3853" t="str">
        <f>T("   GB")</f>
        <v xml:space="preserve">   GB</v>
      </c>
      <c r="B3853" t="str">
        <f>T("   Royaume-Uni")</f>
        <v xml:space="preserve">   Royaume-Uni</v>
      </c>
      <c r="C3853">
        <v>4221018</v>
      </c>
      <c r="D3853">
        <v>2600</v>
      </c>
    </row>
    <row r="3854" spans="1:4" x14ac:dyDescent="0.25">
      <c r="A3854" t="str">
        <f>T("   IT")</f>
        <v xml:space="preserve">   IT</v>
      </c>
      <c r="B3854" t="str">
        <f>T("   Italie")</f>
        <v xml:space="preserve">   Italie</v>
      </c>
      <c r="C3854">
        <v>7490695</v>
      </c>
      <c r="D3854">
        <v>13705</v>
      </c>
    </row>
    <row r="3855" spans="1:4" x14ac:dyDescent="0.25">
      <c r="A3855" t="str">
        <f>T("   NL")</f>
        <v xml:space="preserve">   NL</v>
      </c>
      <c r="B3855" t="str">
        <f>T("   Pays-bas")</f>
        <v xml:space="preserve">   Pays-bas</v>
      </c>
      <c r="C3855">
        <v>14097387</v>
      </c>
      <c r="D3855">
        <v>17636</v>
      </c>
    </row>
    <row r="3856" spans="1:4" x14ac:dyDescent="0.25">
      <c r="A3856" t="str">
        <f>T("350610")</f>
        <v>350610</v>
      </c>
      <c r="B3856" t="str">
        <f>T("Produits de toute espèce à usage de colles ou d'adhésifs, conditionnés pour la vente au détail comme colles ou adhésifs, d'un poids net &lt;= 1 kg")</f>
        <v>Produits de toute espèce à usage de colles ou d'adhésifs, conditionnés pour la vente au détail comme colles ou adhésifs, d'un poids net &lt;= 1 kg</v>
      </c>
    </row>
    <row r="3857" spans="1:4" x14ac:dyDescent="0.25">
      <c r="A3857" t="str">
        <f>T("   ZZZ_Monde")</f>
        <v xml:space="preserve">   ZZZ_Monde</v>
      </c>
      <c r="B3857" t="str">
        <f>T("   ZZZ_Monde")</f>
        <v xml:space="preserve">   ZZZ_Monde</v>
      </c>
      <c r="C3857">
        <v>136406075</v>
      </c>
      <c r="D3857">
        <v>239117</v>
      </c>
    </row>
    <row r="3858" spans="1:4" x14ac:dyDescent="0.25">
      <c r="A3858" t="str">
        <f>T("   AE")</f>
        <v xml:space="preserve">   AE</v>
      </c>
      <c r="B3858" t="str">
        <f>T("   Emirats Arabes Unis")</f>
        <v xml:space="preserve">   Emirats Arabes Unis</v>
      </c>
      <c r="C3858">
        <v>8840081</v>
      </c>
      <c r="D3858">
        <v>5948</v>
      </c>
    </row>
    <row r="3859" spans="1:4" x14ac:dyDescent="0.25">
      <c r="A3859" t="str">
        <f>T("   BE")</f>
        <v xml:space="preserve">   BE</v>
      </c>
      <c r="B3859" t="str">
        <f>T("   Belgique")</f>
        <v xml:space="preserve">   Belgique</v>
      </c>
      <c r="C3859">
        <v>1388871</v>
      </c>
      <c r="D3859">
        <v>522</v>
      </c>
    </row>
    <row r="3860" spans="1:4" x14ac:dyDescent="0.25">
      <c r="A3860" t="str">
        <f>T("   CN")</f>
        <v xml:space="preserve">   CN</v>
      </c>
      <c r="B3860" t="str">
        <f>T("   Chine")</f>
        <v xml:space="preserve">   Chine</v>
      </c>
      <c r="C3860">
        <v>9069864</v>
      </c>
      <c r="D3860">
        <v>54702</v>
      </c>
    </row>
    <row r="3861" spans="1:4" x14ac:dyDescent="0.25">
      <c r="A3861" t="str">
        <f>T("   DE")</f>
        <v xml:space="preserve">   DE</v>
      </c>
      <c r="B3861" t="str">
        <f>T("   Allemagne")</f>
        <v xml:space="preserve">   Allemagne</v>
      </c>
      <c r="C3861">
        <v>230992</v>
      </c>
      <c r="D3861">
        <v>3</v>
      </c>
    </row>
    <row r="3862" spans="1:4" x14ac:dyDescent="0.25">
      <c r="A3862" t="str">
        <f>T("   FR")</f>
        <v xml:space="preserve">   FR</v>
      </c>
      <c r="B3862" t="str">
        <f>T("   France")</f>
        <v xml:space="preserve">   France</v>
      </c>
      <c r="C3862">
        <v>13872919</v>
      </c>
      <c r="D3862">
        <v>4405</v>
      </c>
    </row>
    <row r="3863" spans="1:4" x14ac:dyDescent="0.25">
      <c r="A3863" t="str">
        <f>T("   GH")</f>
        <v xml:space="preserve">   GH</v>
      </c>
      <c r="B3863" t="str">
        <f>T("   Ghana")</f>
        <v xml:space="preserve">   Ghana</v>
      </c>
      <c r="C3863">
        <v>900000</v>
      </c>
      <c r="D3863">
        <v>17288</v>
      </c>
    </row>
    <row r="3864" spans="1:4" x14ac:dyDescent="0.25">
      <c r="A3864" t="str">
        <f>T("   IT")</f>
        <v xml:space="preserve">   IT</v>
      </c>
      <c r="B3864" t="str">
        <f>T("   Italie")</f>
        <v xml:space="preserve">   Italie</v>
      </c>
      <c r="C3864">
        <v>52034381</v>
      </c>
      <c r="D3864">
        <v>107958</v>
      </c>
    </row>
    <row r="3865" spans="1:4" x14ac:dyDescent="0.25">
      <c r="A3865" t="str">
        <f>T("   NG")</f>
        <v xml:space="preserve">   NG</v>
      </c>
      <c r="B3865" t="str">
        <f>T("   Nigéria")</f>
        <v xml:space="preserve">   Nigéria</v>
      </c>
      <c r="C3865">
        <v>8395980</v>
      </c>
      <c r="D3865">
        <v>10786</v>
      </c>
    </row>
    <row r="3866" spans="1:4" x14ac:dyDescent="0.25">
      <c r="A3866" t="str">
        <f>T("   SG")</f>
        <v xml:space="preserve">   SG</v>
      </c>
      <c r="B3866" t="str">
        <f>T("   Singapour")</f>
        <v xml:space="preserve">   Singapour</v>
      </c>
      <c r="C3866">
        <v>355064</v>
      </c>
      <c r="D3866">
        <v>602</v>
      </c>
    </row>
    <row r="3867" spans="1:4" x14ac:dyDescent="0.25">
      <c r="A3867" t="str">
        <f>T("   TG")</f>
        <v xml:space="preserve">   TG</v>
      </c>
      <c r="B3867" t="str">
        <f>T("   Togo")</f>
        <v xml:space="preserve">   Togo</v>
      </c>
      <c r="C3867">
        <v>7364327</v>
      </c>
      <c r="D3867">
        <v>26080</v>
      </c>
    </row>
    <row r="3868" spans="1:4" x14ac:dyDescent="0.25">
      <c r="A3868" t="str">
        <f>T("   TN")</f>
        <v xml:space="preserve">   TN</v>
      </c>
      <c r="B3868" t="str">
        <f>T("   Tunisie")</f>
        <v xml:space="preserve">   Tunisie</v>
      </c>
      <c r="C3868">
        <v>33949866</v>
      </c>
      <c r="D3868">
        <v>10822</v>
      </c>
    </row>
    <row r="3869" spans="1:4" x14ac:dyDescent="0.25">
      <c r="A3869" t="str">
        <f>T("   US")</f>
        <v xml:space="preserve">   US</v>
      </c>
      <c r="B3869" t="str">
        <f>T("   Etats-Unis")</f>
        <v xml:space="preserve">   Etats-Unis</v>
      </c>
      <c r="C3869">
        <v>3730</v>
      </c>
      <c r="D3869">
        <v>1</v>
      </c>
    </row>
    <row r="3870" spans="1:4" x14ac:dyDescent="0.25">
      <c r="A3870" t="str">
        <f>T("350691")</f>
        <v>350691</v>
      </c>
      <c r="B3870" t="str">
        <f>T("Adhésifs à base de polymères du n° 3901 à 3913 ou de caoutchouc (à l'excl. des produits conditionnés pour la vente au détail comme colles ou adhésifs, d'un poids net &lt;= 1 kg)")</f>
        <v>Adhésifs à base de polymères du n° 3901 à 3913 ou de caoutchouc (à l'excl. des produits conditionnés pour la vente au détail comme colles ou adhésifs, d'un poids net &lt;= 1 kg)</v>
      </c>
    </row>
    <row r="3871" spans="1:4" x14ac:dyDescent="0.25">
      <c r="A3871" t="str">
        <f>T("   ZZZ_Monde")</f>
        <v xml:space="preserve">   ZZZ_Monde</v>
      </c>
      <c r="B3871" t="str">
        <f>T("   ZZZ_Monde")</f>
        <v xml:space="preserve">   ZZZ_Monde</v>
      </c>
      <c r="C3871">
        <v>395578439</v>
      </c>
      <c r="D3871">
        <v>137749.73000000001</v>
      </c>
    </row>
    <row r="3872" spans="1:4" x14ac:dyDescent="0.25">
      <c r="A3872" t="str">
        <f>T("   BE")</f>
        <v xml:space="preserve">   BE</v>
      </c>
      <c r="B3872" t="str">
        <f>T("   Belgique")</f>
        <v xml:space="preserve">   Belgique</v>
      </c>
      <c r="C3872">
        <v>221714</v>
      </c>
      <c r="D3872">
        <v>200</v>
      </c>
    </row>
    <row r="3873" spans="1:4" x14ac:dyDescent="0.25">
      <c r="A3873" t="str">
        <f>T("   CI")</f>
        <v xml:space="preserve">   CI</v>
      </c>
      <c r="B3873" t="str">
        <f>T("   Côte d'Ivoire")</f>
        <v xml:space="preserve">   Côte d'Ivoire</v>
      </c>
      <c r="C3873">
        <v>29658119</v>
      </c>
      <c r="D3873">
        <v>16800</v>
      </c>
    </row>
    <row r="3874" spans="1:4" x14ac:dyDescent="0.25">
      <c r="A3874" t="str">
        <f>T("   CN")</f>
        <v xml:space="preserve">   CN</v>
      </c>
      <c r="B3874" t="str">
        <f>T("   Chine")</f>
        <v xml:space="preserve">   Chine</v>
      </c>
      <c r="C3874">
        <v>22625</v>
      </c>
      <c r="D3874">
        <v>50</v>
      </c>
    </row>
    <row r="3875" spans="1:4" x14ac:dyDescent="0.25">
      <c r="A3875" t="str">
        <f>T("   DE")</f>
        <v xml:space="preserve">   DE</v>
      </c>
      <c r="B3875" t="str">
        <f>T("   Allemagne")</f>
        <v xml:space="preserve">   Allemagne</v>
      </c>
      <c r="C3875">
        <v>77078666</v>
      </c>
      <c r="D3875">
        <v>25662</v>
      </c>
    </row>
    <row r="3876" spans="1:4" x14ac:dyDescent="0.25">
      <c r="A3876" t="str">
        <f>T("   FR")</f>
        <v xml:space="preserve">   FR</v>
      </c>
      <c r="B3876" t="str">
        <f>T("   France")</f>
        <v xml:space="preserve">   France</v>
      </c>
      <c r="C3876">
        <v>190768880</v>
      </c>
      <c r="D3876">
        <v>53039.73</v>
      </c>
    </row>
    <row r="3877" spans="1:4" x14ac:dyDescent="0.25">
      <c r="A3877" t="str">
        <f>T("   GH")</f>
        <v xml:space="preserve">   GH</v>
      </c>
      <c r="B3877" t="str">
        <f>T("   Ghana")</f>
        <v xml:space="preserve">   Ghana</v>
      </c>
      <c r="C3877">
        <v>8120902</v>
      </c>
      <c r="D3877">
        <v>2400</v>
      </c>
    </row>
    <row r="3878" spans="1:4" x14ac:dyDescent="0.25">
      <c r="A3878" t="str">
        <f>T("   IE")</f>
        <v xml:space="preserve">   IE</v>
      </c>
      <c r="B3878" t="str">
        <f>T("   Irlande")</f>
        <v xml:space="preserve">   Irlande</v>
      </c>
      <c r="C3878">
        <v>74601196</v>
      </c>
      <c r="D3878">
        <v>26527</v>
      </c>
    </row>
    <row r="3879" spans="1:4" x14ac:dyDescent="0.25">
      <c r="A3879" t="str">
        <f>T("   NL")</f>
        <v xml:space="preserve">   NL</v>
      </c>
      <c r="B3879" t="str">
        <f>T("   Pays-bas")</f>
        <v xml:space="preserve">   Pays-bas</v>
      </c>
      <c r="C3879">
        <v>280751</v>
      </c>
      <c r="D3879">
        <v>7</v>
      </c>
    </row>
    <row r="3880" spans="1:4" x14ac:dyDescent="0.25">
      <c r="A3880" t="str">
        <f>T("   TG")</f>
        <v xml:space="preserve">   TG</v>
      </c>
      <c r="B3880" t="str">
        <f>T("   Togo")</f>
        <v xml:space="preserve">   Togo</v>
      </c>
      <c r="C3880">
        <v>885609</v>
      </c>
      <c r="D3880">
        <v>6215</v>
      </c>
    </row>
    <row r="3881" spans="1:4" x14ac:dyDescent="0.25">
      <c r="A3881" t="str">
        <f>T("   TR")</f>
        <v xml:space="preserve">   TR</v>
      </c>
      <c r="B3881" t="str">
        <f>T("   Turquie")</f>
        <v xml:space="preserve">   Turquie</v>
      </c>
      <c r="C3881">
        <v>13939977</v>
      </c>
      <c r="D3881">
        <v>6849</v>
      </c>
    </row>
    <row r="3882" spans="1:4" x14ac:dyDescent="0.25">
      <c r="A3882" t="str">
        <f>T("350699")</f>
        <v>350699</v>
      </c>
      <c r="B3882" t="str">
        <f>T("Colles et autres adhésifs préparés, n.d.a.")</f>
        <v>Colles et autres adhésifs préparés, n.d.a.</v>
      </c>
    </row>
    <row r="3883" spans="1:4" x14ac:dyDescent="0.25">
      <c r="A3883" t="str">
        <f>T("   ZZZ_Monde")</f>
        <v xml:space="preserve">   ZZZ_Monde</v>
      </c>
      <c r="B3883" t="str">
        <f>T("   ZZZ_Monde")</f>
        <v xml:space="preserve">   ZZZ_Monde</v>
      </c>
      <c r="C3883">
        <v>93723646</v>
      </c>
      <c r="D3883">
        <v>71791.399999999994</v>
      </c>
    </row>
    <row r="3884" spans="1:4" x14ac:dyDescent="0.25">
      <c r="A3884" t="str">
        <f>T("   CN")</f>
        <v xml:space="preserve">   CN</v>
      </c>
      <c r="B3884" t="str">
        <f>T("   Chine")</f>
        <v xml:space="preserve">   Chine</v>
      </c>
      <c r="C3884">
        <v>6047152</v>
      </c>
      <c r="D3884">
        <v>13155</v>
      </c>
    </row>
    <row r="3885" spans="1:4" x14ac:dyDescent="0.25">
      <c r="A3885" t="str">
        <f>T("   DE")</f>
        <v xml:space="preserve">   DE</v>
      </c>
      <c r="B3885" t="str">
        <f>T("   Allemagne")</f>
        <v xml:space="preserve">   Allemagne</v>
      </c>
      <c r="C3885">
        <v>374684</v>
      </c>
      <c r="D3885">
        <v>15</v>
      </c>
    </row>
    <row r="3886" spans="1:4" x14ac:dyDescent="0.25">
      <c r="A3886" t="str">
        <f>T("   ES")</f>
        <v xml:space="preserve">   ES</v>
      </c>
      <c r="B3886" t="str">
        <f>T("   Espagne")</f>
        <v xml:space="preserve">   Espagne</v>
      </c>
      <c r="C3886">
        <v>6648811</v>
      </c>
      <c r="D3886">
        <v>3195</v>
      </c>
    </row>
    <row r="3887" spans="1:4" x14ac:dyDescent="0.25">
      <c r="A3887" t="str">
        <f>T("   FR")</f>
        <v xml:space="preserve">   FR</v>
      </c>
      <c r="B3887" t="str">
        <f>T("   France")</f>
        <v xml:space="preserve">   France</v>
      </c>
      <c r="C3887">
        <v>62230006</v>
      </c>
      <c r="D3887">
        <v>20600</v>
      </c>
    </row>
    <row r="3888" spans="1:4" x14ac:dyDescent="0.25">
      <c r="A3888" t="str">
        <f>T("   GH")</f>
        <v xml:space="preserve">   GH</v>
      </c>
      <c r="B3888" t="str">
        <f>T("   Ghana")</f>
        <v xml:space="preserve">   Ghana</v>
      </c>
      <c r="C3888">
        <v>39240</v>
      </c>
      <c r="D3888">
        <v>50</v>
      </c>
    </row>
    <row r="3889" spans="1:4" x14ac:dyDescent="0.25">
      <c r="A3889" t="str">
        <f>T("   IT")</f>
        <v xml:space="preserve">   IT</v>
      </c>
      <c r="B3889" t="str">
        <f>T("   Italie")</f>
        <v xml:space="preserve">   Italie</v>
      </c>
      <c r="C3889">
        <v>6892331</v>
      </c>
      <c r="D3889">
        <v>11580</v>
      </c>
    </row>
    <row r="3890" spans="1:4" x14ac:dyDescent="0.25">
      <c r="A3890" t="str">
        <f>T("   MA")</f>
        <v xml:space="preserve">   MA</v>
      </c>
      <c r="B3890" t="str">
        <f>T("   Maroc")</f>
        <v xml:space="preserve">   Maroc</v>
      </c>
      <c r="C3890">
        <v>334540</v>
      </c>
      <c r="D3890">
        <v>200</v>
      </c>
    </row>
    <row r="3891" spans="1:4" x14ac:dyDescent="0.25">
      <c r="A3891" t="str">
        <f>T("   NL")</f>
        <v xml:space="preserve">   NL</v>
      </c>
      <c r="B3891" t="str">
        <f>T("   Pays-bas")</f>
        <v xml:space="preserve">   Pays-bas</v>
      </c>
      <c r="C3891">
        <v>32457</v>
      </c>
      <c r="D3891">
        <v>1</v>
      </c>
    </row>
    <row r="3892" spans="1:4" x14ac:dyDescent="0.25">
      <c r="A3892" t="str">
        <f>T("   SE")</f>
        <v xml:space="preserve">   SE</v>
      </c>
      <c r="B3892" t="str">
        <f>T("   Suède")</f>
        <v xml:space="preserve">   Suède</v>
      </c>
      <c r="C3892">
        <v>529937</v>
      </c>
      <c r="D3892">
        <v>12.4</v>
      </c>
    </row>
    <row r="3893" spans="1:4" x14ac:dyDescent="0.25">
      <c r="A3893" t="str">
        <f>T("   SG")</f>
        <v xml:space="preserve">   SG</v>
      </c>
      <c r="B3893" t="str">
        <f>T("   Singapour")</f>
        <v xml:space="preserve">   Singapour</v>
      </c>
      <c r="C3893">
        <v>224691</v>
      </c>
      <c r="D3893">
        <v>300</v>
      </c>
    </row>
    <row r="3894" spans="1:4" x14ac:dyDescent="0.25">
      <c r="A3894" t="str">
        <f>T("   TG")</f>
        <v xml:space="preserve">   TG</v>
      </c>
      <c r="B3894" t="str">
        <f>T("   Togo")</f>
        <v xml:space="preserve">   Togo</v>
      </c>
      <c r="C3894">
        <v>2187759</v>
      </c>
      <c r="D3894">
        <v>16870</v>
      </c>
    </row>
    <row r="3895" spans="1:4" x14ac:dyDescent="0.25">
      <c r="A3895" t="str">
        <f>T("   TN")</f>
        <v xml:space="preserve">   TN</v>
      </c>
      <c r="B3895" t="str">
        <f>T("   Tunisie")</f>
        <v xml:space="preserve">   Tunisie</v>
      </c>
      <c r="C3895">
        <v>8182038</v>
      </c>
      <c r="D3895">
        <v>5813</v>
      </c>
    </row>
    <row r="3896" spans="1:4" x14ac:dyDescent="0.25">
      <c r="A3896" t="str">
        <f>T("350790")</f>
        <v>350790</v>
      </c>
      <c r="B3896" t="str">
        <f>T("Enzymes et enzymes préparées, n.d.a. (à l'excl. de la présure et de ses concentrats)")</f>
        <v>Enzymes et enzymes préparées, n.d.a. (à l'excl. de la présure et de ses concentrats)</v>
      </c>
    </row>
    <row r="3897" spans="1:4" x14ac:dyDescent="0.25">
      <c r="A3897" t="str">
        <f>T("   ZZZ_Monde")</f>
        <v xml:space="preserve">   ZZZ_Monde</v>
      </c>
      <c r="B3897" t="str">
        <f>T("   ZZZ_Monde")</f>
        <v xml:space="preserve">   ZZZ_Monde</v>
      </c>
      <c r="C3897">
        <v>146638389</v>
      </c>
      <c r="D3897">
        <v>35127</v>
      </c>
    </row>
    <row r="3898" spans="1:4" x14ac:dyDescent="0.25">
      <c r="A3898" t="str">
        <f>T("   CH")</f>
        <v xml:space="preserve">   CH</v>
      </c>
      <c r="B3898" t="str">
        <f>T("   Suisse")</f>
        <v xml:space="preserve">   Suisse</v>
      </c>
      <c r="C3898">
        <v>24103584</v>
      </c>
      <c r="D3898">
        <v>2277</v>
      </c>
    </row>
    <row r="3899" spans="1:4" x14ac:dyDescent="0.25">
      <c r="A3899" t="str">
        <f>T("   CN")</f>
        <v xml:space="preserve">   CN</v>
      </c>
      <c r="B3899" t="str">
        <f>T("   Chine")</f>
        <v xml:space="preserve">   Chine</v>
      </c>
      <c r="C3899">
        <v>16576326</v>
      </c>
      <c r="D3899">
        <v>27298</v>
      </c>
    </row>
    <row r="3900" spans="1:4" x14ac:dyDescent="0.25">
      <c r="A3900" t="str">
        <f>T("   DE")</f>
        <v xml:space="preserve">   DE</v>
      </c>
      <c r="B3900" t="str">
        <f>T("   Allemagne")</f>
        <v xml:space="preserve">   Allemagne</v>
      </c>
      <c r="C3900">
        <v>49335163</v>
      </c>
      <c r="D3900">
        <v>886</v>
      </c>
    </row>
    <row r="3901" spans="1:4" x14ac:dyDescent="0.25">
      <c r="A3901" t="str">
        <f>T("   DK")</f>
        <v xml:space="preserve">   DK</v>
      </c>
      <c r="B3901" t="str">
        <f>T("   Danemark")</f>
        <v xml:space="preserve">   Danemark</v>
      </c>
      <c r="C3901">
        <v>533383</v>
      </c>
      <c r="D3901">
        <v>26</v>
      </c>
    </row>
    <row r="3902" spans="1:4" x14ac:dyDescent="0.25">
      <c r="A3902" t="str">
        <f>T("   FR")</f>
        <v xml:space="preserve">   FR</v>
      </c>
      <c r="B3902" t="str">
        <f>T("   France")</f>
        <v xml:space="preserve">   France</v>
      </c>
      <c r="C3902">
        <v>55371741</v>
      </c>
      <c r="D3902">
        <v>4590</v>
      </c>
    </row>
    <row r="3903" spans="1:4" x14ac:dyDescent="0.25">
      <c r="A3903" t="str">
        <f>T("   IE")</f>
        <v xml:space="preserve">   IE</v>
      </c>
      <c r="B3903" t="str">
        <f>T("   Irlande")</f>
        <v xml:space="preserve">   Irlande</v>
      </c>
      <c r="C3903">
        <v>718192</v>
      </c>
      <c r="D3903">
        <v>50</v>
      </c>
    </row>
    <row r="3904" spans="1:4" x14ac:dyDescent="0.25">
      <c r="A3904" t="str">
        <f>T("360200")</f>
        <v>360200</v>
      </c>
      <c r="B3904" t="str">
        <f>T("Explosifs préparés (à l'excl. des poudres propulsives)")</f>
        <v>Explosifs préparés (à l'excl. des poudres propulsives)</v>
      </c>
    </row>
    <row r="3905" spans="1:4" x14ac:dyDescent="0.25">
      <c r="A3905" t="str">
        <f>T("   ZZZ_Monde")</f>
        <v xml:space="preserve">   ZZZ_Monde</v>
      </c>
      <c r="B3905" t="str">
        <f>T("   ZZZ_Monde")</f>
        <v xml:space="preserve">   ZZZ_Monde</v>
      </c>
      <c r="C3905">
        <v>9657043</v>
      </c>
      <c r="D3905">
        <v>33280</v>
      </c>
    </row>
    <row r="3906" spans="1:4" x14ac:dyDescent="0.25">
      <c r="A3906" t="str">
        <f>T("   FR")</f>
        <v xml:space="preserve">   FR</v>
      </c>
      <c r="B3906" t="str">
        <f>T("   France")</f>
        <v xml:space="preserve">   France</v>
      </c>
      <c r="C3906">
        <v>9657043</v>
      </c>
      <c r="D3906">
        <v>33280</v>
      </c>
    </row>
    <row r="3907" spans="1:4" x14ac:dyDescent="0.25">
      <c r="A3907" t="str">
        <f>T("360300")</f>
        <v>360300</v>
      </c>
      <c r="B3907" t="str">
        <f>T("Mèches de sûreté; cordeaux détonants; amorces et capsules fulminantes; allumeurs; détonateurs électriques (à l'excl. des fusées d'obus et des douilles, munies ou non de leurs amorces)")</f>
        <v>Mèches de sûreté; cordeaux détonants; amorces et capsules fulminantes; allumeurs; détonateurs électriques (à l'excl. des fusées d'obus et des douilles, munies ou non de leurs amorces)</v>
      </c>
    </row>
    <row r="3908" spans="1:4" x14ac:dyDescent="0.25">
      <c r="A3908" t="str">
        <f>T("   ZZZ_Monde")</f>
        <v xml:space="preserve">   ZZZ_Monde</v>
      </c>
      <c r="B3908" t="str">
        <f>T("   ZZZ_Monde")</f>
        <v xml:space="preserve">   ZZZ_Monde</v>
      </c>
      <c r="C3908">
        <v>27529702</v>
      </c>
      <c r="D3908">
        <v>6795</v>
      </c>
    </row>
    <row r="3909" spans="1:4" x14ac:dyDescent="0.25">
      <c r="A3909" t="str">
        <f>T("   FR")</f>
        <v xml:space="preserve">   FR</v>
      </c>
      <c r="B3909" t="str">
        <f>T("   France")</f>
        <v xml:space="preserve">   France</v>
      </c>
      <c r="C3909">
        <v>26364702</v>
      </c>
      <c r="D3909">
        <v>1045</v>
      </c>
    </row>
    <row r="3910" spans="1:4" x14ac:dyDescent="0.25">
      <c r="A3910" t="str">
        <f>T("   Z2")</f>
        <v xml:space="preserve">   Z2</v>
      </c>
      <c r="B3910" t="str">
        <f>T("   Pays non défini")</f>
        <v xml:space="preserve">   Pays non défini</v>
      </c>
      <c r="C3910">
        <v>1165000</v>
      </c>
      <c r="D3910">
        <v>5750</v>
      </c>
    </row>
    <row r="3911" spans="1:4" x14ac:dyDescent="0.25">
      <c r="A3911" t="str">
        <f>T("360500")</f>
        <v>360500</v>
      </c>
      <c r="B3911" t="str">
        <f>T("Allumettes (autres que les articles de pyrotechnie du n° 3604)")</f>
        <v>Allumettes (autres que les articles de pyrotechnie du n° 3604)</v>
      </c>
    </row>
    <row r="3912" spans="1:4" x14ac:dyDescent="0.25">
      <c r="A3912" t="str">
        <f>T("   ZZZ_Monde")</f>
        <v xml:space="preserve">   ZZZ_Monde</v>
      </c>
      <c r="B3912" t="str">
        <f>T("   ZZZ_Monde")</f>
        <v xml:space="preserve">   ZZZ_Monde</v>
      </c>
      <c r="C3912">
        <v>348533855</v>
      </c>
      <c r="D3912">
        <v>929904</v>
      </c>
    </row>
    <row r="3913" spans="1:4" x14ac:dyDescent="0.25">
      <c r="A3913" t="str">
        <f>T("   CN")</f>
        <v xml:space="preserve">   CN</v>
      </c>
      <c r="B3913" t="str">
        <f>T("   Chine")</f>
        <v xml:space="preserve">   Chine</v>
      </c>
      <c r="C3913">
        <v>63746552</v>
      </c>
      <c r="D3913">
        <v>134269</v>
      </c>
    </row>
    <row r="3914" spans="1:4" x14ac:dyDescent="0.25">
      <c r="A3914" t="str">
        <f>T("   DE")</f>
        <v xml:space="preserve">   DE</v>
      </c>
      <c r="B3914" t="str">
        <f>T("   Allemagne")</f>
        <v xml:space="preserve">   Allemagne</v>
      </c>
      <c r="C3914">
        <v>5895000</v>
      </c>
      <c r="D3914">
        <v>17335</v>
      </c>
    </row>
    <row r="3915" spans="1:4" x14ac:dyDescent="0.25">
      <c r="A3915" t="str">
        <f>T("   FR")</f>
        <v xml:space="preserve">   FR</v>
      </c>
      <c r="B3915" t="str">
        <f>T("   France")</f>
        <v xml:space="preserve">   France</v>
      </c>
      <c r="C3915">
        <v>5847228</v>
      </c>
      <c r="D3915">
        <v>347</v>
      </c>
    </row>
    <row r="3916" spans="1:4" x14ac:dyDescent="0.25">
      <c r="A3916" t="str">
        <f>T("   GH")</f>
        <v xml:space="preserve">   GH</v>
      </c>
      <c r="B3916" t="str">
        <f>T("   Ghana")</f>
        <v xml:space="preserve">   Ghana</v>
      </c>
      <c r="C3916">
        <v>100000</v>
      </c>
      <c r="D3916">
        <v>30</v>
      </c>
    </row>
    <row r="3917" spans="1:4" x14ac:dyDescent="0.25">
      <c r="A3917" t="str">
        <f>T("   HK")</f>
        <v xml:space="preserve">   HK</v>
      </c>
      <c r="B3917" t="str">
        <f>T("   Hong-Kong")</f>
        <v xml:space="preserve">   Hong-Kong</v>
      </c>
      <c r="C3917">
        <v>80446805</v>
      </c>
      <c r="D3917">
        <v>185848</v>
      </c>
    </row>
    <row r="3918" spans="1:4" x14ac:dyDescent="0.25">
      <c r="A3918" t="str">
        <f>T("   IN")</f>
        <v xml:space="preserve">   IN</v>
      </c>
      <c r="B3918" t="str">
        <f>T("   Inde")</f>
        <v xml:space="preserve">   Inde</v>
      </c>
      <c r="C3918">
        <v>124160931</v>
      </c>
      <c r="D3918">
        <v>339486</v>
      </c>
    </row>
    <row r="3919" spans="1:4" x14ac:dyDescent="0.25">
      <c r="A3919" t="str">
        <f>T("   NG")</f>
        <v xml:space="preserve">   NG</v>
      </c>
      <c r="B3919" t="str">
        <f>T("   Nigéria")</f>
        <v xml:space="preserve">   Nigéria</v>
      </c>
      <c r="C3919">
        <v>421600</v>
      </c>
      <c r="D3919">
        <v>688</v>
      </c>
    </row>
    <row r="3920" spans="1:4" x14ac:dyDescent="0.25">
      <c r="A3920" t="str">
        <f>T("   PK")</f>
        <v xml:space="preserve">   PK</v>
      </c>
      <c r="B3920" t="str">
        <f>T("   Pakistan")</f>
        <v xml:space="preserve">   Pakistan</v>
      </c>
      <c r="C3920">
        <v>18362865</v>
      </c>
      <c r="D3920">
        <v>35857</v>
      </c>
    </row>
    <row r="3921" spans="1:4" x14ac:dyDescent="0.25">
      <c r="A3921" t="str">
        <f>T("   TG")</f>
        <v xml:space="preserve">   TG</v>
      </c>
      <c r="B3921" t="str">
        <f>T("   Togo")</f>
        <v xml:space="preserve">   Togo</v>
      </c>
      <c r="C3921">
        <v>46932874</v>
      </c>
      <c r="D3921">
        <v>171044</v>
      </c>
    </row>
    <row r="3922" spans="1:4" x14ac:dyDescent="0.25">
      <c r="A3922" t="str">
        <f>T("   Z2")</f>
        <v xml:space="preserve">   Z2</v>
      </c>
      <c r="B3922" t="str">
        <f>T("   Pays non défini")</f>
        <v xml:space="preserve">   Pays non défini</v>
      </c>
      <c r="C3922">
        <v>2620000</v>
      </c>
      <c r="D3922">
        <v>45000</v>
      </c>
    </row>
    <row r="3923" spans="1:4" x14ac:dyDescent="0.25">
      <c r="A3923" t="str">
        <f>T("360610")</f>
        <v>360610</v>
      </c>
      <c r="B3923" t="str">
        <f>T("Combustibles liquides et gaz combustibles liquéfiés en récipients des types utilisés pour alimenter ou recharger les briquets ou les allumeurs et d'une capacité &lt;= 300 cm³")</f>
        <v>Combustibles liquides et gaz combustibles liquéfiés en récipients des types utilisés pour alimenter ou recharger les briquets ou les allumeurs et d'une capacité &lt;= 300 cm³</v>
      </c>
    </row>
    <row r="3924" spans="1:4" x14ac:dyDescent="0.25">
      <c r="A3924" t="str">
        <f>T("   ZZZ_Monde")</f>
        <v xml:space="preserve">   ZZZ_Monde</v>
      </c>
      <c r="B3924" t="str">
        <f>T("   ZZZ_Monde")</f>
        <v xml:space="preserve">   ZZZ_Monde</v>
      </c>
      <c r="C3924">
        <v>50622</v>
      </c>
      <c r="D3924">
        <v>74</v>
      </c>
    </row>
    <row r="3925" spans="1:4" x14ac:dyDescent="0.25">
      <c r="A3925" t="str">
        <f>T("   TR")</f>
        <v xml:space="preserve">   TR</v>
      </c>
      <c r="B3925" t="str">
        <f>T("   Turquie")</f>
        <v xml:space="preserve">   Turquie</v>
      </c>
      <c r="C3925">
        <v>50622</v>
      </c>
      <c r="D3925">
        <v>74</v>
      </c>
    </row>
    <row r="3926" spans="1:4" x14ac:dyDescent="0.25">
      <c r="A3926" t="str">
        <f>T("360690")</f>
        <v>360690</v>
      </c>
      <c r="B3926" t="str">
        <f>T("Ferrocérium et autres alliages pyrophoriques sous toutes formes; métaldéhyde, hexaméthylènetétramine et produits simil., présentés en tablettes, bâtonnets ou sous des formes simil. impliquant leur utilisation comme combustibles; combustibles à base d'alco")</f>
        <v>Ferrocérium et autres alliages pyrophoriques sous toutes formes; métaldéhyde, hexaméthylènetétramine et produits simil., présentés en tablettes, bâtonnets ou sous des formes simil. impliquant leur utilisation comme combustibles; combustibles à base d'alco</v>
      </c>
    </row>
    <row r="3927" spans="1:4" x14ac:dyDescent="0.25">
      <c r="A3927" t="str">
        <f>T("   ZZZ_Monde")</f>
        <v xml:space="preserve">   ZZZ_Monde</v>
      </c>
      <c r="B3927" t="str">
        <f>T("   ZZZ_Monde")</f>
        <v xml:space="preserve">   ZZZ_Monde</v>
      </c>
      <c r="C3927">
        <v>202201</v>
      </c>
      <c r="D3927">
        <v>209</v>
      </c>
    </row>
    <row r="3928" spans="1:4" x14ac:dyDescent="0.25">
      <c r="A3928" t="str">
        <f>T("   CN")</f>
        <v xml:space="preserve">   CN</v>
      </c>
      <c r="B3928" t="str">
        <f>T("   Chine")</f>
        <v xml:space="preserve">   Chine</v>
      </c>
      <c r="C3928">
        <v>176401</v>
      </c>
      <c r="D3928">
        <v>123</v>
      </c>
    </row>
    <row r="3929" spans="1:4" x14ac:dyDescent="0.25">
      <c r="A3929" t="str">
        <f>T("   NG")</f>
        <v xml:space="preserve">   NG</v>
      </c>
      <c r="B3929" t="str">
        <f>T("   Nigéria")</f>
        <v xml:space="preserve">   Nigéria</v>
      </c>
      <c r="C3929">
        <v>25800</v>
      </c>
      <c r="D3929">
        <v>86</v>
      </c>
    </row>
    <row r="3930" spans="1:4" x14ac:dyDescent="0.25">
      <c r="A3930" t="str">
        <f>T("370110")</f>
        <v>370110</v>
      </c>
      <c r="B3930" t="str">
        <f>T("PLAQUES ET FILMS PLANS, PHOTOGRAPHIQUES, SENSIBILISÉS, NON-IMPRESSIONNÉS, POUR RAYONS X (SAUF EN PAPIER, EN CARTON OU EN MATIÈRES TEXTILES)")</f>
        <v>PLAQUES ET FILMS PLANS, PHOTOGRAPHIQUES, SENSIBILISÉS, NON-IMPRESSIONNÉS, POUR RAYONS X (SAUF EN PAPIER, EN CARTON OU EN MATIÈRES TEXTILES)</v>
      </c>
    </row>
    <row r="3931" spans="1:4" x14ac:dyDescent="0.25">
      <c r="A3931" t="str">
        <f>T("   ZZZ_Monde")</f>
        <v xml:space="preserve">   ZZZ_Monde</v>
      </c>
      <c r="B3931" t="str">
        <f>T("   ZZZ_Monde")</f>
        <v xml:space="preserve">   ZZZ_Monde</v>
      </c>
      <c r="C3931">
        <v>5197166</v>
      </c>
      <c r="D3931">
        <v>7051</v>
      </c>
    </row>
    <row r="3932" spans="1:4" x14ac:dyDescent="0.25">
      <c r="A3932" t="str">
        <f>T("   CN")</f>
        <v xml:space="preserve">   CN</v>
      </c>
      <c r="B3932" t="str">
        <f>T("   Chine")</f>
        <v xml:space="preserve">   Chine</v>
      </c>
      <c r="C3932">
        <v>2664280</v>
      </c>
      <c r="D3932">
        <v>7000</v>
      </c>
    </row>
    <row r="3933" spans="1:4" x14ac:dyDescent="0.25">
      <c r="A3933" t="str">
        <f>T("   LB")</f>
        <v xml:space="preserve">   LB</v>
      </c>
      <c r="B3933" t="str">
        <f>T("   Liban")</f>
        <v xml:space="preserve">   Liban</v>
      </c>
      <c r="C3933">
        <v>2532886</v>
      </c>
      <c r="D3933">
        <v>51</v>
      </c>
    </row>
    <row r="3934" spans="1:4" x14ac:dyDescent="0.25">
      <c r="A3934" t="str">
        <f>T("370191")</f>
        <v>370191</v>
      </c>
      <c r="B3934" t="str">
        <f>T("Plaques et films plans, photographiques, sensibilisés, non impressionnés, pour la photographie en couleurs [polychrome], en autres matières que le papier, le carton ou les textiles (à l'excl. des films à développement et tirage instantanés ainsi que des p")</f>
        <v>Plaques et films plans, photographiques, sensibilisés, non impressionnés, pour la photographie en couleurs [polychrome], en autres matières que le papier, le carton ou les textiles (à l'excl. des films à développement et tirage instantanés ainsi que des p</v>
      </c>
    </row>
    <row r="3935" spans="1:4" x14ac:dyDescent="0.25">
      <c r="A3935" t="str">
        <f>T("   ZZZ_Monde")</f>
        <v xml:space="preserve">   ZZZ_Monde</v>
      </c>
      <c r="B3935" t="str">
        <f>T("   ZZZ_Monde")</f>
        <v xml:space="preserve">   ZZZ_Monde</v>
      </c>
      <c r="C3935">
        <v>7128258</v>
      </c>
      <c r="D3935">
        <v>2369</v>
      </c>
    </row>
    <row r="3936" spans="1:4" x14ac:dyDescent="0.25">
      <c r="A3936" t="str">
        <f>T("   BE")</f>
        <v xml:space="preserve">   BE</v>
      </c>
      <c r="B3936" t="str">
        <f>T("   Belgique")</f>
        <v xml:space="preserve">   Belgique</v>
      </c>
      <c r="C3936">
        <v>3047531</v>
      </c>
      <c r="D3936">
        <v>1369</v>
      </c>
    </row>
    <row r="3937" spans="1:4" x14ac:dyDescent="0.25">
      <c r="A3937" t="str">
        <f>T("   FR")</f>
        <v xml:space="preserve">   FR</v>
      </c>
      <c r="B3937" t="str">
        <f>T("   France")</f>
        <v xml:space="preserve">   France</v>
      </c>
      <c r="C3937">
        <v>4080727</v>
      </c>
      <c r="D3937">
        <v>1000</v>
      </c>
    </row>
    <row r="3938" spans="1:4" x14ac:dyDescent="0.25">
      <c r="A3938" t="str">
        <f>T("370231")</f>
        <v>370231</v>
      </c>
      <c r="B3938" t="s">
        <v>16</v>
      </c>
    </row>
    <row r="3939" spans="1:4" x14ac:dyDescent="0.25">
      <c r="A3939" t="str">
        <f>T("   ZZZ_Monde")</f>
        <v xml:space="preserve">   ZZZ_Monde</v>
      </c>
      <c r="B3939" t="str">
        <f>T("   ZZZ_Monde")</f>
        <v xml:space="preserve">   ZZZ_Monde</v>
      </c>
      <c r="C3939">
        <v>1967837</v>
      </c>
      <c r="D3939">
        <v>5170</v>
      </c>
    </row>
    <row r="3940" spans="1:4" x14ac:dyDescent="0.25">
      <c r="A3940" t="str">
        <f>T("   ES")</f>
        <v xml:space="preserve">   ES</v>
      </c>
      <c r="B3940" t="str">
        <f>T("   Espagne")</f>
        <v xml:space="preserve">   Espagne</v>
      </c>
      <c r="C3940">
        <v>1967837</v>
      </c>
      <c r="D3940">
        <v>5170</v>
      </c>
    </row>
    <row r="3941" spans="1:4" x14ac:dyDescent="0.25">
      <c r="A3941" t="str">
        <f>T("370239")</f>
        <v>370239</v>
      </c>
      <c r="B3941" t="str">
        <f>T("Pellicules photographiques sensibilisées, non impressionnées, non perforées, en rouleaux, d'une largeur &lt;= 105 mm, pour la photographie en monochrome (à l'excl. des pellicules pour rayons X, des produits en papier, en carton ou en matières textiles ainsi")</f>
        <v>Pellicules photographiques sensibilisées, non impressionnées, non perforées, en rouleaux, d'une largeur &lt;= 105 mm, pour la photographie en monochrome (à l'excl. des pellicules pour rayons X, des produits en papier, en carton ou en matières textiles ainsi</v>
      </c>
    </row>
    <row r="3942" spans="1:4" x14ac:dyDescent="0.25">
      <c r="A3942" t="str">
        <f>T("   ZZZ_Monde")</f>
        <v xml:space="preserve">   ZZZ_Monde</v>
      </c>
      <c r="B3942" t="str">
        <f>T("   ZZZ_Monde")</f>
        <v xml:space="preserve">   ZZZ_Monde</v>
      </c>
      <c r="C3942">
        <v>450000</v>
      </c>
      <c r="D3942">
        <v>6513</v>
      </c>
    </row>
    <row r="3943" spans="1:4" x14ac:dyDescent="0.25">
      <c r="A3943" t="str">
        <f>T("   BE")</f>
        <v xml:space="preserve">   BE</v>
      </c>
      <c r="B3943" t="str">
        <f>T("   Belgique")</f>
        <v xml:space="preserve">   Belgique</v>
      </c>
      <c r="C3943">
        <v>450000</v>
      </c>
      <c r="D3943">
        <v>6513</v>
      </c>
    </row>
    <row r="3944" spans="1:4" x14ac:dyDescent="0.25">
      <c r="A3944" t="str">
        <f>T("370244")</f>
        <v>370244</v>
      </c>
      <c r="B3944" t="str">
        <f>T("Pellicules photographiques sensibilisées, non impressionnées, non perforées, en rouleaux, d'une largeur &gt; 105 mm mais &lt;= 610 mm (à l'excl. des produits en papier, en carton ou en matières textiles)")</f>
        <v>Pellicules photographiques sensibilisées, non impressionnées, non perforées, en rouleaux, d'une largeur &gt; 105 mm mais &lt;= 610 mm (à l'excl. des produits en papier, en carton ou en matières textiles)</v>
      </c>
    </row>
    <row r="3945" spans="1:4" x14ac:dyDescent="0.25">
      <c r="A3945" t="str">
        <f>T("   ZZZ_Monde")</f>
        <v xml:space="preserve">   ZZZ_Monde</v>
      </c>
      <c r="B3945" t="str">
        <f>T("   ZZZ_Monde")</f>
        <v xml:space="preserve">   ZZZ_Monde</v>
      </c>
      <c r="C3945">
        <v>7148600</v>
      </c>
      <c r="D3945">
        <v>317</v>
      </c>
    </row>
    <row r="3946" spans="1:4" x14ac:dyDescent="0.25">
      <c r="A3946" t="str">
        <f>T("   BE")</f>
        <v xml:space="preserve">   BE</v>
      </c>
      <c r="B3946" t="str">
        <f>T("   Belgique")</f>
        <v xml:space="preserve">   Belgique</v>
      </c>
      <c r="C3946">
        <v>7148600</v>
      </c>
      <c r="D3946">
        <v>317</v>
      </c>
    </row>
    <row r="3947" spans="1:4" x14ac:dyDescent="0.25">
      <c r="A3947" t="str">
        <f>T("370254")</f>
        <v>370254</v>
      </c>
      <c r="B3947" t="str">
        <f>T("PELLICULES PHOTOGRAPHIQUES SENSIBILISÉES, NON-IMPRESSIONNÉES, PERFORÉES, EN ROULEAUX, D'UNE LARGEUR &gt; 16 MM MAIS &lt;= 35 MM ET D'UNE LONGUEUR &lt;= 30 M, POUR LA PHOTOGRAPHIE EN COULEURS [POLYCHROME] (SAUF EN PAPIER, EN CARTON OU EN MATIÈRES TEXTILES ET À L'EX")</f>
        <v>PELLICULES PHOTOGRAPHIQUES SENSIBILISÉES, NON-IMPRESSIONNÉES, PERFORÉES, EN ROULEAUX, D'UNE LARGEUR &gt; 16 MM MAIS &lt;= 35 MM ET D'UNE LONGUEUR &lt;= 30 M, POUR LA PHOTOGRAPHIE EN COULEURS [POLYCHROME] (SAUF EN PAPIER, EN CARTON OU EN MATIÈRES TEXTILES ET À L'EX</v>
      </c>
    </row>
    <row r="3948" spans="1:4" x14ac:dyDescent="0.25">
      <c r="A3948" t="str">
        <f>T("   ZZZ_Monde")</f>
        <v xml:space="preserve">   ZZZ_Monde</v>
      </c>
      <c r="B3948" t="str">
        <f>T("   ZZZ_Monde")</f>
        <v xml:space="preserve">   ZZZ_Monde</v>
      </c>
      <c r="C3948">
        <v>17588142</v>
      </c>
      <c r="D3948">
        <v>20405</v>
      </c>
    </row>
    <row r="3949" spans="1:4" x14ac:dyDescent="0.25">
      <c r="A3949" t="str">
        <f>T("   LB")</f>
        <v xml:space="preserve">   LB</v>
      </c>
      <c r="B3949" t="str">
        <f>T("   Liban")</f>
        <v xml:space="preserve">   Liban</v>
      </c>
      <c r="C3949">
        <v>16801687</v>
      </c>
      <c r="D3949">
        <v>19805</v>
      </c>
    </row>
    <row r="3950" spans="1:4" x14ac:dyDescent="0.25">
      <c r="A3950" t="str">
        <f>T("   TG")</f>
        <v xml:space="preserve">   TG</v>
      </c>
      <c r="B3950" t="str">
        <f>T("   Togo")</f>
        <v xml:space="preserve">   Togo</v>
      </c>
      <c r="C3950">
        <v>786455</v>
      </c>
      <c r="D3950">
        <v>600</v>
      </c>
    </row>
    <row r="3951" spans="1:4" x14ac:dyDescent="0.25">
      <c r="A3951" t="str">
        <f>T("370295")</f>
        <v>370295</v>
      </c>
      <c r="B3951" t="str">
        <f>T("Pellicules photographiques sensibilisées, non impressionnées, perforées, en rouleaux, d'une largeur &gt; 35 mm, pour la photographie en monochrome (à l'excl. des pellicules pour rayons X, des microfilms, des films pour les arts graphiques ainsi que des produ")</f>
        <v>Pellicules photographiques sensibilisées, non impressionnées, perforées, en rouleaux, d'une largeur &gt; 35 mm, pour la photographie en monochrome (à l'excl. des pellicules pour rayons X, des microfilms, des films pour les arts graphiques ainsi que des produ</v>
      </c>
    </row>
    <row r="3952" spans="1:4" x14ac:dyDescent="0.25">
      <c r="A3952" t="str">
        <f>T("   ZZZ_Monde")</f>
        <v xml:space="preserve">   ZZZ_Monde</v>
      </c>
      <c r="B3952" t="str">
        <f>T("   ZZZ_Monde")</f>
        <v xml:space="preserve">   ZZZ_Monde</v>
      </c>
      <c r="C3952">
        <v>5297558</v>
      </c>
      <c r="D3952">
        <v>1063</v>
      </c>
    </row>
    <row r="3953" spans="1:4" x14ac:dyDescent="0.25">
      <c r="A3953" t="str">
        <f>T("   CI")</f>
        <v xml:space="preserve">   CI</v>
      </c>
      <c r="B3953" t="str">
        <f>T("   Côte d'Ivoire")</f>
        <v xml:space="preserve">   Côte d'Ivoire</v>
      </c>
      <c r="C3953">
        <v>5215558</v>
      </c>
      <c r="D3953">
        <v>1000</v>
      </c>
    </row>
    <row r="3954" spans="1:4" x14ac:dyDescent="0.25">
      <c r="A3954" t="str">
        <f>T("   NG")</f>
        <v xml:space="preserve">   NG</v>
      </c>
      <c r="B3954" t="str">
        <f>T("   Nigéria")</f>
        <v xml:space="preserve">   Nigéria</v>
      </c>
      <c r="C3954">
        <v>82000</v>
      </c>
      <c r="D3954">
        <v>63</v>
      </c>
    </row>
    <row r="3955" spans="1:4" x14ac:dyDescent="0.25">
      <c r="A3955" t="str">
        <f>T("370320")</f>
        <v>370320</v>
      </c>
      <c r="B3955" t="str">
        <f>T("PAPIERS, CARTONS ET TEXTILES, PHOTOGRAPHIQUES, SENSIBILISÉS, NON-IMPRESSIONNÉS, POUR LA PHOTOGRAPHIE EN COULEURS [POLYCHROME] (À L'EXCL. DES PRODUITS EN ROULEAUX D'UNE LARGEUR &gt; 610 MM)")</f>
        <v>PAPIERS, CARTONS ET TEXTILES, PHOTOGRAPHIQUES, SENSIBILISÉS, NON-IMPRESSIONNÉS, POUR LA PHOTOGRAPHIE EN COULEURS [POLYCHROME] (À L'EXCL. DES PRODUITS EN ROULEAUX D'UNE LARGEUR &gt; 610 MM)</v>
      </c>
    </row>
    <row r="3956" spans="1:4" x14ac:dyDescent="0.25">
      <c r="A3956" t="str">
        <f>T("   ZZZ_Monde")</f>
        <v xml:space="preserve">   ZZZ_Monde</v>
      </c>
      <c r="B3956" t="str">
        <f>T("   ZZZ_Monde")</f>
        <v xml:space="preserve">   ZZZ_Monde</v>
      </c>
      <c r="C3956">
        <v>42961696</v>
      </c>
      <c r="D3956">
        <v>63324</v>
      </c>
    </row>
    <row r="3957" spans="1:4" x14ac:dyDescent="0.25">
      <c r="A3957" t="str">
        <f>T("   ES")</f>
        <v xml:space="preserve">   ES</v>
      </c>
      <c r="B3957" t="str">
        <f>T("   Espagne")</f>
        <v xml:space="preserve">   Espagne</v>
      </c>
      <c r="C3957">
        <v>8521967</v>
      </c>
      <c r="D3957">
        <v>12117</v>
      </c>
    </row>
    <row r="3958" spans="1:4" x14ac:dyDescent="0.25">
      <c r="A3958" t="str">
        <f>T("   FR")</f>
        <v xml:space="preserve">   FR</v>
      </c>
      <c r="B3958" t="str">
        <f>T("   France")</f>
        <v xml:space="preserve">   France</v>
      </c>
      <c r="C3958">
        <v>30521770</v>
      </c>
      <c r="D3958">
        <v>38673</v>
      </c>
    </row>
    <row r="3959" spans="1:4" x14ac:dyDescent="0.25">
      <c r="A3959" t="str">
        <f>T("   LB")</f>
        <v xml:space="preserve">   LB</v>
      </c>
      <c r="B3959" t="str">
        <f>T("   Liban")</f>
        <v xml:space="preserve">   Liban</v>
      </c>
      <c r="C3959">
        <v>3044120</v>
      </c>
      <c r="D3959">
        <v>10734</v>
      </c>
    </row>
    <row r="3960" spans="1:4" x14ac:dyDescent="0.25">
      <c r="A3960" t="str">
        <f>T("   TG")</f>
        <v xml:space="preserve">   TG</v>
      </c>
      <c r="B3960" t="str">
        <f>T("   Togo")</f>
        <v xml:space="preserve">   Togo</v>
      </c>
      <c r="C3960">
        <v>873839</v>
      </c>
      <c r="D3960">
        <v>1800</v>
      </c>
    </row>
    <row r="3961" spans="1:4" x14ac:dyDescent="0.25">
      <c r="A3961" t="str">
        <f>T("370390")</f>
        <v>370390</v>
      </c>
      <c r="B3961" t="str">
        <f>T("PAPIERS, CARTONS ET TEXTILES, PHOTOGRAPHIQUES, SENSIBILISÉS, NON-IMPRESSIONNÉS, POUR LA PHOTOGRAPHIE EN MONOCHROME (À L'EXCL. DES PRODUITS EN ROULEAUX D'UNE LARGEUR &gt; 610 MM)")</f>
        <v>PAPIERS, CARTONS ET TEXTILES, PHOTOGRAPHIQUES, SENSIBILISÉS, NON-IMPRESSIONNÉS, POUR LA PHOTOGRAPHIE EN MONOCHROME (À L'EXCL. DES PRODUITS EN ROULEAUX D'UNE LARGEUR &gt; 610 MM)</v>
      </c>
    </row>
    <row r="3962" spans="1:4" x14ac:dyDescent="0.25">
      <c r="A3962" t="str">
        <f>T("   ZZZ_Monde")</f>
        <v xml:space="preserve">   ZZZ_Monde</v>
      </c>
      <c r="B3962" t="str">
        <f>T("   ZZZ_Monde")</f>
        <v xml:space="preserve">   ZZZ_Monde</v>
      </c>
      <c r="C3962">
        <v>11074481</v>
      </c>
      <c r="D3962">
        <v>27314</v>
      </c>
    </row>
    <row r="3963" spans="1:4" x14ac:dyDescent="0.25">
      <c r="A3963" t="str">
        <f>T("   CN")</f>
        <v xml:space="preserve">   CN</v>
      </c>
      <c r="B3963" t="str">
        <f>T("   Chine")</f>
        <v xml:space="preserve">   Chine</v>
      </c>
      <c r="C3963">
        <v>735323</v>
      </c>
      <c r="D3963">
        <v>995</v>
      </c>
    </row>
    <row r="3964" spans="1:4" x14ac:dyDescent="0.25">
      <c r="A3964" t="str">
        <f>T("   FR")</f>
        <v xml:space="preserve">   FR</v>
      </c>
      <c r="B3964" t="str">
        <f>T("   France")</f>
        <v xml:space="preserve">   France</v>
      </c>
      <c r="C3964">
        <v>5081110</v>
      </c>
      <c r="D3964">
        <v>17470</v>
      </c>
    </row>
    <row r="3965" spans="1:4" x14ac:dyDescent="0.25">
      <c r="A3965" t="str">
        <f>T("   KR")</f>
        <v xml:space="preserve">   KR</v>
      </c>
      <c r="B3965" t="str">
        <f>T("   Corée, République de")</f>
        <v xml:space="preserve">   Corée, République de</v>
      </c>
      <c r="C3965">
        <v>1102670</v>
      </c>
      <c r="D3965">
        <v>339</v>
      </c>
    </row>
    <row r="3966" spans="1:4" x14ac:dyDescent="0.25">
      <c r="A3966" t="str">
        <f>T("   TG")</f>
        <v xml:space="preserve">   TG</v>
      </c>
      <c r="B3966" t="str">
        <f>T("   Togo")</f>
        <v xml:space="preserve">   Togo</v>
      </c>
      <c r="C3966">
        <v>4155378</v>
      </c>
      <c r="D3966">
        <v>8510</v>
      </c>
    </row>
    <row r="3967" spans="1:4" x14ac:dyDescent="0.25">
      <c r="A3967" t="str">
        <f>T("370400")</f>
        <v>370400</v>
      </c>
      <c r="B3967" t="str">
        <f>T("PLAQUES, PELLICULES, FILMS, PAPIERS, CARTONS ET TEXTILES, PHOTOGRAPHIQUES, IMPRESSIONNÉS MAIS NON-DÉVELOPPÉS")</f>
        <v>PLAQUES, PELLICULES, FILMS, PAPIERS, CARTONS ET TEXTILES, PHOTOGRAPHIQUES, IMPRESSIONNÉS MAIS NON-DÉVELOPPÉS</v>
      </c>
    </row>
    <row r="3968" spans="1:4" x14ac:dyDescent="0.25">
      <c r="A3968" t="str">
        <f>T("   ZZZ_Monde")</f>
        <v xml:space="preserve">   ZZZ_Monde</v>
      </c>
      <c r="B3968" t="str">
        <f>T("   ZZZ_Monde")</f>
        <v xml:space="preserve">   ZZZ_Monde</v>
      </c>
      <c r="C3968">
        <v>1571892</v>
      </c>
      <c r="D3968">
        <v>2014</v>
      </c>
    </row>
    <row r="3969" spans="1:4" x14ac:dyDescent="0.25">
      <c r="A3969" t="str">
        <f>T("   CN")</f>
        <v xml:space="preserve">   CN</v>
      </c>
      <c r="B3969" t="str">
        <f>T("   Chine")</f>
        <v xml:space="preserve">   Chine</v>
      </c>
      <c r="C3969">
        <v>666667</v>
      </c>
      <c r="D3969">
        <v>1893</v>
      </c>
    </row>
    <row r="3970" spans="1:4" x14ac:dyDescent="0.25">
      <c r="A3970" t="str">
        <f>T("   FR")</f>
        <v xml:space="preserve">   FR</v>
      </c>
      <c r="B3970" t="str">
        <f>T("   France")</f>
        <v xml:space="preserve">   France</v>
      </c>
      <c r="C3970">
        <v>905225</v>
      </c>
      <c r="D3970">
        <v>121</v>
      </c>
    </row>
    <row r="3971" spans="1:4" x14ac:dyDescent="0.25">
      <c r="A3971" t="str">
        <f>T("370510")</f>
        <v>370510</v>
      </c>
      <c r="B3971" t="str">
        <f>T("Plaques et pellicules, photographiques, impressionnées et développées, pour la reproduction offset (à l'excl. des plaques prêtes à l'emploi ainsi que des produits en papier, en carton ou en matières textiles)")</f>
        <v>Plaques et pellicules, photographiques, impressionnées et développées, pour la reproduction offset (à l'excl. des plaques prêtes à l'emploi ainsi que des produits en papier, en carton ou en matières textiles)</v>
      </c>
    </row>
    <row r="3972" spans="1:4" x14ac:dyDescent="0.25">
      <c r="A3972" t="str">
        <f>T("   ZZZ_Monde")</f>
        <v xml:space="preserve">   ZZZ_Monde</v>
      </c>
      <c r="B3972" t="str">
        <f>T("   ZZZ_Monde")</f>
        <v xml:space="preserve">   ZZZ_Monde</v>
      </c>
      <c r="C3972">
        <v>9845225</v>
      </c>
      <c r="D3972">
        <v>2700</v>
      </c>
    </row>
    <row r="3973" spans="1:4" x14ac:dyDescent="0.25">
      <c r="A3973" t="str">
        <f>T("   CH")</f>
        <v xml:space="preserve">   CH</v>
      </c>
      <c r="B3973" t="str">
        <f>T("   Suisse")</f>
        <v xml:space="preserve">   Suisse</v>
      </c>
      <c r="C3973">
        <v>478851</v>
      </c>
      <c r="D3973">
        <v>300</v>
      </c>
    </row>
    <row r="3974" spans="1:4" x14ac:dyDescent="0.25">
      <c r="A3974" t="str">
        <f>T("   FR")</f>
        <v xml:space="preserve">   FR</v>
      </c>
      <c r="B3974" t="str">
        <f>T("   France")</f>
        <v xml:space="preserve">   France</v>
      </c>
      <c r="C3974">
        <v>9366374</v>
      </c>
      <c r="D3974">
        <v>2400</v>
      </c>
    </row>
    <row r="3975" spans="1:4" x14ac:dyDescent="0.25">
      <c r="A3975" t="str">
        <f>T("370590")</f>
        <v>370590</v>
      </c>
      <c r="B3975" t="str">
        <f>T("PLAQUES ET PELLICULES, PHOTOGRAPHIQUES, IMPRESSIONNÉES ET DÉVELOPPÉES (À L'EXCL. DES FILMS CINÉMATOGRAPHIQUES, DES PELLICULES POUR LA REPRODUCTION OFFSET AINSI QUE DES PRODUITS EN PAPIER, EN CARTON OU EN MATIÈRES TEXTILES)")</f>
        <v>PLAQUES ET PELLICULES, PHOTOGRAPHIQUES, IMPRESSIONNÉES ET DÉVELOPPÉES (À L'EXCL. DES FILMS CINÉMATOGRAPHIQUES, DES PELLICULES POUR LA REPRODUCTION OFFSET AINSI QUE DES PRODUITS EN PAPIER, EN CARTON OU EN MATIÈRES TEXTILES)</v>
      </c>
    </row>
    <row r="3976" spans="1:4" x14ac:dyDescent="0.25">
      <c r="A3976" t="str">
        <f>T("   ZZZ_Monde")</f>
        <v xml:space="preserve">   ZZZ_Monde</v>
      </c>
      <c r="B3976" t="str">
        <f>T("   ZZZ_Monde")</f>
        <v xml:space="preserve">   ZZZ_Monde</v>
      </c>
      <c r="C3976">
        <v>1168573</v>
      </c>
      <c r="D3976">
        <v>301</v>
      </c>
    </row>
    <row r="3977" spans="1:4" x14ac:dyDescent="0.25">
      <c r="A3977" t="str">
        <f>T("   BE")</f>
        <v xml:space="preserve">   BE</v>
      </c>
      <c r="B3977" t="str">
        <f>T("   Belgique")</f>
        <v xml:space="preserve">   Belgique</v>
      </c>
      <c r="C3977">
        <v>1168573</v>
      </c>
      <c r="D3977">
        <v>301</v>
      </c>
    </row>
    <row r="3978" spans="1:4" x14ac:dyDescent="0.25">
      <c r="A3978" t="str">
        <f>T("370790")</f>
        <v>370790</v>
      </c>
      <c r="B3978" t="str">
        <f>T("PRÉPARATIONS CHIMIQUES POUR USAGES PHOTOGRAPHIQUES, Y.C. LES PRODUITS NON-MÉLANGÉS, SOIT DOSÉS EN VUE D'USAGES PHOTOGRAPHIQUES, SOIT CONDITIONNÉS POUR LA VENTE AU DÉTAIL POUR CES MÊMES USAGES ET PRÊTS À L'EMPLOI (À L'EXCL. DES VERNIS, COLLES, ADHÉSIFS ET")</f>
        <v>PRÉPARATIONS CHIMIQUES POUR USAGES PHOTOGRAPHIQUES, Y.C. LES PRODUITS NON-MÉLANGÉS, SOIT DOSÉS EN VUE D'USAGES PHOTOGRAPHIQUES, SOIT CONDITIONNÉS POUR LA VENTE AU DÉTAIL POUR CES MÊMES USAGES ET PRÊTS À L'EMPLOI (À L'EXCL. DES VERNIS, COLLES, ADHÉSIFS ET</v>
      </c>
    </row>
    <row r="3979" spans="1:4" x14ac:dyDescent="0.25">
      <c r="A3979" t="str">
        <f>T("   ZZZ_Monde")</f>
        <v xml:space="preserve">   ZZZ_Monde</v>
      </c>
      <c r="B3979" t="str">
        <f>T("   ZZZ_Monde")</f>
        <v xml:space="preserve">   ZZZ_Monde</v>
      </c>
      <c r="C3979">
        <v>51980872</v>
      </c>
      <c r="D3979">
        <v>54022</v>
      </c>
    </row>
    <row r="3980" spans="1:4" x14ac:dyDescent="0.25">
      <c r="A3980" t="str">
        <f>T("   BE")</f>
        <v xml:space="preserve">   BE</v>
      </c>
      <c r="B3980" t="str">
        <f>T("   Belgique")</f>
        <v xml:space="preserve">   Belgique</v>
      </c>
      <c r="C3980">
        <v>4531619</v>
      </c>
      <c r="D3980">
        <v>8040</v>
      </c>
    </row>
    <row r="3981" spans="1:4" x14ac:dyDescent="0.25">
      <c r="A3981" t="str">
        <f>T("   CI")</f>
        <v xml:space="preserve">   CI</v>
      </c>
      <c r="B3981" t="str">
        <f>T("   Côte d'Ivoire")</f>
        <v xml:space="preserve">   Côte d'Ivoire</v>
      </c>
      <c r="C3981">
        <v>1010244</v>
      </c>
      <c r="D3981">
        <v>252</v>
      </c>
    </row>
    <row r="3982" spans="1:4" x14ac:dyDescent="0.25">
      <c r="A3982" t="str">
        <f>T("   DE")</f>
        <v xml:space="preserve">   DE</v>
      </c>
      <c r="B3982" t="str">
        <f>T("   Allemagne")</f>
        <v xml:space="preserve">   Allemagne</v>
      </c>
      <c r="C3982">
        <v>8625635</v>
      </c>
      <c r="D3982">
        <v>9100</v>
      </c>
    </row>
    <row r="3983" spans="1:4" x14ac:dyDescent="0.25">
      <c r="A3983" t="str">
        <f>T("   FR")</f>
        <v xml:space="preserve">   FR</v>
      </c>
      <c r="B3983" t="str">
        <f>T("   France")</f>
        <v xml:space="preserve">   France</v>
      </c>
      <c r="C3983">
        <v>28327425</v>
      </c>
      <c r="D3983">
        <v>15929</v>
      </c>
    </row>
    <row r="3984" spans="1:4" x14ac:dyDescent="0.25">
      <c r="A3984" t="str">
        <f>T("   LB")</f>
        <v xml:space="preserve">   LB</v>
      </c>
      <c r="B3984" t="str">
        <f>T("   Liban")</f>
        <v xml:space="preserve">   Liban</v>
      </c>
      <c r="C3984">
        <v>9485949</v>
      </c>
      <c r="D3984">
        <v>20701</v>
      </c>
    </row>
    <row r="3985" spans="1:4" x14ac:dyDescent="0.25">
      <c r="A3985" t="str">
        <f>T("380210")</f>
        <v>380210</v>
      </c>
      <c r="B3985" t="str">
        <f>T("Charbons activés (à l'excl. des produits ayant le caractère de médicaments ou conditionnés pour la vente au détail en tant que désodorisants pour réfrigérateurs, automobiles, etc.)")</f>
        <v>Charbons activés (à l'excl. des produits ayant le caractère de médicaments ou conditionnés pour la vente au détail en tant que désodorisants pour réfrigérateurs, automobiles, etc.)</v>
      </c>
    </row>
    <row r="3986" spans="1:4" x14ac:dyDescent="0.25">
      <c r="A3986" t="str">
        <f>T("   ZZZ_Monde")</f>
        <v xml:space="preserve">   ZZZ_Monde</v>
      </c>
      <c r="B3986" t="str">
        <f>T("   ZZZ_Monde")</f>
        <v xml:space="preserve">   ZZZ_Monde</v>
      </c>
      <c r="C3986">
        <v>17131136</v>
      </c>
      <c r="D3986">
        <v>4235</v>
      </c>
    </row>
    <row r="3987" spans="1:4" x14ac:dyDescent="0.25">
      <c r="A3987" t="str">
        <f>T("   CH")</f>
        <v xml:space="preserve">   CH</v>
      </c>
      <c r="B3987" t="str">
        <f>T("   Suisse")</f>
        <v xml:space="preserve">   Suisse</v>
      </c>
      <c r="C3987">
        <v>17131136</v>
      </c>
      <c r="D3987">
        <v>4235</v>
      </c>
    </row>
    <row r="3988" spans="1:4" x14ac:dyDescent="0.25">
      <c r="A3988" t="str">
        <f>T("380290")</f>
        <v>380290</v>
      </c>
      <c r="B3988" t="str">
        <f>T("Kieselguhr activé, autres matières minérales naturelles activées et noirs d'origine animale, y.c. le noir animal épuisé (à l'excl. des charbons activés, des produits chimiques activés ainsi que de la diatomite calcinée sans agents frittants)")</f>
        <v>Kieselguhr activé, autres matières minérales naturelles activées et noirs d'origine animale, y.c. le noir animal épuisé (à l'excl. des charbons activés, des produits chimiques activés ainsi que de la diatomite calcinée sans agents frittants)</v>
      </c>
    </row>
    <row r="3989" spans="1:4" x14ac:dyDescent="0.25">
      <c r="A3989" t="str">
        <f>T("   ZZZ_Monde")</f>
        <v xml:space="preserve">   ZZZ_Monde</v>
      </c>
      <c r="B3989" t="str">
        <f>T("   ZZZ_Monde")</f>
        <v xml:space="preserve">   ZZZ_Monde</v>
      </c>
      <c r="C3989">
        <v>69691126</v>
      </c>
      <c r="D3989">
        <v>109655</v>
      </c>
    </row>
    <row r="3990" spans="1:4" x14ac:dyDescent="0.25">
      <c r="A3990" t="str">
        <f>T("   DE")</f>
        <v xml:space="preserve">   DE</v>
      </c>
      <c r="B3990" t="str">
        <f>T("   Allemagne")</f>
        <v xml:space="preserve">   Allemagne</v>
      </c>
      <c r="C3990">
        <v>18588884</v>
      </c>
      <c r="D3990">
        <v>37851</v>
      </c>
    </row>
    <row r="3991" spans="1:4" x14ac:dyDescent="0.25">
      <c r="A3991" t="str">
        <f>T("   FR")</f>
        <v xml:space="preserve">   FR</v>
      </c>
      <c r="B3991" t="str">
        <f>T("   France")</f>
        <v xml:space="preserve">   France</v>
      </c>
      <c r="C3991">
        <v>29985899</v>
      </c>
      <c r="D3991">
        <v>3054</v>
      </c>
    </row>
    <row r="3992" spans="1:4" x14ac:dyDescent="0.25">
      <c r="A3992" t="str">
        <f>T("   SN")</f>
        <v xml:space="preserve">   SN</v>
      </c>
      <c r="B3992" t="str">
        <f>T("   Sénégal")</f>
        <v xml:space="preserve">   Sénégal</v>
      </c>
      <c r="C3992">
        <v>600000</v>
      </c>
      <c r="D3992">
        <v>5000</v>
      </c>
    </row>
    <row r="3993" spans="1:4" x14ac:dyDescent="0.25">
      <c r="A3993" t="str">
        <f>T("   ZA")</f>
        <v xml:space="preserve">   ZA</v>
      </c>
      <c r="B3993" t="str">
        <f>T("   Afrique du Sud")</f>
        <v xml:space="preserve">   Afrique du Sud</v>
      </c>
      <c r="C3993">
        <v>20516343</v>
      </c>
      <c r="D3993">
        <v>63750</v>
      </c>
    </row>
    <row r="3994" spans="1:4" x14ac:dyDescent="0.25">
      <c r="A3994" t="str">
        <f>T("380510")</f>
        <v>380510</v>
      </c>
      <c r="B3994" t="str">
        <f>T("Essences de térébenthine, de bois de pin ou de papeterie au sulfate")</f>
        <v>Essences de térébenthine, de bois de pin ou de papeterie au sulfate</v>
      </c>
    </row>
    <row r="3995" spans="1:4" x14ac:dyDescent="0.25">
      <c r="A3995" t="str">
        <f>T("   ZZZ_Monde")</f>
        <v xml:space="preserve">   ZZZ_Monde</v>
      </c>
      <c r="B3995" t="str">
        <f>T("   ZZZ_Monde")</f>
        <v xml:space="preserve">   ZZZ_Monde</v>
      </c>
      <c r="C3995">
        <v>1601855</v>
      </c>
      <c r="D3995">
        <v>391</v>
      </c>
    </row>
    <row r="3996" spans="1:4" x14ac:dyDescent="0.25">
      <c r="A3996" t="str">
        <f>T("   BE")</f>
        <v xml:space="preserve">   BE</v>
      </c>
      <c r="B3996" t="str">
        <f>T("   Belgique")</f>
        <v xml:space="preserve">   Belgique</v>
      </c>
      <c r="C3996">
        <v>1496901</v>
      </c>
      <c r="D3996">
        <v>358</v>
      </c>
    </row>
    <row r="3997" spans="1:4" x14ac:dyDescent="0.25">
      <c r="A3997" t="str">
        <f>T("   FR")</f>
        <v xml:space="preserve">   FR</v>
      </c>
      <c r="B3997" t="str">
        <f>T("   France")</f>
        <v xml:space="preserve">   France</v>
      </c>
      <c r="C3997">
        <v>104954</v>
      </c>
      <c r="D3997">
        <v>33</v>
      </c>
    </row>
    <row r="3998" spans="1:4" x14ac:dyDescent="0.25">
      <c r="A3998" t="str">
        <f>T("380590")</f>
        <v>380590</v>
      </c>
      <c r="B3998" t="str">
        <f>T("Dipentène brut; essence de papeterie au bisulfite et autres paracymènes bruts; essences terpéniques provenant de la distillation ou d'autres traitements des bois de conifères (à l'excl. des essences de térébenthine, de bois de pin ou de papeterie au sulfa")</f>
        <v>Dipentène brut; essence de papeterie au bisulfite et autres paracymènes bruts; essences terpéniques provenant de la distillation ou d'autres traitements des bois de conifères (à l'excl. des essences de térébenthine, de bois de pin ou de papeterie au sulfa</v>
      </c>
    </row>
    <row r="3999" spans="1:4" x14ac:dyDescent="0.25">
      <c r="A3999" t="str">
        <f>T("   ZZZ_Monde")</f>
        <v xml:space="preserve">   ZZZ_Monde</v>
      </c>
      <c r="B3999" t="str">
        <f>T("   ZZZ_Monde")</f>
        <v xml:space="preserve">   ZZZ_Monde</v>
      </c>
      <c r="C3999">
        <v>1242677</v>
      </c>
      <c r="D3999">
        <v>1050</v>
      </c>
    </row>
    <row r="4000" spans="1:4" x14ac:dyDescent="0.25">
      <c r="A4000" t="str">
        <f>T("   CN")</f>
        <v xml:space="preserve">   CN</v>
      </c>
      <c r="B4000" t="str">
        <f>T("   Chine")</f>
        <v xml:space="preserve">   Chine</v>
      </c>
      <c r="C4000">
        <v>1242677</v>
      </c>
      <c r="D4000">
        <v>1050</v>
      </c>
    </row>
    <row r="4001" spans="1:4" x14ac:dyDescent="0.25">
      <c r="A4001" t="str">
        <f>T("380630")</f>
        <v>380630</v>
      </c>
      <c r="B4001" t="str">
        <f>T("Gommes esters")</f>
        <v>Gommes esters</v>
      </c>
    </row>
    <row r="4002" spans="1:4" x14ac:dyDescent="0.25">
      <c r="A4002" t="str">
        <f>T("   ZZZ_Monde")</f>
        <v xml:space="preserve">   ZZZ_Monde</v>
      </c>
      <c r="B4002" t="str">
        <f>T("   ZZZ_Monde")</f>
        <v xml:space="preserve">   ZZZ_Monde</v>
      </c>
      <c r="C4002">
        <v>1203030</v>
      </c>
      <c r="D4002">
        <v>200</v>
      </c>
    </row>
    <row r="4003" spans="1:4" x14ac:dyDescent="0.25">
      <c r="A4003" t="str">
        <f>T("   FR")</f>
        <v xml:space="preserve">   FR</v>
      </c>
      <c r="B4003" t="str">
        <f>T("   France")</f>
        <v xml:space="preserve">   France</v>
      </c>
      <c r="C4003">
        <v>1203030</v>
      </c>
      <c r="D4003">
        <v>200</v>
      </c>
    </row>
    <row r="4004" spans="1:4" x14ac:dyDescent="0.25">
      <c r="A4004" t="str">
        <f>T("380690")</f>
        <v>380690</v>
      </c>
      <c r="B4004" t="str">
        <f>T("Dérivés des colophanes, y.c. les sels des adducts de colophanes, et des acides résiniques, essence de colophane, huiles de colophane et gommes fondues (à l'excl. des sels de colophanes, d'acides résiniques ou de sels des dérivés de colophanes ou d'acides")</f>
        <v>Dérivés des colophanes, y.c. les sels des adducts de colophanes, et des acides résiniques, essence de colophane, huiles de colophane et gommes fondues (à l'excl. des sels de colophanes, d'acides résiniques ou de sels des dérivés de colophanes ou d'acides</v>
      </c>
    </row>
    <row r="4005" spans="1:4" x14ac:dyDescent="0.25">
      <c r="A4005" t="str">
        <f>T("   ZZZ_Monde")</f>
        <v xml:space="preserve">   ZZZ_Monde</v>
      </c>
      <c r="B4005" t="str">
        <f>T("   ZZZ_Monde")</f>
        <v xml:space="preserve">   ZZZ_Monde</v>
      </c>
      <c r="C4005">
        <v>53394064</v>
      </c>
      <c r="D4005">
        <v>25952</v>
      </c>
    </row>
    <row r="4006" spans="1:4" x14ac:dyDescent="0.25">
      <c r="A4006" t="str">
        <f>T("   CN")</f>
        <v xml:space="preserve">   CN</v>
      </c>
      <c r="B4006" t="str">
        <f>T("   Chine")</f>
        <v xml:space="preserve">   Chine</v>
      </c>
      <c r="C4006">
        <v>32201682</v>
      </c>
      <c r="D4006">
        <v>16664</v>
      </c>
    </row>
    <row r="4007" spans="1:4" x14ac:dyDescent="0.25">
      <c r="A4007" t="str">
        <f>T("   GB")</f>
        <v xml:space="preserve">   GB</v>
      </c>
      <c r="B4007" t="str">
        <f>T("   Royaume-Uni")</f>
        <v xml:space="preserve">   Royaume-Uni</v>
      </c>
      <c r="C4007">
        <v>6988598</v>
      </c>
      <c r="D4007">
        <v>2268</v>
      </c>
    </row>
    <row r="4008" spans="1:4" x14ac:dyDescent="0.25">
      <c r="A4008" t="str">
        <f>T("   IT")</f>
        <v xml:space="preserve">   IT</v>
      </c>
      <c r="B4008" t="str">
        <f>T("   Italie")</f>
        <v xml:space="preserve">   Italie</v>
      </c>
      <c r="C4008">
        <v>14203784</v>
      </c>
      <c r="D4008">
        <v>7020</v>
      </c>
    </row>
    <row r="4009" spans="1:4" x14ac:dyDescent="0.25">
      <c r="A4009" t="str">
        <f>T("380700")</f>
        <v>380700</v>
      </c>
      <c r="B4009" t="str">
        <f>T("Goudrons de bois; huiles de goudron de bois; créosote de bois; méthylène; poix végétales; poix de brasserie et préparations simil. à base de colophanes, d'acides résiniques ou de poix végétales")</f>
        <v>Goudrons de bois; huiles de goudron de bois; créosote de bois; méthylène; poix végétales; poix de brasserie et préparations simil. à base de colophanes, d'acides résiniques ou de poix végétales</v>
      </c>
    </row>
    <row r="4010" spans="1:4" x14ac:dyDescent="0.25">
      <c r="A4010" t="str">
        <f>T("   ZZZ_Monde")</f>
        <v xml:space="preserve">   ZZZ_Monde</v>
      </c>
      <c r="B4010" t="str">
        <f>T("   ZZZ_Monde")</f>
        <v xml:space="preserve">   ZZZ_Monde</v>
      </c>
      <c r="C4010">
        <v>29120</v>
      </c>
      <c r="D4010">
        <v>220</v>
      </c>
    </row>
    <row r="4011" spans="1:4" x14ac:dyDescent="0.25">
      <c r="A4011" t="str">
        <f>T("   TG")</f>
        <v xml:space="preserve">   TG</v>
      </c>
      <c r="B4011" t="str">
        <f>T("   Togo")</f>
        <v xml:space="preserve">   Togo</v>
      </c>
      <c r="C4011">
        <v>29120</v>
      </c>
      <c r="D4011">
        <v>220</v>
      </c>
    </row>
    <row r="4012" spans="1:4" x14ac:dyDescent="0.25">
      <c r="A4012" t="str">
        <f>T("380810")</f>
        <v>380810</v>
      </c>
      <c r="B4012" t="str">
        <f>T("Insecticides présentés dans des formes ou emballages de vente au détail ou à l'état de préparations ou sous forme d'articles")</f>
        <v>Insecticides présentés dans des formes ou emballages de vente au détail ou à l'état de préparations ou sous forme d'articles</v>
      </c>
    </row>
    <row r="4013" spans="1:4" x14ac:dyDescent="0.25">
      <c r="A4013" t="str">
        <f>T("   ZZZ_Monde")</f>
        <v xml:space="preserve">   ZZZ_Monde</v>
      </c>
      <c r="B4013" t="str">
        <f>T("   ZZZ_Monde")</f>
        <v xml:space="preserve">   ZZZ_Monde</v>
      </c>
      <c r="C4013">
        <v>1293227836</v>
      </c>
      <c r="D4013">
        <v>4005282</v>
      </c>
    </row>
    <row r="4014" spans="1:4" x14ac:dyDescent="0.25">
      <c r="A4014" t="str">
        <f>T("   AE")</f>
        <v xml:space="preserve">   AE</v>
      </c>
      <c r="B4014" t="str">
        <f>T("   Emirats Arabes Unis")</f>
        <v xml:space="preserve">   Emirats Arabes Unis</v>
      </c>
      <c r="C4014">
        <v>9264397</v>
      </c>
      <c r="D4014">
        <v>11822</v>
      </c>
    </row>
    <row r="4015" spans="1:4" x14ac:dyDescent="0.25">
      <c r="A4015" t="str">
        <f>T("   BE")</f>
        <v xml:space="preserve">   BE</v>
      </c>
      <c r="B4015" t="str">
        <f>T("   Belgique")</f>
        <v xml:space="preserve">   Belgique</v>
      </c>
      <c r="C4015">
        <v>1770222</v>
      </c>
      <c r="D4015">
        <v>465</v>
      </c>
    </row>
    <row r="4016" spans="1:4" x14ac:dyDescent="0.25">
      <c r="A4016" t="str">
        <f>T("   BR")</f>
        <v xml:space="preserve">   BR</v>
      </c>
      <c r="B4016" t="str">
        <f>T("   Brésil")</f>
        <v xml:space="preserve">   Brésil</v>
      </c>
      <c r="C4016">
        <v>2500000</v>
      </c>
      <c r="D4016">
        <v>23580</v>
      </c>
    </row>
    <row r="4017" spans="1:4" x14ac:dyDescent="0.25">
      <c r="A4017" t="str">
        <f>T("   CA")</f>
        <v xml:space="preserve">   CA</v>
      </c>
      <c r="B4017" t="str">
        <f>T("   Canada")</f>
        <v xml:space="preserve">   Canada</v>
      </c>
      <c r="C4017">
        <v>547897</v>
      </c>
      <c r="D4017">
        <v>1239</v>
      </c>
    </row>
    <row r="4018" spans="1:4" x14ac:dyDescent="0.25">
      <c r="A4018" t="str">
        <f>T("   CI")</f>
        <v xml:space="preserve">   CI</v>
      </c>
      <c r="B4018" t="str">
        <f>T("   Côte d'Ivoire")</f>
        <v xml:space="preserve">   Côte d'Ivoire</v>
      </c>
      <c r="C4018">
        <v>230608</v>
      </c>
      <c r="D4018">
        <v>378</v>
      </c>
    </row>
    <row r="4019" spans="1:4" x14ac:dyDescent="0.25">
      <c r="A4019" t="str">
        <f>T("   CN")</f>
        <v xml:space="preserve">   CN</v>
      </c>
      <c r="B4019" t="str">
        <f>T("   Chine")</f>
        <v xml:space="preserve">   Chine</v>
      </c>
      <c r="C4019">
        <v>934569141</v>
      </c>
      <c r="D4019">
        <v>2725811</v>
      </c>
    </row>
    <row r="4020" spans="1:4" x14ac:dyDescent="0.25">
      <c r="A4020" t="str">
        <f>T("   ES")</f>
        <v xml:space="preserve">   ES</v>
      </c>
      <c r="B4020" t="str">
        <f>T("   Espagne")</f>
        <v xml:space="preserve">   Espagne</v>
      </c>
      <c r="C4020">
        <v>65257865</v>
      </c>
      <c r="D4020">
        <v>158243</v>
      </c>
    </row>
    <row r="4021" spans="1:4" x14ac:dyDescent="0.25">
      <c r="A4021" t="str">
        <f>T("   FR")</f>
        <v xml:space="preserve">   FR</v>
      </c>
      <c r="B4021" t="str">
        <f>T("   France")</f>
        <v xml:space="preserve">   France</v>
      </c>
      <c r="C4021">
        <v>10741347</v>
      </c>
      <c r="D4021">
        <v>5300</v>
      </c>
    </row>
    <row r="4022" spans="1:4" x14ac:dyDescent="0.25">
      <c r="A4022" t="str">
        <f>T("   GH")</f>
        <v xml:space="preserve">   GH</v>
      </c>
      <c r="B4022" t="str">
        <f>T("   Ghana")</f>
        <v xml:space="preserve">   Ghana</v>
      </c>
      <c r="C4022">
        <v>1800000</v>
      </c>
      <c r="D4022">
        <v>3600</v>
      </c>
    </row>
    <row r="4023" spans="1:4" x14ac:dyDescent="0.25">
      <c r="A4023" t="str">
        <f>T("   HK")</f>
        <v xml:space="preserve">   HK</v>
      </c>
      <c r="B4023" t="str">
        <f>T("   Hong-Kong")</f>
        <v xml:space="preserve">   Hong-Kong</v>
      </c>
      <c r="C4023">
        <v>20532514</v>
      </c>
      <c r="D4023">
        <v>24652</v>
      </c>
    </row>
    <row r="4024" spans="1:4" x14ac:dyDescent="0.25">
      <c r="A4024" t="str">
        <f>T("   ID")</f>
        <v xml:space="preserve">   ID</v>
      </c>
      <c r="B4024" t="str">
        <f>T("   Indonésie")</f>
        <v xml:space="preserve">   Indonésie</v>
      </c>
      <c r="C4024">
        <v>5550445</v>
      </c>
      <c r="D4024">
        <v>598</v>
      </c>
    </row>
    <row r="4025" spans="1:4" x14ac:dyDescent="0.25">
      <c r="A4025" t="str">
        <f>T("   IT")</f>
        <v xml:space="preserve">   IT</v>
      </c>
      <c r="B4025" t="str">
        <f>T("   Italie")</f>
        <v xml:space="preserve">   Italie</v>
      </c>
      <c r="C4025">
        <v>1662576</v>
      </c>
      <c r="D4025">
        <v>2073</v>
      </c>
    </row>
    <row r="4026" spans="1:4" x14ac:dyDescent="0.25">
      <c r="A4026" t="str">
        <f>T("   LB")</f>
        <v xml:space="preserve">   LB</v>
      </c>
      <c r="B4026" t="str">
        <f>T("   Liban")</f>
        <v xml:space="preserve">   Liban</v>
      </c>
      <c r="C4026">
        <v>237278</v>
      </c>
      <c r="D4026">
        <v>786</v>
      </c>
    </row>
    <row r="4027" spans="1:4" x14ac:dyDescent="0.25">
      <c r="A4027" t="str">
        <f>T("   NG")</f>
        <v xml:space="preserve">   NG</v>
      </c>
      <c r="B4027" t="str">
        <f>T("   Nigéria")</f>
        <v xml:space="preserve">   Nigéria</v>
      </c>
      <c r="C4027">
        <v>28530772</v>
      </c>
      <c r="D4027">
        <v>177321</v>
      </c>
    </row>
    <row r="4028" spans="1:4" x14ac:dyDescent="0.25">
      <c r="A4028" t="str">
        <f>T("   NL")</f>
        <v xml:space="preserve">   NL</v>
      </c>
      <c r="B4028" t="str">
        <f>T("   Pays-bas")</f>
        <v xml:space="preserve">   Pays-bas</v>
      </c>
      <c r="C4028">
        <v>6244084</v>
      </c>
      <c r="D4028">
        <v>1991</v>
      </c>
    </row>
    <row r="4029" spans="1:4" x14ac:dyDescent="0.25">
      <c r="A4029" t="str">
        <f>T("   SA")</f>
        <v xml:space="preserve">   SA</v>
      </c>
      <c r="B4029" t="str">
        <f>T("   Arabie Saoudite")</f>
        <v xml:space="preserve">   Arabie Saoudite</v>
      </c>
      <c r="C4029">
        <v>37001391</v>
      </c>
      <c r="D4029">
        <v>17535</v>
      </c>
    </row>
    <row r="4030" spans="1:4" x14ac:dyDescent="0.25">
      <c r="A4030" t="str">
        <f>T("   TG")</f>
        <v xml:space="preserve">   TG</v>
      </c>
      <c r="B4030" t="str">
        <f>T("   Togo")</f>
        <v xml:space="preserve">   Togo</v>
      </c>
      <c r="C4030">
        <v>165891231</v>
      </c>
      <c r="D4030">
        <v>847708</v>
      </c>
    </row>
    <row r="4031" spans="1:4" x14ac:dyDescent="0.25">
      <c r="A4031" t="str">
        <f>T("   TH")</f>
        <v xml:space="preserve">   TH</v>
      </c>
      <c r="B4031" t="str">
        <f>T("   Thaïlande")</f>
        <v xml:space="preserve">   Thaïlande</v>
      </c>
      <c r="C4031">
        <v>120000</v>
      </c>
      <c r="D4031">
        <v>650</v>
      </c>
    </row>
    <row r="4032" spans="1:4" x14ac:dyDescent="0.25">
      <c r="A4032" t="str">
        <f>T("   TR")</f>
        <v xml:space="preserve">   TR</v>
      </c>
      <c r="B4032" t="str">
        <f>T("   Turquie")</f>
        <v xml:space="preserve">   Turquie</v>
      </c>
      <c r="C4032">
        <v>776068</v>
      </c>
      <c r="D4032">
        <v>1530</v>
      </c>
    </row>
    <row r="4033" spans="1:4" x14ac:dyDescent="0.25">
      <c r="A4033" t="str">
        <f>T("380820")</f>
        <v>380820</v>
      </c>
      <c r="B4033" t="str">
        <f>T("Fongicides présentés dans des formes ou emballages de vente au détail ou à l'état de préparations ou sous forme d'articles")</f>
        <v>Fongicides présentés dans des formes ou emballages de vente au détail ou à l'état de préparations ou sous forme d'articles</v>
      </c>
    </row>
    <row r="4034" spans="1:4" x14ac:dyDescent="0.25">
      <c r="A4034" t="str">
        <f>T("   ZZZ_Monde")</f>
        <v xml:space="preserve">   ZZZ_Monde</v>
      </c>
      <c r="B4034" t="str">
        <f>T("   ZZZ_Monde")</f>
        <v xml:space="preserve">   ZZZ_Monde</v>
      </c>
      <c r="C4034">
        <v>3418817</v>
      </c>
      <c r="D4034">
        <v>2860</v>
      </c>
    </row>
    <row r="4035" spans="1:4" x14ac:dyDescent="0.25">
      <c r="A4035" t="str">
        <f>T("   IT")</f>
        <v xml:space="preserve">   IT</v>
      </c>
      <c r="B4035" t="str">
        <f>T("   Italie")</f>
        <v xml:space="preserve">   Italie</v>
      </c>
      <c r="C4035">
        <v>3418817</v>
      </c>
      <c r="D4035">
        <v>2860</v>
      </c>
    </row>
    <row r="4036" spans="1:4" x14ac:dyDescent="0.25">
      <c r="A4036" t="str">
        <f>T("380830")</f>
        <v>380830</v>
      </c>
      <c r="B4036" t="str">
        <f>T("Herbicides, inhibiteurs de germination et régulateurs de croissance pour plantes, présentés dans des formes ou emballages de vente au détail ou à l'état de préparations ou sous forme d'articles")</f>
        <v>Herbicides, inhibiteurs de germination et régulateurs de croissance pour plantes, présentés dans des formes ou emballages de vente au détail ou à l'état de préparations ou sous forme d'articles</v>
      </c>
    </row>
    <row r="4037" spans="1:4" x14ac:dyDescent="0.25">
      <c r="A4037" t="str">
        <f>T("   ZZZ_Monde")</f>
        <v xml:space="preserve">   ZZZ_Monde</v>
      </c>
      <c r="B4037" t="str">
        <f>T("   ZZZ_Monde")</f>
        <v xml:space="preserve">   ZZZ_Monde</v>
      </c>
      <c r="C4037">
        <v>13306689</v>
      </c>
      <c r="D4037">
        <v>117010</v>
      </c>
    </row>
    <row r="4038" spans="1:4" x14ac:dyDescent="0.25">
      <c r="A4038" t="str">
        <f>T("   TG")</f>
        <v xml:space="preserve">   TG</v>
      </c>
      <c r="B4038" t="str">
        <f>T("   Togo")</f>
        <v xml:space="preserve">   Togo</v>
      </c>
      <c r="C4038">
        <v>13306689</v>
      </c>
      <c r="D4038">
        <v>117010</v>
      </c>
    </row>
    <row r="4039" spans="1:4" x14ac:dyDescent="0.25">
      <c r="A4039" t="str">
        <f>T("380840")</f>
        <v>380840</v>
      </c>
      <c r="B4039" t="str">
        <f>T("Désinfectants et produits simil., présentés dans des formes ou emballages de vente au détail ou à l'état de préparations ou sous forme d'articles")</f>
        <v>Désinfectants et produits simil., présentés dans des formes ou emballages de vente au détail ou à l'état de préparations ou sous forme d'articles</v>
      </c>
    </row>
    <row r="4040" spans="1:4" x14ac:dyDescent="0.25">
      <c r="A4040" t="str">
        <f>T("   ZZZ_Monde")</f>
        <v xml:space="preserve">   ZZZ_Monde</v>
      </c>
      <c r="B4040" t="str">
        <f>T("   ZZZ_Monde")</f>
        <v xml:space="preserve">   ZZZ_Monde</v>
      </c>
      <c r="C4040">
        <v>113894283</v>
      </c>
      <c r="D4040">
        <v>59957</v>
      </c>
    </row>
    <row r="4041" spans="1:4" x14ac:dyDescent="0.25">
      <c r="A4041" t="str">
        <f>T("   CI")</f>
        <v xml:space="preserve">   CI</v>
      </c>
      <c r="B4041" t="str">
        <f>T("   Côte d'Ivoire")</f>
        <v xml:space="preserve">   Côte d'Ivoire</v>
      </c>
      <c r="C4041">
        <v>2026917</v>
      </c>
      <c r="D4041">
        <v>5422</v>
      </c>
    </row>
    <row r="4042" spans="1:4" x14ac:dyDescent="0.25">
      <c r="A4042" t="str">
        <f>T("   CN")</f>
        <v xml:space="preserve">   CN</v>
      </c>
      <c r="B4042" t="str">
        <f>T("   Chine")</f>
        <v xml:space="preserve">   Chine</v>
      </c>
      <c r="C4042">
        <v>1244219</v>
      </c>
      <c r="D4042">
        <v>864</v>
      </c>
    </row>
    <row r="4043" spans="1:4" x14ac:dyDescent="0.25">
      <c r="A4043" t="str">
        <f>T("   DE")</f>
        <v xml:space="preserve">   DE</v>
      </c>
      <c r="B4043" t="str">
        <f>T("   Allemagne")</f>
        <v xml:space="preserve">   Allemagne</v>
      </c>
      <c r="C4043">
        <v>1284717</v>
      </c>
      <c r="D4043">
        <v>394</v>
      </c>
    </row>
    <row r="4044" spans="1:4" x14ac:dyDescent="0.25">
      <c r="A4044" t="str">
        <f>T("   FR")</f>
        <v xml:space="preserve">   FR</v>
      </c>
      <c r="B4044" t="str">
        <f>T("   France")</f>
        <v xml:space="preserve">   France</v>
      </c>
      <c r="C4044">
        <v>101676324</v>
      </c>
      <c r="D4044">
        <v>43012</v>
      </c>
    </row>
    <row r="4045" spans="1:4" x14ac:dyDescent="0.25">
      <c r="A4045" t="str">
        <f>T("   GB")</f>
        <v xml:space="preserve">   GB</v>
      </c>
      <c r="B4045" t="str">
        <f>T("   Royaume-Uni")</f>
        <v xml:space="preserve">   Royaume-Uni</v>
      </c>
      <c r="C4045">
        <v>656207</v>
      </c>
      <c r="D4045">
        <v>1074</v>
      </c>
    </row>
    <row r="4046" spans="1:4" x14ac:dyDescent="0.25">
      <c r="A4046" t="str">
        <f>T("   GH")</f>
        <v xml:space="preserve">   GH</v>
      </c>
      <c r="B4046" t="str">
        <f>T("   Ghana")</f>
        <v xml:space="preserve">   Ghana</v>
      </c>
      <c r="C4046">
        <v>541777</v>
      </c>
      <c r="D4046">
        <v>1400</v>
      </c>
    </row>
    <row r="4047" spans="1:4" x14ac:dyDescent="0.25">
      <c r="A4047" t="str">
        <f>T("   IT")</f>
        <v xml:space="preserve">   IT</v>
      </c>
      <c r="B4047" t="str">
        <f>T("   Italie")</f>
        <v xml:space="preserve">   Italie</v>
      </c>
      <c r="C4047">
        <v>318213</v>
      </c>
      <c r="D4047">
        <v>55</v>
      </c>
    </row>
    <row r="4048" spans="1:4" x14ac:dyDescent="0.25">
      <c r="A4048" t="str">
        <f>T("   LB")</f>
        <v xml:space="preserve">   LB</v>
      </c>
      <c r="B4048" t="str">
        <f>T("   Liban")</f>
        <v xml:space="preserve">   Liban</v>
      </c>
      <c r="C4048">
        <v>263642</v>
      </c>
      <c r="D4048">
        <v>771</v>
      </c>
    </row>
    <row r="4049" spans="1:4" x14ac:dyDescent="0.25">
      <c r="A4049" t="str">
        <f>T("   NG")</f>
        <v xml:space="preserve">   NG</v>
      </c>
      <c r="B4049" t="str">
        <f>T("   Nigéria")</f>
        <v xml:space="preserve">   Nigéria</v>
      </c>
      <c r="C4049">
        <v>106570</v>
      </c>
      <c r="D4049">
        <v>90</v>
      </c>
    </row>
    <row r="4050" spans="1:4" x14ac:dyDescent="0.25">
      <c r="A4050" t="str">
        <f>T("   NL")</f>
        <v xml:space="preserve">   NL</v>
      </c>
      <c r="B4050" t="str">
        <f>T("   Pays-bas")</f>
        <v xml:space="preserve">   Pays-bas</v>
      </c>
      <c r="C4050">
        <v>3935760</v>
      </c>
      <c r="D4050">
        <v>1255</v>
      </c>
    </row>
    <row r="4051" spans="1:4" x14ac:dyDescent="0.25">
      <c r="A4051" t="str">
        <f>T("   TG")</f>
        <v xml:space="preserve">   TG</v>
      </c>
      <c r="B4051" t="str">
        <f>T("   Togo")</f>
        <v xml:space="preserve">   Togo</v>
      </c>
      <c r="C4051">
        <v>1839937</v>
      </c>
      <c r="D4051">
        <v>5620</v>
      </c>
    </row>
    <row r="4052" spans="1:4" x14ac:dyDescent="0.25">
      <c r="A4052" t="str">
        <f>T("380890")</f>
        <v>380890</v>
      </c>
      <c r="B4052" t="str">
        <f>T("Antirongeurs et autres produits phytosanitaires, présentés dans des formes ou emballages de vente au détail ou à l'état de préparations ou sous forme d'articles (à l'excl. des insecticides, des fongicides, des herbicides et des désinfectants)")</f>
        <v>Antirongeurs et autres produits phytosanitaires, présentés dans des formes ou emballages de vente au détail ou à l'état de préparations ou sous forme d'articles (à l'excl. des insecticides, des fongicides, des herbicides et des désinfectants)</v>
      </c>
    </row>
    <row r="4053" spans="1:4" x14ac:dyDescent="0.25">
      <c r="A4053" t="str">
        <f>T("   ZZZ_Monde")</f>
        <v xml:space="preserve">   ZZZ_Monde</v>
      </c>
      <c r="B4053" t="str">
        <f>T("   ZZZ_Monde")</f>
        <v xml:space="preserve">   ZZZ_Monde</v>
      </c>
      <c r="C4053">
        <v>332626447</v>
      </c>
      <c r="D4053">
        <v>712477</v>
      </c>
    </row>
    <row r="4054" spans="1:4" x14ac:dyDescent="0.25">
      <c r="A4054" t="str">
        <f>T("   BE")</f>
        <v xml:space="preserve">   BE</v>
      </c>
      <c r="B4054" t="str">
        <f>T("   Belgique")</f>
        <v xml:space="preserve">   Belgique</v>
      </c>
      <c r="C4054">
        <v>3144673</v>
      </c>
      <c r="D4054">
        <v>6204</v>
      </c>
    </row>
    <row r="4055" spans="1:4" x14ac:dyDescent="0.25">
      <c r="A4055" t="str">
        <f>T("   CH")</f>
        <v xml:space="preserve">   CH</v>
      </c>
      <c r="B4055" t="str">
        <f>T("   Suisse")</f>
        <v xml:space="preserve">   Suisse</v>
      </c>
      <c r="C4055">
        <v>9167474</v>
      </c>
      <c r="D4055">
        <v>3749</v>
      </c>
    </row>
    <row r="4056" spans="1:4" x14ac:dyDescent="0.25">
      <c r="A4056" t="str">
        <f>T("   CN")</f>
        <v xml:space="preserve">   CN</v>
      </c>
      <c r="B4056" t="str">
        <f>T("   Chine")</f>
        <v xml:space="preserve">   Chine</v>
      </c>
      <c r="C4056">
        <v>213761360</v>
      </c>
      <c r="D4056">
        <v>543981</v>
      </c>
    </row>
    <row r="4057" spans="1:4" x14ac:dyDescent="0.25">
      <c r="A4057" t="str">
        <f>T("   DK")</f>
        <v xml:space="preserve">   DK</v>
      </c>
      <c r="B4057" t="str">
        <f>T("   Danemark")</f>
        <v xml:space="preserve">   Danemark</v>
      </c>
      <c r="C4057">
        <v>2671069</v>
      </c>
      <c r="D4057">
        <v>287</v>
      </c>
    </row>
    <row r="4058" spans="1:4" x14ac:dyDescent="0.25">
      <c r="A4058" t="str">
        <f>T("   FR")</f>
        <v xml:space="preserve">   FR</v>
      </c>
      <c r="B4058" t="str">
        <f>T("   France")</f>
        <v xml:space="preserve">   France</v>
      </c>
      <c r="C4058">
        <v>47095308</v>
      </c>
      <c r="D4058">
        <v>18844</v>
      </c>
    </row>
    <row r="4059" spans="1:4" x14ac:dyDescent="0.25">
      <c r="A4059" t="str">
        <f>T("   GB")</f>
        <v xml:space="preserve">   GB</v>
      </c>
      <c r="B4059" t="str">
        <f>T("   Royaume-Uni")</f>
        <v xml:space="preserve">   Royaume-Uni</v>
      </c>
      <c r="C4059">
        <v>10921733</v>
      </c>
      <c r="D4059">
        <v>2550</v>
      </c>
    </row>
    <row r="4060" spans="1:4" x14ac:dyDescent="0.25">
      <c r="A4060" t="str">
        <f>T("   ID")</f>
        <v xml:space="preserve">   ID</v>
      </c>
      <c r="B4060" t="str">
        <f>T("   Indonésie")</f>
        <v xml:space="preserve">   Indonésie</v>
      </c>
      <c r="C4060">
        <v>1786058</v>
      </c>
      <c r="D4060">
        <v>2166</v>
      </c>
    </row>
    <row r="4061" spans="1:4" x14ac:dyDescent="0.25">
      <c r="A4061" t="str">
        <f>T("   IT")</f>
        <v xml:space="preserve">   IT</v>
      </c>
      <c r="B4061" t="str">
        <f>T("   Italie")</f>
        <v xml:space="preserve">   Italie</v>
      </c>
      <c r="C4061">
        <v>4624649</v>
      </c>
      <c r="D4061">
        <v>4065</v>
      </c>
    </row>
    <row r="4062" spans="1:4" x14ac:dyDescent="0.25">
      <c r="A4062" t="str">
        <f>T("   JP")</f>
        <v xml:space="preserve">   JP</v>
      </c>
      <c r="B4062" t="str">
        <f>T("   Japon")</f>
        <v xml:space="preserve">   Japon</v>
      </c>
      <c r="C4062">
        <v>6628672</v>
      </c>
      <c r="D4062">
        <v>790</v>
      </c>
    </row>
    <row r="4063" spans="1:4" x14ac:dyDescent="0.25">
      <c r="A4063" t="str">
        <f>T("   NL")</f>
        <v xml:space="preserve">   NL</v>
      </c>
      <c r="B4063" t="str">
        <f>T("   Pays-bas")</f>
        <v xml:space="preserve">   Pays-bas</v>
      </c>
      <c r="C4063">
        <v>209277</v>
      </c>
      <c r="D4063">
        <v>125</v>
      </c>
    </row>
    <row r="4064" spans="1:4" x14ac:dyDescent="0.25">
      <c r="A4064" t="str">
        <f>T("   TG")</f>
        <v xml:space="preserve">   TG</v>
      </c>
      <c r="B4064" t="str">
        <f>T("   Togo")</f>
        <v xml:space="preserve">   Togo</v>
      </c>
      <c r="C4064">
        <v>32616174</v>
      </c>
      <c r="D4064">
        <v>129716</v>
      </c>
    </row>
    <row r="4065" spans="1:4" x14ac:dyDescent="0.25">
      <c r="A4065" t="str">
        <f>T("380991")</f>
        <v>380991</v>
      </c>
      <c r="B4065" t="str">
        <f>T("Agents d'apprêt ou de finissage, accélérateurs de teinture ou de fixation de matières colorantes et autres produits et préparations [parements préparés et préparations pour le mordançage, par exemple], des types utilisés dans l'industrie du cuir ou dans l")</f>
        <v>Agents d'apprêt ou de finissage, accélérateurs de teinture ou de fixation de matières colorantes et autres produits et préparations [parements préparés et préparations pour le mordançage, par exemple], des types utilisés dans l'industrie du cuir ou dans l</v>
      </c>
    </row>
    <row r="4066" spans="1:4" x14ac:dyDescent="0.25">
      <c r="A4066" t="str">
        <f>T("   ZZZ_Monde")</f>
        <v xml:space="preserve">   ZZZ_Monde</v>
      </c>
      <c r="B4066" t="str">
        <f>T("   ZZZ_Monde")</f>
        <v xml:space="preserve">   ZZZ_Monde</v>
      </c>
      <c r="C4066">
        <v>9816095</v>
      </c>
      <c r="D4066">
        <v>12462.82</v>
      </c>
    </row>
    <row r="4067" spans="1:4" x14ac:dyDescent="0.25">
      <c r="A4067" t="str">
        <f>T("   BE")</f>
        <v xml:space="preserve">   BE</v>
      </c>
      <c r="B4067" t="str">
        <f>T("   Belgique")</f>
        <v xml:space="preserve">   Belgique</v>
      </c>
      <c r="C4067">
        <v>795584</v>
      </c>
      <c r="D4067">
        <v>1880</v>
      </c>
    </row>
    <row r="4068" spans="1:4" x14ac:dyDescent="0.25">
      <c r="A4068" t="str">
        <f>T("   FR")</f>
        <v xml:space="preserve">   FR</v>
      </c>
      <c r="B4068" t="str">
        <f>T("   France")</f>
        <v xml:space="preserve">   France</v>
      </c>
      <c r="C4068">
        <v>6797507</v>
      </c>
      <c r="D4068">
        <v>7574.82</v>
      </c>
    </row>
    <row r="4069" spans="1:4" x14ac:dyDescent="0.25">
      <c r="A4069" t="str">
        <f>T("   SN")</f>
        <v xml:space="preserve">   SN</v>
      </c>
      <c r="B4069" t="str">
        <f>T("   Sénégal")</f>
        <v xml:space="preserve">   Sénégal</v>
      </c>
      <c r="C4069">
        <v>1271494</v>
      </c>
      <c r="D4069">
        <v>1158</v>
      </c>
    </row>
    <row r="4070" spans="1:4" x14ac:dyDescent="0.25">
      <c r="A4070" t="str">
        <f>T("   TR")</f>
        <v xml:space="preserve">   TR</v>
      </c>
      <c r="B4070" t="str">
        <f>T("   Turquie")</f>
        <v xml:space="preserve">   Turquie</v>
      </c>
      <c r="C4070">
        <v>951510</v>
      </c>
      <c r="D4070">
        <v>1850</v>
      </c>
    </row>
    <row r="4071" spans="1:4" x14ac:dyDescent="0.25">
      <c r="A4071" t="str">
        <f>T("380999")</f>
        <v>380999</v>
      </c>
      <c r="B4071" t="str">
        <f>T("AGENTS D'APPRET OU DE FINISSAGE, ACCELERATEURS DE TEINTURE OU DE FIXATION DE MATIÈRES COLORANTES ET AUTRES PRODUITS ET PRÉPARATIONS [PAREMENTS PREPARES ET PRÉPARATIONS POUR LE MORDANCAGE, PAR EXEMPLE], DES TYPES UTILISÉS DANS L'INDUSTRIE DU CUIR OU LES IN")</f>
        <v>AGENTS D'APPRET OU DE FINISSAGE, ACCELERATEURS DE TEINTURE OU DE FIXATION DE MATIÈRES COLORANTES ET AUTRES PRODUITS ET PRÉPARATIONS [PAREMENTS PREPARES ET PRÉPARATIONS POUR LE MORDANCAGE, PAR EXEMPLE], DES TYPES UTILISÉS DANS L'INDUSTRIE DU CUIR OU LES IN</v>
      </c>
    </row>
    <row r="4072" spans="1:4" x14ac:dyDescent="0.25">
      <c r="A4072" t="str">
        <f>T("   ZZZ_Monde")</f>
        <v xml:space="preserve">   ZZZ_Monde</v>
      </c>
      <c r="B4072" t="str">
        <f>T("   ZZZ_Monde")</f>
        <v xml:space="preserve">   ZZZ_Monde</v>
      </c>
      <c r="C4072">
        <v>10168000</v>
      </c>
      <c r="D4072">
        <v>326888</v>
      </c>
    </row>
    <row r="4073" spans="1:4" x14ac:dyDescent="0.25">
      <c r="A4073" t="str">
        <f>T("   Z2")</f>
        <v xml:space="preserve">   Z2</v>
      </c>
      <c r="B4073" t="str">
        <f>T("   Pays non défini")</f>
        <v xml:space="preserve">   Pays non défini</v>
      </c>
      <c r="C4073">
        <v>10168000</v>
      </c>
      <c r="D4073">
        <v>326888</v>
      </c>
    </row>
    <row r="4074" spans="1:4" x14ac:dyDescent="0.25">
      <c r="A4074" t="str">
        <f>T("381010")</f>
        <v>381010</v>
      </c>
      <c r="B4074" t="str">
        <f>T("Préparations pour le décapage des métaux; pâtes et poudres à souder ou à braser composées de métal et d'autres produits")</f>
        <v>Préparations pour le décapage des métaux; pâtes et poudres à souder ou à braser composées de métal et d'autres produits</v>
      </c>
    </row>
    <row r="4075" spans="1:4" x14ac:dyDescent="0.25">
      <c r="A4075" t="str">
        <f>T("   ZZZ_Monde")</f>
        <v xml:space="preserve">   ZZZ_Monde</v>
      </c>
      <c r="B4075" t="str">
        <f>T("   ZZZ_Monde")</f>
        <v xml:space="preserve">   ZZZ_Monde</v>
      </c>
      <c r="C4075">
        <v>129880</v>
      </c>
      <c r="D4075">
        <v>18</v>
      </c>
    </row>
    <row r="4076" spans="1:4" x14ac:dyDescent="0.25">
      <c r="A4076" t="str">
        <f>T("   FR")</f>
        <v xml:space="preserve">   FR</v>
      </c>
      <c r="B4076" t="str">
        <f>T("   France")</f>
        <v xml:space="preserve">   France</v>
      </c>
      <c r="C4076">
        <v>129880</v>
      </c>
      <c r="D4076">
        <v>18</v>
      </c>
    </row>
    <row r="4077" spans="1:4" x14ac:dyDescent="0.25">
      <c r="A4077" t="str">
        <f>T("381090")</f>
        <v>381090</v>
      </c>
      <c r="B4077" t="str">
        <f>T("Flux à souder ou à braser et autres préparations auxiliaires pour le soudage ou le brasage des métaux; préparations des types utilisés pour l'enrobage ou le fourrage des électrodes ou des baguettes de soudage (à l'excl. des pâtes et poudres composées de m")</f>
        <v>Flux à souder ou à braser et autres préparations auxiliaires pour le soudage ou le brasage des métaux; préparations des types utilisés pour l'enrobage ou le fourrage des électrodes ou des baguettes de soudage (à l'excl. des pâtes et poudres composées de m</v>
      </c>
    </row>
    <row r="4078" spans="1:4" x14ac:dyDescent="0.25">
      <c r="A4078" t="str">
        <f>T("   ZZZ_Monde")</f>
        <v xml:space="preserve">   ZZZ_Monde</v>
      </c>
      <c r="B4078" t="str">
        <f>T("   ZZZ_Monde")</f>
        <v xml:space="preserve">   ZZZ_Monde</v>
      </c>
      <c r="C4078">
        <v>4372481</v>
      </c>
      <c r="D4078">
        <v>15542</v>
      </c>
    </row>
    <row r="4079" spans="1:4" x14ac:dyDescent="0.25">
      <c r="A4079" t="str">
        <f>T("   CN")</f>
        <v xml:space="preserve">   CN</v>
      </c>
      <c r="B4079" t="str">
        <f>T("   Chine")</f>
        <v xml:space="preserve">   Chine</v>
      </c>
      <c r="C4079">
        <v>4266215</v>
      </c>
      <c r="D4079">
        <v>15506</v>
      </c>
    </row>
    <row r="4080" spans="1:4" x14ac:dyDescent="0.25">
      <c r="A4080" t="str">
        <f>T("   FR")</f>
        <v xml:space="preserve">   FR</v>
      </c>
      <c r="B4080" t="str">
        <f>T("   France")</f>
        <v xml:space="preserve">   France</v>
      </c>
      <c r="C4080">
        <v>106266</v>
      </c>
      <c r="D4080">
        <v>36</v>
      </c>
    </row>
    <row r="4081" spans="1:4" x14ac:dyDescent="0.25">
      <c r="A4081" t="str">
        <f>T("381119")</f>
        <v>381119</v>
      </c>
      <c r="B4081" t="str">
        <f>T("Préparations antidétonantes pour essences (à l'excl. des préparations à base de composés du plomb)")</f>
        <v>Préparations antidétonantes pour essences (à l'excl. des préparations à base de composés du plomb)</v>
      </c>
    </row>
    <row r="4082" spans="1:4" x14ac:dyDescent="0.25">
      <c r="A4082" t="str">
        <f>T("   ZZZ_Monde")</f>
        <v xml:space="preserve">   ZZZ_Monde</v>
      </c>
      <c r="B4082" t="str">
        <f>T("   ZZZ_Monde")</f>
        <v xml:space="preserve">   ZZZ_Monde</v>
      </c>
      <c r="C4082">
        <v>3398528</v>
      </c>
      <c r="D4082">
        <v>788</v>
      </c>
    </row>
    <row r="4083" spans="1:4" x14ac:dyDescent="0.25">
      <c r="A4083" t="str">
        <f>T("   FR")</f>
        <v xml:space="preserve">   FR</v>
      </c>
      <c r="B4083" t="str">
        <f>T("   France")</f>
        <v xml:space="preserve">   France</v>
      </c>
      <c r="C4083">
        <v>3398528</v>
      </c>
      <c r="D4083">
        <v>788</v>
      </c>
    </row>
    <row r="4084" spans="1:4" x14ac:dyDescent="0.25">
      <c r="A4084" t="str">
        <f>T("381121")</f>
        <v>381121</v>
      </c>
      <c r="B4084" t="str">
        <f>T("Additifs préparés pour huiles lubrifiantes, contenant des huiles de pétrole ou de minéraux bitumineux")</f>
        <v>Additifs préparés pour huiles lubrifiantes, contenant des huiles de pétrole ou de minéraux bitumineux</v>
      </c>
    </row>
    <row r="4085" spans="1:4" x14ac:dyDescent="0.25">
      <c r="A4085" t="str">
        <f>T("   ZZZ_Monde")</f>
        <v xml:space="preserve">   ZZZ_Monde</v>
      </c>
      <c r="B4085" t="str">
        <f>T("   ZZZ_Monde")</f>
        <v xml:space="preserve">   ZZZ_Monde</v>
      </c>
      <c r="C4085">
        <v>45261</v>
      </c>
      <c r="D4085">
        <v>24</v>
      </c>
    </row>
    <row r="4086" spans="1:4" x14ac:dyDescent="0.25">
      <c r="A4086" t="str">
        <f>T("   FR")</f>
        <v xml:space="preserve">   FR</v>
      </c>
      <c r="B4086" t="str">
        <f>T("   France")</f>
        <v xml:space="preserve">   France</v>
      </c>
      <c r="C4086">
        <v>45261</v>
      </c>
      <c r="D4086">
        <v>24</v>
      </c>
    </row>
    <row r="4087" spans="1:4" x14ac:dyDescent="0.25">
      <c r="A4087" t="str">
        <f>T("381129")</f>
        <v>381129</v>
      </c>
      <c r="B4087" t="str">
        <f>T("Additifs préparés pour huiles lubrifiantes, ne contenant pas d'huiles de pétrole ou de minéraux bitumineux")</f>
        <v>Additifs préparés pour huiles lubrifiantes, ne contenant pas d'huiles de pétrole ou de minéraux bitumineux</v>
      </c>
    </row>
    <row r="4088" spans="1:4" x14ac:dyDescent="0.25">
      <c r="A4088" t="str">
        <f>T("   ZZZ_Monde")</f>
        <v xml:space="preserve">   ZZZ_Monde</v>
      </c>
      <c r="B4088" t="str">
        <f>T("   ZZZ_Monde")</f>
        <v xml:space="preserve">   ZZZ_Monde</v>
      </c>
      <c r="C4088">
        <v>257792</v>
      </c>
      <c r="D4088">
        <v>106</v>
      </c>
    </row>
    <row r="4089" spans="1:4" x14ac:dyDescent="0.25">
      <c r="A4089" t="str">
        <f>T("   FR")</f>
        <v xml:space="preserve">   FR</v>
      </c>
      <c r="B4089" t="str">
        <f>T("   France")</f>
        <v xml:space="preserve">   France</v>
      </c>
      <c r="C4089">
        <v>257792</v>
      </c>
      <c r="D4089">
        <v>106</v>
      </c>
    </row>
    <row r="4090" spans="1:4" x14ac:dyDescent="0.25">
      <c r="A4090" t="str">
        <f>T("381190")</f>
        <v>381190</v>
      </c>
      <c r="B4090" t="str">
        <f>T("Inhibiteurs d'oxydation, additifs peptisants, améliorants de viscosité, additifs anticorrosifs et autres additifs préparés, pour huiles minérales - y.c. l'essence - ou pour autres liquides utilisés aux mêmes fins que les huiles minérales (à l'excl. des pr")</f>
        <v>Inhibiteurs d'oxydation, additifs peptisants, améliorants de viscosité, additifs anticorrosifs et autres additifs préparés, pour huiles minérales - y.c. l'essence - ou pour autres liquides utilisés aux mêmes fins que les huiles minérales (à l'excl. des pr</v>
      </c>
    </row>
    <row r="4091" spans="1:4" x14ac:dyDescent="0.25">
      <c r="A4091" t="str">
        <f>T("   ZZZ_Monde")</f>
        <v xml:space="preserve">   ZZZ_Monde</v>
      </c>
      <c r="B4091" t="str">
        <f>T("   ZZZ_Monde")</f>
        <v xml:space="preserve">   ZZZ_Monde</v>
      </c>
      <c r="C4091">
        <v>24423159</v>
      </c>
      <c r="D4091">
        <v>15949.4</v>
      </c>
    </row>
    <row r="4092" spans="1:4" x14ac:dyDescent="0.25">
      <c r="A4092" t="str">
        <f>T("   BE")</f>
        <v xml:space="preserve">   BE</v>
      </c>
      <c r="B4092" t="str">
        <f>T("   Belgique")</f>
        <v xml:space="preserve">   Belgique</v>
      </c>
      <c r="C4092">
        <v>10036649</v>
      </c>
      <c r="D4092">
        <v>1196</v>
      </c>
    </row>
    <row r="4093" spans="1:4" x14ac:dyDescent="0.25">
      <c r="A4093" t="str">
        <f>T("   FR")</f>
        <v xml:space="preserve">   FR</v>
      </c>
      <c r="B4093" t="str">
        <f>T("   France")</f>
        <v xml:space="preserve">   France</v>
      </c>
      <c r="C4093">
        <v>8878062</v>
      </c>
      <c r="D4093">
        <v>2470</v>
      </c>
    </row>
    <row r="4094" spans="1:4" x14ac:dyDescent="0.25">
      <c r="A4094" t="str">
        <f>T("   GB")</f>
        <v xml:space="preserve">   GB</v>
      </c>
      <c r="B4094" t="str">
        <f>T("   Royaume-Uni")</f>
        <v xml:space="preserve">   Royaume-Uni</v>
      </c>
      <c r="C4094">
        <v>2348448</v>
      </c>
      <c r="D4094">
        <v>533.4</v>
      </c>
    </row>
    <row r="4095" spans="1:4" x14ac:dyDescent="0.25">
      <c r="A4095" t="str">
        <f>T("   Z2")</f>
        <v xml:space="preserve">   Z2</v>
      </c>
      <c r="B4095" t="str">
        <f>T("   Pays non défini")</f>
        <v xml:space="preserve">   Pays non défini</v>
      </c>
      <c r="C4095">
        <v>3160000</v>
      </c>
      <c r="D4095">
        <v>11750</v>
      </c>
    </row>
    <row r="4096" spans="1:4" x14ac:dyDescent="0.25">
      <c r="A4096" t="str">
        <f>T("381220")</f>
        <v>381220</v>
      </c>
      <c r="B4096" t="str">
        <f>T("Plastifiants composites pour caoutchouc ou matières plastiques, n.d.a.")</f>
        <v>Plastifiants composites pour caoutchouc ou matières plastiques, n.d.a.</v>
      </c>
    </row>
    <row r="4097" spans="1:4" x14ac:dyDescent="0.25">
      <c r="A4097" t="str">
        <f>T("   ZZZ_Monde")</f>
        <v xml:space="preserve">   ZZZ_Monde</v>
      </c>
      <c r="B4097" t="str">
        <f>T("   ZZZ_Monde")</f>
        <v xml:space="preserve">   ZZZ_Monde</v>
      </c>
      <c r="C4097">
        <v>34275878</v>
      </c>
      <c r="D4097">
        <v>66000</v>
      </c>
    </row>
    <row r="4098" spans="1:4" x14ac:dyDescent="0.25">
      <c r="A4098" t="str">
        <f>T("   FR")</f>
        <v xml:space="preserve">   FR</v>
      </c>
      <c r="B4098" t="str">
        <f>T("   France")</f>
        <v xml:space="preserve">   France</v>
      </c>
      <c r="C4098">
        <v>34275878</v>
      </c>
      <c r="D4098">
        <v>66000</v>
      </c>
    </row>
    <row r="4099" spans="1:4" x14ac:dyDescent="0.25">
      <c r="A4099" t="str">
        <f>T("381230")</f>
        <v>381230</v>
      </c>
      <c r="B4099" t="str">
        <f>T("Préparations antioxydantes et autres stabilisateurs composites pour caoutchouc ou matières plastiques")</f>
        <v>Préparations antioxydantes et autres stabilisateurs composites pour caoutchouc ou matières plastiques</v>
      </c>
    </row>
    <row r="4100" spans="1:4" x14ac:dyDescent="0.25">
      <c r="A4100" t="str">
        <f>T("   ZZZ_Monde")</f>
        <v xml:space="preserve">   ZZZ_Monde</v>
      </c>
      <c r="B4100" t="str">
        <f>T("   ZZZ_Monde")</f>
        <v xml:space="preserve">   ZZZ_Monde</v>
      </c>
      <c r="C4100">
        <v>20719904</v>
      </c>
      <c r="D4100">
        <v>16510</v>
      </c>
    </row>
    <row r="4101" spans="1:4" x14ac:dyDescent="0.25">
      <c r="A4101" t="str">
        <f>T("   FR")</f>
        <v xml:space="preserve">   FR</v>
      </c>
      <c r="B4101" t="str">
        <f>T("   France")</f>
        <v xml:space="preserve">   France</v>
      </c>
      <c r="C4101">
        <v>20719904</v>
      </c>
      <c r="D4101">
        <v>16510</v>
      </c>
    </row>
    <row r="4102" spans="1:4" x14ac:dyDescent="0.25">
      <c r="A4102" t="str">
        <f>T("381400")</f>
        <v>381400</v>
      </c>
      <c r="B4102" t="str">
        <f>T("Solvants et diluants organiques composites, n.d.a.; préparations conçues pour enlever les peintures ou les vernis (à l'excl. des dissolvants pour vernis à ongles)")</f>
        <v>Solvants et diluants organiques composites, n.d.a.; préparations conçues pour enlever les peintures ou les vernis (à l'excl. des dissolvants pour vernis à ongles)</v>
      </c>
    </row>
    <row r="4103" spans="1:4" x14ac:dyDescent="0.25">
      <c r="A4103" t="str">
        <f>T("   ZZZ_Monde")</f>
        <v xml:space="preserve">   ZZZ_Monde</v>
      </c>
      <c r="B4103" t="str">
        <f>T("   ZZZ_Monde")</f>
        <v xml:space="preserve">   ZZZ_Monde</v>
      </c>
      <c r="C4103">
        <v>133550342</v>
      </c>
      <c r="D4103">
        <v>435342</v>
      </c>
    </row>
    <row r="4104" spans="1:4" x14ac:dyDescent="0.25">
      <c r="A4104" t="str">
        <f>T("   AE")</f>
        <v xml:space="preserve">   AE</v>
      </c>
      <c r="B4104" t="str">
        <f>T("   Emirats Arabes Unis")</f>
        <v xml:space="preserve">   Emirats Arabes Unis</v>
      </c>
      <c r="C4104">
        <v>502905</v>
      </c>
      <c r="D4104">
        <v>84</v>
      </c>
    </row>
    <row r="4105" spans="1:4" x14ac:dyDescent="0.25">
      <c r="A4105" t="str">
        <f>T("   BE")</f>
        <v xml:space="preserve">   BE</v>
      </c>
      <c r="B4105" t="str">
        <f>T("   Belgique")</f>
        <v xml:space="preserve">   Belgique</v>
      </c>
      <c r="C4105">
        <v>40760043</v>
      </c>
      <c r="D4105">
        <v>80972</v>
      </c>
    </row>
    <row r="4106" spans="1:4" x14ac:dyDescent="0.25">
      <c r="A4106" t="str">
        <f>T("   CH")</f>
        <v xml:space="preserve">   CH</v>
      </c>
      <c r="B4106" t="str">
        <f>T("   Suisse")</f>
        <v xml:space="preserve">   Suisse</v>
      </c>
      <c r="C4106">
        <v>1137822</v>
      </c>
      <c r="D4106">
        <v>39</v>
      </c>
    </row>
    <row r="4107" spans="1:4" x14ac:dyDescent="0.25">
      <c r="A4107" t="str">
        <f>T("   CI")</f>
        <v xml:space="preserve">   CI</v>
      </c>
      <c r="B4107" t="str">
        <f>T("   Côte d'Ivoire")</f>
        <v xml:space="preserve">   Côte d'Ivoire</v>
      </c>
      <c r="C4107">
        <v>82304</v>
      </c>
      <c r="D4107">
        <v>5</v>
      </c>
    </row>
    <row r="4108" spans="1:4" x14ac:dyDescent="0.25">
      <c r="A4108" t="str">
        <f>T("   CN")</f>
        <v xml:space="preserve">   CN</v>
      </c>
      <c r="B4108" t="str">
        <f>T("   Chine")</f>
        <v xml:space="preserve">   Chine</v>
      </c>
      <c r="C4108">
        <v>9125764</v>
      </c>
      <c r="D4108">
        <v>18310</v>
      </c>
    </row>
    <row r="4109" spans="1:4" x14ac:dyDescent="0.25">
      <c r="A4109" t="str">
        <f>T("   FR")</f>
        <v xml:space="preserve">   FR</v>
      </c>
      <c r="B4109" t="str">
        <f>T("   France")</f>
        <v xml:space="preserve">   France</v>
      </c>
      <c r="C4109">
        <v>2799899</v>
      </c>
      <c r="D4109">
        <v>618</v>
      </c>
    </row>
    <row r="4110" spans="1:4" x14ac:dyDescent="0.25">
      <c r="A4110" t="str">
        <f>T("   GB")</f>
        <v xml:space="preserve">   GB</v>
      </c>
      <c r="B4110" t="str">
        <f>T("   Royaume-Uni")</f>
        <v xml:space="preserve">   Royaume-Uni</v>
      </c>
      <c r="C4110">
        <v>41734524</v>
      </c>
      <c r="D4110">
        <v>152526</v>
      </c>
    </row>
    <row r="4111" spans="1:4" x14ac:dyDescent="0.25">
      <c r="A4111" t="str">
        <f>T("   GH")</f>
        <v xml:space="preserve">   GH</v>
      </c>
      <c r="B4111" t="str">
        <f>T("   Ghana")</f>
        <v xml:space="preserve">   Ghana</v>
      </c>
      <c r="C4111">
        <v>6800000</v>
      </c>
      <c r="D4111">
        <v>57220</v>
      </c>
    </row>
    <row r="4112" spans="1:4" x14ac:dyDescent="0.25">
      <c r="A4112" t="str">
        <f>T("   IT")</f>
        <v xml:space="preserve">   IT</v>
      </c>
      <c r="B4112" t="str">
        <f>T("   Italie")</f>
        <v xml:space="preserve">   Italie</v>
      </c>
      <c r="C4112">
        <v>3656892</v>
      </c>
      <c r="D4112">
        <v>15748</v>
      </c>
    </row>
    <row r="4113" spans="1:4" x14ac:dyDescent="0.25">
      <c r="A4113" t="str">
        <f>T("   LB")</f>
        <v xml:space="preserve">   LB</v>
      </c>
      <c r="B4113" t="str">
        <f>T("   Liban")</f>
        <v xml:space="preserve">   Liban</v>
      </c>
      <c r="C4113">
        <v>9745112</v>
      </c>
      <c r="D4113">
        <v>24384</v>
      </c>
    </row>
    <row r="4114" spans="1:4" x14ac:dyDescent="0.25">
      <c r="A4114" t="str">
        <f>T("   NG")</f>
        <v xml:space="preserve">   NG</v>
      </c>
      <c r="B4114" t="str">
        <f>T("   Nigéria")</f>
        <v xml:space="preserve">   Nigéria</v>
      </c>
      <c r="C4114">
        <v>369200</v>
      </c>
      <c r="D4114">
        <v>670</v>
      </c>
    </row>
    <row r="4115" spans="1:4" x14ac:dyDescent="0.25">
      <c r="A4115" t="str">
        <f>T("   TG")</f>
        <v xml:space="preserve">   TG</v>
      </c>
      <c r="B4115" t="str">
        <f>T("   Togo")</f>
        <v xml:space="preserve">   Togo</v>
      </c>
      <c r="C4115">
        <v>16547788</v>
      </c>
      <c r="D4115">
        <v>84638</v>
      </c>
    </row>
    <row r="4116" spans="1:4" x14ac:dyDescent="0.25">
      <c r="A4116" t="str">
        <f>T("   TW")</f>
        <v xml:space="preserve">   TW</v>
      </c>
      <c r="B4116" t="str">
        <f>T("   Taïwan, Province de Chine")</f>
        <v xml:space="preserve">   Taïwan, Province de Chine</v>
      </c>
      <c r="C4116">
        <v>288089</v>
      </c>
      <c r="D4116">
        <v>128</v>
      </c>
    </row>
    <row r="4117" spans="1:4" x14ac:dyDescent="0.25">
      <c r="A4117" t="str">
        <f>T("381600")</f>
        <v>381600</v>
      </c>
      <c r="B4117" t="str">
        <f>T("Ciments, mortiers, bétons et compositions simil. réfractaires (à l'excl. des préparations à base de graphite ou d'autre carbone)")</f>
        <v>Ciments, mortiers, bétons et compositions simil. réfractaires (à l'excl. des préparations à base de graphite ou d'autre carbone)</v>
      </c>
    </row>
    <row r="4118" spans="1:4" x14ac:dyDescent="0.25">
      <c r="A4118" t="str">
        <f>T("   ZZZ_Monde")</f>
        <v xml:space="preserve">   ZZZ_Monde</v>
      </c>
      <c r="B4118" t="str">
        <f>T("   ZZZ_Monde")</f>
        <v xml:space="preserve">   ZZZ_Monde</v>
      </c>
      <c r="C4118">
        <v>29746969</v>
      </c>
      <c r="D4118">
        <v>37700</v>
      </c>
    </row>
    <row r="4119" spans="1:4" x14ac:dyDescent="0.25">
      <c r="A4119" t="str">
        <f>T("   ES")</f>
        <v xml:space="preserve">   ES</v>
      </c>
      <c r="B4119" t="str">
        <f>T("   Espagne")</f>
        <v xml:space="preserve">   Espagne</v>
      </c>
      <c r="C4119">
        <v>23806100</v>
      </c>
      <c r="D4119">
        <v>20450</v>
      </c>
    </row>
    <row r="4120" spans="1:4" x14ac:dyDescent="0.25">
      <c r="A4120" t="str">
        <f>T("   FR")</f>
        <v xml:space="preserve">   FR</v>
      </c>
      <c r="B4120" t="str">
        <f>T("   France")</f>
        <v xml:space="preserve">   France</v>
      </c>
      <c r="C4120">
        <v>3431117</v>
      </c>
      <c r="D4120">
        <v>7250</v>
      </c>
    </row>
    <row r="4121" spans="1:4" x14ac:dyDescent="0.25">
      <c r="A4121" t="str">
        <f>T("   IN")</f>
        <v xml:space="preserve">   IN</v>
      </c>
      <c r="B4121" t="str">
        <f>T("   Inde")</f>
        <v xml:space="preserve">   Inde</v>
      </c>
      <c r="C4121">
        <v>2509752</v>
      </c>
      <c r="D4121">
        <v>10000</v>
      </c>
    </row>
    <row r="4122" spans="1:4" x14ac:dyDescent="0.25">
      <c r="A4122" t="str">
        <f>T("381800")</f>
        <v>381800</v>
      </c>
      <c r="B4122" t="str">
        <f>T("ÉLÉMENTS CHIMIQUES ET COMPOSÉS CHIMIQUES DOPÉS EN VUE DE LEUR UTILISATION EN ÉLECTRONIQUE, PRÉSENTÉS SOUS FORME DE DISQUES OU FORMES ANALOGUES OU ENCORE EN CYLINDRES, BARRES, ETC., OU DÉCOUPÉS EN DISQUES, PLAQUES OU FORMES ANALOGUES, POLIS OU NON ET RECOU")</f>
        <v>ÉLÉMENTS CHIMIQUES ET COMPOSÉS CHIMIQUES DOPÉS EN VUE DE LEUR UTILISATION EN ÉLECTRONIQUE, PRÉSENTÉS SOUS FORME DE DISQUES OU FORMES ANALOGUES OU ENCORE EN CYLINDRES, BARRES, ETC., OU DÉCOUPÉS EN DISQUES, PLAQUES OU FORMES ANALOGUES, POLIS OU NON ET RECOU</v>
      </c>
    </row>
    <row r="4123" spans="1:4" x14ac:dyDescent="0.25">
      <c r="A4123" t="str">
        <f>T("   ZZZ_Monde")</f>
        <v xml:space="preserve">   ZZZ_Monde</v>
      </c>
      <c r="B4123" t="str">
        <f>T("   ZZZ_Monde")</f>
        <v xml:space="preserve">   ZZZ_Monde</v>
      </c>
      <c r="C4123">
        <v>185637</v>
      </c>
      <c r="D4123">
        <v>72</v>
      </c>
    </row>
    <row r="4124" spans="1:4" x14ac:dyDescent="0.25">
      <c r="A4124" t="str">
        <f>T("   FR")</f>
        <v xml:space="preserve">   FR</v>
      </c>
      <c r="B4124" t="str">
        <f>T("   France")</f>
        <v xml:space="preserve">   France</v>
      </c>
      <c r="C4124">
        <v>185637</v>
      </c>
      <c r="D4124">
        <v>72</v>
      </c>
    </row>
    <row r="4125" spans="1:4" x14ac:dyDescent="0.25">
      <c r="A4125" t="str">
        <f>T("381900")</f>
        <v>381900</v>
      </c>
      <c r="B4125" t="str">
        <f>T("Liquides pour freins hydrauliques et autres liquides préparés pour transmissions hydrauliques, ne contenant ni huiles de pétrole ni huiles de minéraux bitumineux ou en contenant &lt; 70% en poids")</f>
        <v>Liquides pour freins hydrauliques et autres liquides préparés pour transmissions hydrauliques, ne contenant ni huiles de pétrole ni huiles de minéraux bitumineux ou en contenant &lt; 70% en poids</v>
      </c>
    </row>
    <row r="4126" spans="1:4" x14ac:dyDescent="0.25">
      <c r="A4126" t="str">
        <f>T("   ZZZ_Monde")</f>
        <v xml:space="preserve">   ZZZ_Monde</v>
      </c>
      <c r="B4126" t="str">
        <f>T("   ZZZ_Monde")</f>
        <v xml:space="preserve">   ZZZ_Monde</v>
      </c>
      <c r="C4126">
        <v>61424694</v>
      </c>
      <c r="D4126">
        <v>54512</v>
      </c>
    </row>
    <row r="4127" spans="1:4" x14ac:dyDescent="0.25">
      <c r="A4127" t="str">
        <f>T("   AE")</f>
        <v xml:space="preserve">   AE</v>
      </c>
      <c r="B4127" t="str">
        <f>T("   Emirats Arabes Unis")</f>
        <v xml:space="preserve">   Emirats Arabes Unis</v>
      </c>
      <c r="C4127">
        <v>29925256</v>
      </c>
      <c r="D4127">
        <v>23125</v>
      </c>
    </row>
    <row r="4128" spans="1:4" x14ac:dyDescent="0.25">
      <c r="A4128" t="str">
        <f>T("   BE")</f>
        <v xml:space="preserve">   BE</v>
      </c>
      <c r="B4128" t="str">
        <f>T("   Belgique")</f>
        <v xml:space="preserve">   Belgique</v>
      </c>
      <c r="C4128">
        <v>22124638</v>
      </c>
      <c r="D4128">
        <v>15419</v>
      </c>
    </row>
    <row r="4129" spans="1:4" x14ac:dyDescent="0.25">
      <c r="A4129" t="str">
        <f>T("   FR")</f>
        <v xml:space="preserve">   FR</v>
      </c>
      <c r="B4129" t="str">
        <f>T("   France")</f>
        <v xml:space="preserve">   France</v>
      </c>
      <c r="C4129">
        <v>3184030</v>
      </c>
      <c r="D4129">
        <v>190</v>
      </c>
    </row>
    <row r="4130" spans="1:4" x14ac:dyDescent="0.25">
      <c r="A4130" t="str">
        <f>T("   NL")</f>
        <v xml:space="preserve">   NL</v>
      </c>
      <c r="B4130" t="str">
        <f>T("   Pays-bas")</f>
        <v xml:space="preserve">   Pays-bas</v>
      </c>
      <c r="C4130">
        <v>1281746</v>
      </c>
      <c r="D4130">
        <v>105</v>
      </c>
    </row>
    <row r="4131" spans="1:4" x14ac:dyDescent="0.25">
      <c r="A4131" t="str">
        <f>T("   TR")</f>
        <v xml:space="preserve">   TR</v>
      </c>
      <c r="B4131" t="str">
        <f>T("   Turquie")</f>
        <v xml:space="preserve">   Turquie</v>
      </c>
      <c r="C4131">
        <v>4716325</v>
      </c>
      <c r="D4131">
        <v>15660</v>
      </c>
    </row>
    <row r="4132" spans="1:4" x14ac:dyDescent="0.25">
      <c r="A4132" t="str">
        <f>T("   ZA")</f>
        <v xml:space="preserve">   ZA</v>
      </c>
      <c r="B4132" t="str">
        <f>T("   Afrique du Sud")</f>
        <v xml:space="preserve">   Afrique du Sud</v>
      </c>
      <c r="C4132">
        <v>192699</v>
      </c>
      <c r="D4132">
        <v>13</v>
      </c>
    </row>
    <row r="4133" spans="1:4" x14ac:dyDescent="0.25">
      <c r="A4133" t="str">
        <f>T("382000")</f>
        <v>382000</v>
      </c>
      <c r="B4133" t="str">
        <f>T("Préparations antigel et liquides préparés pour dégivrage (à l'excl. des additifs préparés pour huiles minérales ou pour autres liquides utilisés aux mêmes fins que les huiles minérales)")</f>
        <v>Préparations antigel et liquides préparés pour dégivrage (à l'excl. des additifs préparés pour huiles minérales ou pour autres liquides utilisés aux mêmes fins que les huiles minérales)</v>
      </c>
    </row>
    <row r="4134" spans="1:4" x14ac:dyDescent="0.25">
      <c r="A4134" t="str">
        <f>T("   ZZZ_Monde")</f>
        <v xml:space="preserve">   ZZZ_Monde</v>
      </c>
      <c r="B4134" t="str">
        <f>T("   ZZZ_Monde")</f>
        <v xml:space="preserve">   ZZZ_Monde</v>
      </c>
      <c r="C4134">
        <v>10446334</v>
      </c>
      <c r="D4134">
        <v>15960</v>
      </c>
    </row>
    <row r="4135" spans="1:4" x14ac:dyDescent="0.25">
      <c r="A4135" t="str">
        <f>T("   AE")</f>
        <v xml:space="preserve">   AE</v>
      </c>
      <c r="B4135" t="str">
        <f>T("   Emirats Arabes Unis")</f>
        <v xml:space="preserve">   Emirats Arabes Unis</v>
      </c>
      <c r="C4135">
        <v>2954951</v>
      </c>
      <c r="D4135">
        <v>2700</v>
      </c>
    </row>
    <row r="4136" spans="1:4" x14ac:dyDescent="0.25">
      <c r="A4136" t="str">
        <f>T("   BE")</f>
        <v xml:space="preserve">   BE</v>
      </c>
      <c r="B4136" t="str">
        <f>T("   Belgique")</f>
        <v xml:space="preserve">   Belgique</v>
      </c>
      <c r="C4136">
        <v>182991</v>
      </c>
      <c r="D4136">
        <v>15</v>
      </c>
    </row>
    <row r="4137" spans="1:4" x14ac:dyDescent="0.25">
      <c r="A4137" t="str">
        <f>T("   FR")</f>
        <v xml:space="preserve">   FR</v>
      </c>
      <c r="B4137" t="str">
        <f>T("   France")</f>
        <v xml:space="preserve">   France</v>
      </c>
      <c r="C4137">
        <v>7308392</v>
      </c>
      <c r="D4137">
        <v>13245</v>
      </c>
    </row>
    <row r="4138" spans="1:4" x14ac:dyDescent="0.25">
      <c r="A4138" t="str">
        <f>T("382100")</f>
        <v>382100</v>
      </c>
      <c r="B4138" t="str">
        <f>T("Milieux de culture préparés pour le développement des micro-organismes")</f>
        <v>Milieux de culture préparés pour le développement des micro-organismes</v>
      </c>
    </row>
    <row r="4139" spans="1:4" x14ac:dyDescent="0.25">
      <c r="A4139" t="str">
        <f>T("   ZZZ_Monde")</f>
        <v xml:space="preserve">   ZZZ_Monde</v>
      </c>
      <c r="B4139" t="str">
        <f>T("   ZZZ_Monde")</f>
        <v xml:space="preserve">   ZZZ_Monde</v>
      </c>
      <c r="C4139">
        <v>49205792</v>
      </c>
      <c r="D4139">
        <v>1214</v>
      </c>
    </row>
    <row r="4140" spans="1:4" x14ac:dyDescent="0.25">
      <c r="A4140" t="str">
        <f>T("   CH")</f>
        <v xml:space="preserve">   CH</v>
      </c>
      <c r="B4140" t="str">
        <f>T("   Suisse")</f>
        <v xml:space="preserve">   Suisse</v>
      </c>
      <c r="C4140">
        <v>5439751</v>
      </c>
      <c r="D4140">
        <v>579</v>
      </c>
    </row>
    <row r="4141" spans="1:4" x14ac:dyDescent="0.25">
      <c r="A4141" t="str">
        <f>T("   DE")</f>
        <v xml:space="preserve">   DE</v>
      </c>
      <c r="B4141" t="str">
        <f>T("   Allemagne")</f>
        <v xml:space="preserve">   Allemagne</v>
      </c>
      <c r="C4141">
        <v>408745</v>
      </c>
      <c r="D4141">
        <v>2</v>
      </c>
    </row>
    <row r="4142" spans="1:4" x14ac:dyDescent="0.25">
      <c r="A4142" t="str">
        <f>T("   FR")</f>
        <v xml:space="preserve">   FR</v>
      </c>
      <c r="B4142" t="str">
        <f>T("   France")</f>
        <v xml:space="preserve">   France</v>
      </c>
      <c r="C4142">
        <v>20089083</v>
      </c>
      <c r="D4142">
        <v>368</v>
      </c>
    </row>
    <row r="4143" spans="1:4" x14ac:dyDescent="0.25">
      <c r="A4143" t="str">
        <f>T("   GB")</f>
        <v xml:space="preserve">   GB</v>
      </c>
      <c r="B4143" t="str">
        <f>T("   Royaume-Uni")</f>
        <v xml:space="preserve">   Royaume-Uni</v>
      </c>
      <c r="C4143">
        <v>23268213</v>
      </c>
      <c r="D4143">
        <v>265</v>
      </c>
    </row>
    <row r="4144" spans="1:4" x14ac:dyDescent="0.25">
      <c r="A4144" t="str">
        <f>T("382200")</f>
        <v>382200</v>
      </c>
      <c r="B4144" t="str">
        <f>T("Réactifs de diagnostic ou de laboratoire sur tout support et réactifs de diagnostic ou de laboratoire préparés, même présentés sur un support ainsi que des matériaux de référence certifiés (à l'excl. des réactifs composés de diagnostic conçus pour être em")</f>
        <v>Réactifs de diagnostic ou de laboratoire sur tout support et réactifs de diagnostic ou de laboratoire préparés, même présentés sur un support ainsi que des matériaux de référence certifiés (à l'excl. des réactifs composés de diagnostic conçus pour être em</v>
      </c>
    </row>
    <row r="4145" spans="1:4" x14ac:dyDescent="0.25">
      <c r="A4145" t="str">
        <f>T("   ZZZ_Monde")</f>
        <v xml:space="preserve">   ZZZ_Monde</v>
      </c>
      <c r="B4145" t="str">
        <f>T("   ZZZ_Monde")</f>
        <v xml:space="preserve">   ZZZ_Monde</v>
      </c>
      <c r="C4145">
        <v>416900942</v>
      </c>
      <c r="D4145">
        <v>36415.5</v>
      </c>
    </row>
    <row r="4146" spans="1:4" x14ac:dyDescent="0.25">
      <c r="A4146" t="str">
        <f>T("   AT")</f>
        <v xml:space="preserve">   AT</v>
      </c>
      <c r="B4146" t="str">
        <f>T("   Autriche")</f>
        <v xml:space="preserve">   Autriche</v>
      </c>
      <c r="C4146">
        <v>465732</v>
      </c>
      <c r="D4146">
        <v>20</v>
      </c>
    </row>
    <row r="4147" spans="1:4" x14ac:dyDescent="0.25">
      <c r="A4147" t="str">
        <f>T("   BE")</f>
        <v xml:space="preserve">   BE</v>
      </c>
      <c r="B4147" t="str">
        <f>T("   Belgique")</f>
        <v xml:space="preserve">   Belgique</v>
      </c>
      <c r="C4147">
        <v>3233647</v>
      </c>
      <c r="D4147">
        <v>1427</v>
      </c>
    </row>
    <row r="4148" spans="1:4" x14ac:dyDescent="0.25">
      <c r="A4148" t="str">
        <f>T("   CA")</f>
        <v xml:space="preserve">   CA</v>
      </c>
      <c r="B4148" t="str">
        <f>T("   Canada")</f>
        <v xml:space="preserve">   Canada</v>
      </c>
      <c r="C4148">
        <v>116731216</v>
      </c>
      <c r="D4148">
        <v>4080</v>
      </c>
    </row>
    <row r="4149" spans="1:4" x14ac:dyDescent="0.25">
      <c r="A4149" t="str">
        <f>T("   CH")</f>
        <v xml:space="preserve">   CH</v>
      </c>
      <c r="B4149" t="str">
        <f>T("   Suisse")</f>
        <v xml:space="preserve">   Suisse</v>
      </c>
      <c r="C4149">
        <v>3280548</v>
      </c>
      <c r="D4149">
        <v>129</v>
      </c>
    </row>
    <row r="4150" spans="1:4" x14ac:dyDescent="0.25">
      <c r="A4150" t="str">
        <f>T("   CN")</f>
        <v xml:space="preserve">   CN</v>
      </c>
      <c r="B4150" t="str">
        <f>T("   Chine")</f>
        <v xml:space="preserve">   Chine</v>
      </c>
      <c r="C4150">
        <v>5443918</v>
      </c>
      <c r="D4150">
        <v>339</v>
      </c>
    </row>
    <row r="4151" spans="1:4" x14ac:dyDescent="0.25">
      <c r="A4151" t="str">
        <f>T("   DE")</f>
        <v xml:space="preserve">   DE</v>
      </c>
      <c r="B4151" t="str">
        <f>T("   Allemagne")</f>
        <v xml:space="preserve">   Allemagne</v>
      </c>
      <c r="C4151">
        <v>28995578</v>
      </c>
      <c r="D4151">
        <v>21739</v>
      </c>
    </row>
    <row r="4152" spans="1:4" x14ac:dyDescent="0.25">
      <c r="A4152" t="str">
        <f>T("   EC")</f>
        <v xml:space="preserve">   EC</v>
      </c>
      <c r="B4152" t="str">
        <f>T("   Equateur")</f>
        <v xml:space="preserve">   Equateur</v>
      </c>
      <c r="C4152">
        <v>3288328</v>
      </c>
      <c r="D4152">
        <v>378</v>
      </c>
    </row>
    <row r="4153" spans="1:4" x14ac:dyDescent="0.25">
      <c r="A4153" t="str">
        <f>T("   ES")</f>
        <v xml:space="preserve">   ES</v>
      </c>
      <c r="B4153" t="str">
        <f>T("   Espagne")</f>
        <v xml:space="preserve">   Espagne</v>
      </c>
      <c r="C4153">
        <v>15438720</v>
      </c>
      <c r="D4153">
        <v>613</v>
      </c>
    </row>
    <row r="4154" spans="1:4" x14ac:dyDescent="0.25">
      <c r="A4154" t="str">
        <f>T("   FR")</f>
        <v xml:space="preserve">   FR</v>
      </c>
      <c r="B4154" t="str">
        <f>T("   France")</f>
        <v xml:space="preserve">   France</v>
      </c>
      <c r="C4154">
        <v>53939394</v>
      </c>
      <c r="D4154">
        <v>6449</v>
      </c>
    </row>
    <row r="4155" spans="1:4" x14ac:dyDescent="0.25">
      <c r="A4155" t="str">
        <f>T("   HK")</f>
        <v xml:space="preserve">   HK</v>
      </c>
      <c r="B4155" t="str">
        <f>T("   Hong-Kong")</f>
        <v xml:space="preserve">   Hong-Kong</v>
      </c>
      <c r="C4155">
        <v>2350603</v>
      </c>
      <c r="D4155">
        <v>102</v>
      </c>
    </row>
    <row r="4156" spans="1:4" x14ac:dyDescent="0.25">
      <c r="A4156" t="str">
        <f>T("   IN")</f>
        <v xml:space="preserve">   IN</v>
      </c>
      <c r="B4156" t="str">
        <f>T("   Inde")</f>
        <v xml:space="preserve">   Inde</v>
      </c>
      <c r="C4156">
        <v>7118348</v>
      </c>
      <c r="D4156">
        <v>79</v>
      </c>
    </row>
    <row r="4157" spans="1:4" x14ac:dyDescent="0.25">
      <c r="A4157" t="str">
        <f>T("   IS")</f>
        <v xml:space="preserve">   IS</v>
      </c>
      <c r="B4157" t="str">
        <f>T("   Islande")</f>
        <v xml:space="preserve">   Islande</v>
      </c>
      <c r="C4157">
        <v>53926875</v>
      </c>
      <c r="D4157">
        <v>185</v>
      </c>
    </row>
    <row r="4158" spans="1:4" x14ac:dyDescent="0.25">
      <c r="A4158" t="str">
        <f>T("   IT")</f>
        <v xml:space="preserve">   IT</v>
      </c>
      <c r="B4158" t="str">
        <f>T("   Italie")</f>
        <v xml:space="preserve">   Italie</v>
      </c>
      <c r="C4158">
        <v>1228160</v>
      </c>
      <c r="D4158">
        <v>30.5</v>
      </c>
    </row>
    <row r="4159" spans="1:4" x14ac:dyDescent="0.25">
      <c r="A4159" t="str">
        <f>T("   JP")</f>
        <v xml:space="preserve">   JP</v>
      </c>
      <c r="B4159" t="str">
        <f>T("   Japon")</f>
        <v xml:space="preserve">   Japon</v>
      </c>
      <c r="C4159">
        <v>19182600</v>
      </c>
      <c r="D4159">
        <v>8</v>
      </c>
    </row>
    <row r="4160" spans="1:4" x14ac:dyDescent="0.25">
      <c r="A4160" t="str">
        <f>T("   NL")</f>
        <v xml:space="preserve">   NL</v>
      </c>
      <c r="B4160" t="str">
        <f>T("   Pays-bas")</f>
        <v xml:space="preserve">   Pays-bas</v>
      </c>
      <c r="C4160">
        <v>99231005</v>
      </c>
      <c r="D4160">
        <v>720</v>
      </c>
    </row>
    <row r="4161" spans="1:4" x14ac:dyDescent="0.25">
      <c r="A4161" t="str">
        <f>T("   US")</f>
        <v xml:space="preserve">   US</v>
      </c>
      <c r="B4161" t="str">
        <f>T("   Etats-Unis")</f>
        <v xml:space="preserve">   Etats-Unis</v>
      </c>
      <c r="C4161">
        <v>3046270</v>
      </c>
      <c r="D4161">
        <v>117</v>
      </c>
    </row>
    <row r="4162" spans="1:4" x14ac:dyDescent="0.25">
      <c r="A4162" t="str">
        <f>T("382410")</f>
        <v>382410</v>
      </c>
      <c r="B4162" t="str">
        <f>T("Liants préparés pour moules ou noyaux de fonderie")</f>
        <v>Liants préparés pour moules ou noyaux de fonderie</v>
      </c>
    </row>
    <row r="4163" spans="1:4" x14ac:dyDescent="0.25">
      <c r="A4163" t="str">
        <f>T("   ZZZ_Monde")</f>
        <v xml:space="preserve">   ZZZ_Monde</v>
      </c>
      <c r="B4163" t="str">
        <f>T("   ZZZ_Monde")</f>
        <v xml:space="preserve">   ZZZ_Monde</v>
      </c>
      <c r="C4163">
        <v>872733</v>
      </c>
      <c r="D4163">
        <v>1630</v>
      </c>
    </row>
    <row r="4164" spans="1:4" x14ac:dyDescent="0.25">
      <c r="A4164" t="str">
        <f>T("   TG")</f>
        <v xml:space="preserve">   TG</v>
      </c>
      <c r="B4164" t="str">
        <f>T("   Togo")</f>
        <v xml:space="preserve">   Togo</v>
      </c>
      <c r="C4164">
        <v>872733</v>
      </c>
      <c r="D4164">
        <v>1630</v>
      </c>
    </row>
    <row r="4165" spans="1:4" x14ac:dyDescent="0.25">
      <c r="A4165" t="str">
        <f>T("382420")</f>
        <v>382420</v>
      </c>
      <c r="B4165" t="str">
        <f>T("Acides naphténiques, leurs sels insolubles dans l'eau et leurs esters")</f>
        <v>Acides naphténiques, leurs sels insolubles dans l'eau et leurs esters</v>
      </c>
    </row>
    <row r="4166" spans="1:4" x14ac:dyDescent="0.25">
      <c r="A4166" t="str">
        <f>T("   ZZZ_Monde")</f>
        <v xml:space="preserve">   ZZZ_Monde</v>
      </c>
      <c r="B4166" t="str">
        <f>T("   ZZZ_Monde")</f>
        <v xml:space="preserve">   ZZZ_Monde</v>
      </c>
      <c r="C4166">
        <v>2731444</v>
      </c>
      <c r="D4166">
        <v>2724</v>
      </c>
    </row>
    <row r="4167" spans="1:4" x14ac:dyDescent="0.25">
      <c r="A4167" t="str">
        <f>T("   IT")</f>
        <v xml:space="preserve">   IT</v>
      </c>
      <c r="B4167" t="str">
        <f>T("   Italie")</f>
        <v xml:space="preserve">   Italie</v>
      </c>
      <c r="C4167">
        <v>2731444</v>
      </c>
      <c r="D4167">
        <v>2724</v>
      </c>
    </row>
    <row r="4168" spans="1:4" x14ac:dyDescent="0.25">
      <c r="A4168" t="str">
        <f>T("382440")</f>
        <v>382440</v>
      </c>
      <c r="B4168" t="str">
        <f>T("Additifs préparés pour ciments, mortiers ou bétons")</f>
        <v>Additifs préparés pour ciments, mortiers ou bétons</v>
      </c>
    </row>
    <row r="4169" spans="1:4" x14ac:dyDescent="0.25">
      <c r="A4169" t="str">
        <f>T("   ZZZ_Monde")</f>
        <v xml:space="preserve">   ZZZ_Monde</v>
      </c>
      <c r="B4169" t="str">
        <f>T("   ZZZ_Monde")</f>
        <v xml:space="preserve">   ZZZ_Monde</v>
      </c>
      <c r="C4169">
        <v>321717979</v>
      </c>
      <c r="D4169">
        <v>491893</v>
      </c>
    </row>
    <row r="4170" spans="1:4" x14ac:dyDescent="0.25">
      <c r="A4170" t="str">
        <f>T("   ES")</f>
        <v xml:space="preserve">   ES</v>
      </c>
      <c r="B4170" t="str">
        <f>T("   Espagne")</f>
        <v xml:space="preserve">   Espagne</v>
      </c>
      <c r="C4170">
        <v>404072</v>
      </c>
      <c r="D4170">
        <v>59</v>
      </c>
    </row>
    <row r="4171" spans="1:4" x14ac:dyDescent="0.25">
      <c r="A4171" t="str">
        <f>T("   FR")</f>
        <v xml:space="preserve">   FR</v>
      </c>
      <c r="B4171" t="str">
        <f>T("   France")</f>
        <v xml:space="preserve">   France</v>
      </c>
      <c r="C4171">
        <v>48510801</v>
      </c>
      <c r="D4171">
        <v>61606</v>
      </c>
    </row>
    <row r="4172" spans="1:4" x14ac:dyDescent="0.25">
      <c r="A4172" t="str">
        <f>T("   IT")</f>
        <v xml:space="preserve">   IT</v>
      </c>
      <c r="B4172" t="str">
        <f>T("   Italie")</f>
        <v xml:space="preserve">   Italie</v>
      </c>
      <c r="C4172">
        <v>145352209</v>
      </c>
      <c r="D4172">
        <v>229440</v>
      </c>
    </row>
    <row r="4173" spans="1:4" x14ac:dyDescent="0.25">
      <c r="A4173" t="str">
        <f>T("   NG")</f>
        <v xml:space="preserve">   NG</v>
      </c>
      <c r="B4173" t="str">
        <f>T("   Nigéria")</f>
        <v xml:space="preserve">   Nigéria</v>
      </c>
      <c r="C4173">
        <v>3693391</v>
      </c>
      <c r="D4173">
        <v>50000</v>
      </c>
    </row>
    <row r="4174" spans="1:4" x14ac:dyDescent="0.25">
      <c r="A4174" t="str">
        <f>T("   NO")</f>
        <v xml:space="preserve">   NO</v>
      </c>
      <c r="B4174" t="str">
        <f>T("   Norvège")</f>
        <v xml:space="preserve">   Norvège</v>
      </c>
      <c r="C4174">
        <v>73504096</v>
      </c>
      <c r="D4174">
        <v>80940</v>
      </c>
    </row>
    <row r="4175" spans="1:4" x14ac:dyDescent="0.25">
      <c r="A4175" t="str">
        <f>T("   TG")</f>
        <v xml:space="preserve">   TG</v>
      </c>
      <c r="B4175" t="str">
        <f>T("   Togo")</f>
        <v xml:space="preserve">   Togo</v>
      </c>
      <c r="C4175">
        <v>499500</v>
      </c>
      <c r="D4175">
        <v>1000</v>
      </c>
    </row>
    <row r="4176" spans="1:4" x14ac:dyDescent="0.25">
      <c r="A4176" t="str">
        <f>T("   TN")</f>
        <v xml:space="preserve">   TN</v>
      </c>
      <c r="B4176" t="str">
        <f>T("   Tunisie")</f>
        <v xml:space="preserve">   Tunisie</v>
      </c>
      <c r="C4176">
        <v>49753910</v>
      </c>
      <c r="D4176">
        <v>68848</v>
      </c>
    </row>
    <row r="4177" spans="1:4" x14ac:dyDescent="0.25">
      <c r="A4177" t="str">
        <f>T("382450")</f>
        <v>382450</v>
      </c>
      <c r="B4177" t="str">
        <f>T("MORTIERS ET BÉTONS, NON-RÉFRACTAIRES")</f>
        <v>MORTIERS ET BÉTONS, NON-RÉFRACTAIRES</v>
      </c>
    </row>
    <row r="4178" spans="1:4" x14ac:dyDescent="0.25">
      <c r="A4178" t="str">
        <f>T("   ZZZ_Monde")</f>
        <v xml:space="preserve">   ZZZ_Monde</v>
      </c>
      <c r="B4178" t="str">
        <f>T("   ZZZ_Monde")</f>
        <v xml:space="preserve">   ZZZ_Monde</v>
      </c>
      <c r="C4178">
        <v>8110572</v>
      </c>
      <c r="D4178">
        <v>3782</v>
      </c>
    </row>
    <row r="4179" spans="1:4" x14ac:dyDescent="0.25">
      <c r="A4179" t="str">
        <f>T("   FR")</f>
        <v xml:space="preserve">   FR</v>
      </c>
      <c r="B4179" t="str">
        <f>T("   France")</f>
        <v xml:space="preserve">   France</v>
      </c>
      <c r="C4179">
        <v>8110572</v>
      </c>
      <c r="D4179">
        <v>3782</v>
      </c>
    </row>
    <row r="4180" spans="1:4" x14ac:dyDescent="0.25">
      <c r="A4180" t="str">
        <f>T("382479")</f>
        <v>382479</v>
      </c>
      <c r="B4180" t="str">
        <f>T("Mélanges contenant des dérivés perhalogènes des hydrocarbures acycliques comportant au moins deux halogènes différents (sauf uniquement avec du fluor et du chlore)")</f>
        <v>Mélanges contenant des dérivés perhalogènes des hydrocarbures acycliques comportant au moins deux halogènes différents (sauf uniquement avec du fluor et du chlore)</v>
      </c>
    </row>
    <row r="4181" spans="1:4" x14ac:dyDescent="0.25">
      <c r="A4181" t="str">
        <f>T("   ZZZ_Monde")</f>
        <v xml:space="preserve">   ZZZ_Monde</v>
      </c>
      <c r="B4181" t="str">
        <f>T("   ZZZ_Monde")</f>
        <v xml:space="preserve">   ZZZ_Monde</v>
      </c>
      <c r="C4181">
        <v>3519389</v>
      </c>
      <c r="D4181">
        <v>2925</v>
      </c>
    </row>
    <row r="4182" spans="1:4" x14ac:dyDescent="0.25">
      <c r="A4182" t="str">
        <f>T("   FR")</f>
        <v xml:space="preserve">   FR</v>
      </c>
      <c r="B4182" t="str">
        <f>T("   France")</f>
        <v xml:space="preserve">   France</v>
      </c>
      <c r="C4182">
        <v>1889578</v>
      </c>
      <c r="D4182">
        <v>1113</v>
      </c>
    </row>
    <row r="4183" spans="1:4" x14ac:dyDescent="0.25">
      <c r="A4183" t="str">
        <f>T("   TN")</f>
        <v xml:space="preserve">   TN</v>
      </c>
      <c r="B4183" t="str">
        <f>T("   Tunisie")</f>
        <v xml:space="preserve">   Tunisie</v>
      </c>
      <c r="C4183">
        <v>1629811</v>
      </c>
      <c r="D4183">
        <v>1812</v>
      </c>
    </row>
    <row r="4184" spans="1:4" x14ac:dyDescent="0.25">
      <c r="A4184" t="str">
        <f>T("382490")</f>
        <v>382490</v>
      </c>
      <c r="B4184" t="str">
        <f>T("Produits chimiques et préparations des industries chimiques ou des industries connexes, y.c. celles consistant en mélanges de produits naturels, n.d.a.")</f>
        <v>Produits chimiques et préparations des industries chimiques ou des industries connexes, y.c. celles consistant en mélanges de produits naturels, n.d.a.</v>
      </c>
    </row>
    <row r="4185" spans="1:4" x14ac:dyDescent="0.25">
      <c r="A4185" t="str">
        <f>T("   ZZZ_Monde")</f>
        <v xml:space="preserve">   ZZZ_Monde</v>
      </c>
      <c r="B4185" t="str">
        <f>T("   ZZZ_Monde")</f>
        <v xml:space="preserve">   ZZZ_Monde</v>
      </c>
      <c r="C4185">
        <v>218352477</v>
      </c>
      <c r="D4185">
        <v>64632</v>
      </c>
    </row>
    <row r="4186" spans="1:4" x14ac:dyDescent="0.25">
      <c r="A4186" t="str">
        <f>T("   AE")</f>
        <v xml:space="preserve">   AE</v>
      </c>
      <c r="B4186" t="str">
        <f>T("   Emirats Arabes Unis")</f>
        <v xml:space="preserve">   Emirats Arabes Unis</v>
      </c>
      <c r="C4186">
        <v>210550</v>
      </c>
      <c r="D4186">
        <v>200</v>
      </c>
    </row>
    <row r="4187" spans="1:4" x14ac:dyDescent="0.25">
      <c r="A4187" t="str">
        <f>T("   BE")</f>
        <v xml:space="preserve">   BE</v>
      </c>
      <c r="B4187" t="str">
        <f>T("   Belgique")</f>
        <v xml:space="preserve">   Belgique</v>
      </c>
      <c r="C4187">
        <v>5332956</v>
      </c>
      <c r="D4187">
        <v>2583</v>
      </c>
    </row>
    <row r="4188" spans="1:4" x14ac:dyDescent="0.25">
      <c r="A4188" t="str">
        <f>T("   CH")</f>
        <v xml:space="preserve">   CH</v>
      </c>
      <c r="B4188" t="str">
        <f>T("   Suisse")</f>
        <v xml:space="preserve">   Suisse</v>
      </c>
      <c r="C4188">
        <v>36614638</v>
      </c>
      <c r="D4188">
        <v>5340</v>
      </c>
    </row>
    <row r="4189" spans="1:4" x14ac:dyDescent="0.25">
      <c r="A4189" t="str">
        <f>T("   CN")</f>
        <v xml:space="preserve">   CN</v>
      </c>
      <c r="B4189" t="str">
        <f>T("   Chine")</f>
        <v xml:space="preserve">   Chine</v>
      </c>
      <c r="C4189">
        <v>1795252</v>
      </c>
      <c r="D4189">
        <v>1204</v>
      </c>
    </row>
    <row r="4190" spans="1:4" x14ac:dyDescent="0.25">
      <c r="A4190" t="str">
        <f>T("   ES")</f>
        <v xml:space="preserve">   ES</v>
      </c>
      <c r="B4190" t="str">
        <f>T("   Espagne")</f>
        <v xml:space="preserve">   Espagne</v>
      </c>
      <c r="C4190">
        <v>1860880</v>
      </c>
      <c r="D4190">
        <v>500</v>
      </c>
    </row>
    <row r="4191" spans="1:4" x14ac:dyDescent="0.25">
      <c r="A4191" t="str">
        <f>T("   FR")</f>
        <v xml:space="preserve">   FR</v>
      </c>
      <c r="B4191" t="str">
        <f>T("   France")</f>
        <v xml:space="preserve">   France</v>
      </c>
      <c r="C4191">
        <v>109857080</v>
      </c>
      <c r="D4191">
        <v>38444</v>
      </c>
    </row>
    <row r="4192" spans="1:4" x14ac:dyDescent="0.25">
      <c r="A4192" t="str">
        <f>T("   GB")</f>
        <v xml:space="preserve">   GB</v>
      </c>
      <c r="B4192" t="str">
        <f>T("   Royaume-Uni")</f>
        <v xml:space="preserve">   Royaume-Uni</v>
      </c>
      <c r="C4192">
        <v>18257789</v>
      </c>
      <c r="D4192">
        <v>11167</v>
      </c>
    </row>
    <row r="4193" spans="1:4" x14ac:dyDescent="0.25">
      <c r="A4193" t="str">
        <f>T("   LB")</f>
        <v xml:space="preserve">   LB</v>
      </c>
      <c r="B4193" t="str">
        <f>T("   Liban")</f>
        <v xml:space="preserve">   Liban</v>
      </c>
      <c r="C4193">
        <v>622915</v>
      </c>
      <c r="D4193">
        <v>1729</v>
      </c>
    </row>
    <row r="4194" spans="1:4" x14ac:dyDescent="0.25">
      <c r="A4194" t="str">
        <f>T("   NL")</f>
        <v xml:space="preserve">   NL</v>
      </c>
      <c r="B4194" t="str">
        <f>T("   Pays-bas")</f>
        <v xml:space="preserve">   Pays-bas</v>
      </c>
      <c r="C4194">
        <v>43800417</v>
      </c>
      <c r="D4194">
        <v>3465</v>
      </c>
    </row>
    <row r="4195" spans="1:4" x14ac:dyDescent="0.25">
      <c r="A4195" t="str">
        <f>T("382590")</f>
        <v>382590</v>
      </c>
      <c r="B4195" t="str">
        <f>T("Produits résiduaires des industries chimiques ou des industries connexes, n.d.a. (à l'excl. des déchets)")</f>
        <v>Produits résiduaires des industries chimiques ou des industries connexes, n.d.a. (à l'excl. des déchets)</v>
      </c>
    </row>
    <row r="4196" spans="1:4" x14ac:dyDescent="0.25">
      <c r="A4196" t="str">
        <f>T("   ZZZ_Monde")</f>
        <v xml:space="preserve">   ZZZ_Monde</v>
      </c>
      <c r="B4196" t="str">
        <f>T("   ZZZ_Monde")</f>
        <v xml:space="preserve">   ZZZ_Monde</v>
      </c>
      <c r="C4196">
        <v>470258</v>
      </c>
      <c r="D4196">
        <v>200</v>
      </c>
    </row>
    <row r="4197" spans="1:4" x14ac:dyDescent="0.25">
      <c r="A4197" t="str">
        <f>T("   ES")</f>
        <v xml:space="preserve">   ES</v>
      </c>
      <c r="B4197" t="str">
        <f>T("   Espagne")</f>
        <v xml:space="preserve">   Espagne</v>
      </c>
      <c r="C4197">
        <v>470258</v>
      </c>
      <c r="D4197">
        <v>200</v>
      </c>
    </row>
    <row r="4198" spans="1:4" x14ac:dyDescent="0.25">
      <c r="A4198" t="str">
        <f>T("390110")</f>
        <v>390110</v>
      </c>
      <c r="B4198" t="str">
        <f>T("Polyéthylène d'une densité &lt; 0,94, sous formes primaires")</f>
        <v>Polyéthylène d'une densité &lt; 0,94, sous formes primaires</v>
      </c>
    </row>
    <row r="4199" spans="1:4" x14ac:dyDescent="0.25">
      <c r="A4199" t="str">
        <f>T("   ZZZ_Monde")</f>
        <v xml:space="preserve">   ZZZ_Monde</v>
      </c>
      <c r="B4199" t="str">
        <f>T("   ZZZ_Monde")</f>
        <v xml:space="preserve">   ZZZ_Monde</v>
      </c>
      <c r="C4199">
        <v>228131215</v>
      </c>
      <c r="D4199">
        <v>291834</v>
      </c>
    </row>
    <row r="4200" spans="1:4" x14ac:dyDescent="0.25">
      <c r="A4200" t="str">
        <f>T("   FR")</f>
        <v xml:space="preserve">   FR</v>
      </c>
      <c r="B4200" t="str">
        <f>T("   France")</f>
        <v xml:space="preserve">   France</v>
      </c>
      <c r="C4200">
        <v>129979956</v>
      </c>
      <c r="D4200">
        <v>153234</v>
      </c>
    </row>
    <row r="4201" spans="1:4" x14ac:dyDescent="0.25">
      <c r="A4201" t="str">
        <f>T("   QA")</f>
        <v xml:space="preserve">   QA</v>
      </c>
      <c r="B4201" t="str">
        <f>T("   Qatar")</f>
        <v xml:space="preserve">   Qatar</v>
      </c>
      <c r="C4201">
        <v>24398432</v>
      </c>
      <c r="D4201">
        <v>34700</v>
      </c>
    </row>
    <row r="4202" spans="1:4" x14ac:dyDescent="0.25">
      <c r="A4202" t="str">
        <f>T("   US")</f>
        <v xml:space="preserve">   US</v>
      </c>
      <c r="B4202" t="str">
        <f>T("   Etats-Unis")</f>
        <v xml:space="preserve">   Etats-Unis</v>
      </c>
      <c r="C4202">
        <v>63091222</v>
      </c>
      <c r="D4202">
        <v>87850</v>
      </c>
    </row>
    <row r="4203" spans="1:4" x14ac:dyDescent="0.25">
      <c r="A4203" t="str">
        <f>T("   ZA")</f>
        <v xml:space="preserve">   ZA</v>
      </c>
      <c r="B4203" t="str">
        <f>T("   Afrique du Sud")</f>
        <v xml:space="preserve">   Afrique du Sud</v>
      </c>
      <c r="C4203">
        <v>10661605</v>
      </c>
      <c r="D4203">
        <v>16050</v>
      </c>
    </row>
    <row r="4204" spans="1:4" x14ac:dyDescent="0.25">
      <c r="A4204" t="str">
        <f>T("390120")</f>
        <v>390120</v>
      </c>
      <c r="B4204" t="str">
        <f>T("Polyéthylène d'une densité &gt;= 0,94, sous formes primaires")</f>
        <v>Polyéthylène d'une densité &gt;= 0,94, sous formes primaires</v>
      </c>
    </row>
    <row r="4205" spans="1:4" x14ac:dyDescent="0.25">
      <c r="A4205" t="str">
        <f>T("   ZZZ_Monde")</f>
        <v xml:space="preserve">   ZZZ_Monde</v>
      </c>
      <c r="B4205" t="str">
        <f>T("   ZZZ_Monde")</f>
        <v xml:space="preserve">   ZZZ_Monde</v>
      </c>
      <c r="C4205">
        <v>143784228</v>
      </c>
      <c r="D4205">
        <v>193081</v>
      </c>
    </row>
    <row r="4206" spans="1:4" x14ac:dyDescent="0.25">
      <c r="A4206" t="str">
        <f>T("   FR")</f>
        <v xml:space="preserve">   FR</v>
      </c>
      <c r="B4206" t="str">
        <f>T("   France")</f>
        <v xml:space="preserve">   France</v>
      </c>
      <c r="C4206">
        <v>61763081</v>
      </c>
      <c r="D4206">
        <v>86485</v>
      </c>
    </row>
    <row r="4207" spans="1:4" x14ac:dyDescent="0.25">
      <c r="A4207" t="str">
        <f>T("   KP")</f>
        <v xml:space="preserve">   KP</v>
      </c>
      <c r="B4207" t="str">
        <f>T("   Corée, Rép. Populaire Démocratique")</f>
        <v xml:space="preserve">   Corée, Rép. Populaire Démocratique</v>
      </c>
      <c r="C4207">
        <v>14103140</v>
      </c>
      <c r="D4207">
        <v>17570</v>
      </c>
    </row>
    <row r="4208" spans="1:4" x14ac:dyDescent="0.25">
      <c r="A4208" t="str">
        <f>T("   TH")</f>
        <v xml:space="preserve">   TH</v>
      </c>
      <c r="B4208" t="str">
        <f>T("   Thaïlande")</f>
        <v xml:space="preserve">   Thaïlande</v>
      </c>
      <c r="C4208">
        <v>27234803</v>
      </c>
      <c r="D4208">
        <v>36216</v>
      </c>
    </row>
    <row r="4209" spans="1:4" x14ac:dyDescent="0.25">
      <c r="A4209" t="str">
        <f>T("   US")</f>
        <v xml:space="preserve">   US</v>
      </c>
      <c r="B4209" t="str">
        <f>T("   Etats-Unis")</f>
        <v xml:space="preserve">   Etats-Unis</v>
      </c>
      <c r="C4209">
        <v>40683204</v>
      </c>
      <c r="D4209">
        <v>52810</v>
      </c>
    </row>
    <row r="4210" spans="1:4" x14ac:dyDescent="0.25">
      <c r="A4210" t="str">
        <f>T("390190")</f>
        <v>390190</v>
      </c>
      <c r="B4210" t="str">
        <f>T("Polymères de l'éthylène, sous formes primaires (à l'excl. du polyéthylène ainsi que des copolymères d'éthylène et d'acétate de vinyle)")</f>
        <v>Polymères de l'éthylène, sous formes primaires (à l'excl. du polyéthylène ainsi que des copolymères d'éthylène et d'acétate de vinyle)</v>
      </c>
    </row>
    <row r="4211" spans="1:4" x14ac:dyDescent="0.25">
      <c r="A4211" t="str">
        <f>T("   ZZZ_Monde")</f>
        <v xml:space="preserve">   ZZZ_Monde</v>
      </c>
      <c r="B4211" t="str">
        <f>T("   ZZZ_Monde")</f>
        <v xml:space="preserve">   ZZZ_Monde</v>
      </c>
      <c r="C4211">
        <v>447956027</v>
      </c>
      <c r="D4211">
        <v>974747</v>
      </c>
    </row>
    <row r="4212" spans="1:4" x14ac:dyDescent="0.25">
      <c r="A4212" t="str">
        <f>T("   BR")</f>
        <v xml:space="preserve">   BR</v>
      </c>
      <c r="B4212" t="str">
        <f>T("   Brésil")</f>
        <v xml:space="preserve">   Brésil</v>
      </c>
      <c r="C4212">
        <v>37531010</v>
      </c>
      <c r="D4212">
        <v>49797</v>
      </c>
    </row>
    <row r="4213" spans="1:4" x14ac:dyDescent="0.25">
      <c r="A4213" t="str">
        <f>T("   FR")</f>
        <v xml:space="preserve">   FR</v>
      </c>
      <c r="B4213" t="str">
        <f>T("   France")</f>
        <v xml:space="preserve">   France</v>
      </c>
      <c r="C4213">
        <v>237683885</v>
      </c>
      <c r="D4213">
        <v>356180</v>
      </c>
    </row>
    <row r="4214" spans="1:4" x14ac:dyDescent="0.25">
      <c r="A4214" t="str">
        <f>T("   IT")</f>
        <v xml:space="preserve">   IT</v>
      </c>
      <c r="B4214" t="str">
        <f>T("   Italie")</f>
        <v xml:space="preserve">   Italie</v>
      </c>
      <c r="C4214">
        <v>44043778</v>
      </c>
      <c r="D4214">
        <v>102220</v>
      </c>
    </row>
    <row r="4215" spans="1:4" x14ac:dyDescent="0.25">
      <c r="A4215" t="str">
        <f>T("   TG")</f>
        <v xml:space="preserve">   TG</v>
      </c>
      <c r="B4215" t="str">
        <f>T("   Togo")</f>
        <v xml:space="preserve">   Togo</v>
      </c>
      <c r="C4215">
        <v>17300000</v>
      </c>
      <c r="D4215">
        <v>133910</v>
      </c>
    </row>
    <row r="4216" spans="1:4" x14ac:dyDescent="0.25">
      <c r="A4216" t="str">
        <f>T("   US")</f>
        <v xml:space="preserve">   US</v>
      </c>
      <c r="B4216" t="str">
        <f>T("   Etats-Unis")</f>
        <v xml:space="preserve">   Etats-Unis</v>
      </c>
      <c r="C4216">
        <v>111397354</v>
      </c>
      <c r="D4216">
        <v>332640</v>
      </c>
    </row>
    <row r="4217" spans="1:4" x14ac:dyDescent="0.25">
      <c r="A4217" t="str">
        <f>T("390210")</f>
        <v>390210</v>
      </c>
      <c r="B4217" t="str">
        <f>T("Polypropylène, sous formes primaires")</f>
        <v>Polypropylène, sous formes primaires</v>
      </c>
    </row>
    <row r="4218" spans="1:4" x14ac:dyDescent="0.25">
      <c r="A4218" t="str">
        <f>T("   ZZZ_Monde")</f>
        <v xml:space="preserve">   ZZZ_Monde</v>
      </c>
      <c r="B4218" t="str">
        <f>T("   ZZZ_Monde")</f>
        <v xml:space="preserve">   ZZZ_Monde</v>
      </c>
      <c r="C4218">
        <v>154798442</v>
      </c>
      <c r="D4218">
        <v>696815</v>
      </c>
    </row>
    <row r="4219" spans="1:4" x14ac:dyDescent="0.25">
      <c r="A4219" t="str">
        <f>T("   BR")</f>
        <v xml:space="preserve">   BR</v>
      </c>
      <c r="B4219" t="str">
        <f>T("   Brésil")</f>
        <v xml:space="preserve">   Brésil</v>
      </c>
      <c r="C4219">
        <v>25544722</v>
      </c>
      <c r="D4219">
        <v>82500</v>
      </c>
    </row>
    <row r="4220" spans="1:4" x14ac:dyDescent="0.25">
      <c r="A4220" t="str">
        <f>T("   FR")</f>
        <v xml:space="preserve">   FR</v>
      </c>
      <c r="B4220" t="str">
        <f>T("   France")</f>
        <v xml:space="preserve">   France</v>
      </c>
      <c r="C4220">
        <v>65376418</v>
      </c>
      <c r="D4220">
        <v>85000</v>
      </c>
    </row>
    <row r="4221" spans="1:4" x14ac:dyDescent="0.25">
      <c r="A4221" t="str">
        <f>T("   NG")</f>
        <v xml:space="preserve">   NG</v>
      </c>
      <c r="B4221" t="str">
        <f>T("   Nigéria")</f>
        <v xml:space="preserve">   Nigéria</v>
      </c>
      <c r="C4221">
        <v>35905200</v>
      </c>
      <c r="D4221">
        <v>444315</v>
      </c>
    </row>
    <row r="4222" spans="1:4" x14ac:dyDescent="0.25">
      <c r="A4222" t="str">
        <f>T("   ZA")</f>
        <v xml:space="preserve">   ZA</v>
      </c>
      <c r="B4222" t="str">
        <f>T("   Afrique du Sud")</f>
        <v xml:space="preserve">   Afrique du Sud</v>
      </c>
      <c r="C4222">
        <v>27972102</v>
      </c>
      <c r="D4222">
        <v>85000</v>
      </c>
    </row>
    <row r="4223" spans="1:4" x14ac:dyDescent="0.25">
      <c r="A4223" t="str">
        <f>T("390230")</f>
        <v>390230</v>
      </c>
      <c r="B4223" t="str">
        <f>T("Copolymères de propylène, sous formes primaires")</f>
        <v>Copolymères de propylène, sous formes primaires</v>
      </c>
    </row>
    <row r="4224" spans="1:4" x14ac:dyDescent="0.25">
      <c r="A4224" t="str">
        <f>T("   ZZZ_Monde")</f>
        <v xml:space="preserve">   ZZZ_Monde</v>
      </c>
      <c r="B4224" t="str">
        <f>T("   ZZZ_Monde")</f>
        <v xml:space="preserve">   ZZZ_Monde</v>
      </c>
      <c r="C4224">
        <v>52426226</v>
      </c>
      <c r="D4224">
        <v>50748</v>
      </c>
    </row>
    <row r="4225" spans="1:4" x14ac:dyDescent="0.25">
      <c r="A4225" t="str">
        <f>T("   FR")</f>
        <v xml:space="preserve">   FR</v>
      </c>
      <c r="B4225" t="str">
        <f>T("   France")</f>
        <v xml:space="preserve">   France</v>
      </c>
      <c r="C4225">
        <v>27137721</v>
      </c>
      <c r="D4225">
        <v>25278</v>
      </c>
    </row>
    <row r="4226" spans="1:4" x14ac:dyDescent="0.25">
      <c r="A4226" t="str">
        <f>T("   TN")</f>
        <v xml:space="preserve">   TN</v>
      </c>
      <c r="B4226" t="str">
        <f>T("   Tunisie")</f>
        <v xml:space="preserve">   Tunisie</v>
      </c>
      <c r="C4226">
        <v>25288505</v>
      </c>
      <c r="D4226">
        <v>25470</v>
      </c>
    </row>
    <row r="4227" spans="1:4" x14ac:dyDescent="0.25">
      <c r="A4227" t="str">
        <f>T("390290")</f>
        <v>390290</v>
      </c>
      <c r="B4227" t="str">
        <f>T("Polymères de propylène ou d'autres oléfines, sous formes primaires (à l'excl. du polypropylène, du polyisobutylène et des copolymères de propylène)")</f>
        <v>Polymères de propylène ou d'autres oléfines, sous formes primaires (à l'excl. du polypropylène, du polyisobutylène et des copolymères de propylène)</v>
      </c>
    </row>
    <row r="4228" spans="1:4" x14ac:dyDescent="0.25">
      <c r="A4228" t="str">
        <f>T("   ZZZ_Monde")</f>
        <v xml:space="preserve">   ZZZ_Monde</v>
      </c>
      <c r="B4228" t="str">
        <f>T("   ZZZ_Monde")</f>
        <v xml:space="preserve">   ZZZ_Monde</v>
      </c>
      <c r="C4228">
        <v>2581276</v>
      </c>
      <c r="D4228">
        <v>10290</v>
      </c>
    </row>
    <row r="4229" spans="1:4" x14ac:dyDescent="0.25">
      <c r="A4229" t="str">
        <f>T("   NG")</f>
        <v xml:space="preserve">   NG</v>
      </c>
      <c r="B4229" t="str">
        <f>T("   Nigéria")</f>
        <v xml:space="preserve">   Nigéria</v>
      </c>
      <c r="C4229">
        <v>576000</v>
      </c>
      <c r="D4229">
        <v>1000</v>
      </c>
    </row>
    <row r="4230" spans="1:4" x14ac:dyDescent="0.25">
      <c r="A4230" t="str">
        <f>T("   TG")</f>
        <v xml:space="preserve">   TG</v>
      </c>
      <c r="B4230" t="str">
        <f>T("   Togo")</f>
        <v xml:space="preserve">   Togo</v>
      </c>
      <c r="C4230">
        <v>2005276</v>
      </c>
      <c r="D4230">
        <v>9290</v>
      </c>
    </row>
    <row r="4231" spans="1:4" x14ac:dyDescent="0.25">
      <c r="A4231" t="str">
        <f>T("390311")</f>
        <v>390311</v>
      </c>
      <c r="B4231" t="str">
        <f>T("Polystyrène expansible, sous formes primaires")</f>
        <v>Polystyrène expansible, sous formes primaires</v>
      </c>
    </row>
    <row r="4232" spans="1:4" x14ac:dyDescent="0.25">
      <c r="A4232" t="str">
        <f>T("   ZZZ_Monde")</f>
        <v xml:space="preserve">   ZZZ_Monde</v>
      </c>
      <c r="B4232" t="str">
        <f>T("   ZZZ_Monde")</f>
        <v xml:space="preserve">   ZZZ_Monde</v>
      </c>
      <c r="C4232">
        <v>386983</v>
      </c>
      <c r="D4232">
        <v>780</v>
      </c>
    </row>
    <row r="4233" spans="1:4" x14ac:dyDescent="0.25">
      <c r="A4233" t="str">
        <f>T("   TG")</f>
        <v xml:space="preserve">   TG</v>
      </c>
      <c r="B4233" t="str">
        <f>T("   Togo")</f>
        <v xml:space="preserve">   Togo</v>
      </c>
      <c r="C4233">
        <v>386983</v>
      </c>
      <c r="D4233">
        <v>780</v>
      </c>
    </row>
    <row r="4234" spans="1:4" x14ac:dyDescent="0.25">
      <c r="A4234" t="str">
        <f>T("390319")</f>
        <v>390319</v>
      </c>
      <c r="B4234" t="str">
        <f>T("Polystyrène sous formes primaires (à l'excl. du polystyrène expansible)")</f>
        <v>Polystyrène sous formes primaires (à l'excl. du polystyrène expansible)</v>
      </c>
    </row>
    <row r="4235" spans="1:4" x14ac:dyDescent="0.25">
      <c r="A4235" t="str">
        <f>T("   ZZZ_Monde")</f>
        <v xml:space="preserve">   ZZZ_Monde</v>
      </c>
      <c r="B4235" t="str">
        <f>T("   ZZZ_Monde")</f>
        <v xml:space="preserve">   ZZZ_Monde</v>
      </c>
      <c r="C4235">
        <v>38230799</v>
      </c>
      <c r="D4235">
        <v>41592</v>
      </c>
    </row>
    <row r="4236" spans="1:4" x14ac:dyDescent="0.25">
      <c r="A4236" t="str">
        <f>T("   FR")</f>
        <v xml:space="preserve">   FR</v>
      </c>
      <c r="B4236" t="str">
        <f>T("   France")</f>
        <v xml:space="preserve">   France</v>
      </c>
      <c r="C4236">
        <v>27810689</v>
      </c>
      <c r="D4236">
        <v>24832</v>
      </c>
    </row>
    <row r="4237" spans="1:4" x14ac:dyDescent="0.25">
      <c r="A4237" t="str">
        <f>T("   GH")</f>
        <v xml:space="preserve">   GH</v>
      </c>
      <c r="B4237" t="str">
        <f>T("   Ghana")</f>
        <v xml:space="preserve">   Ghana</v>
      </c>
      <c r="C4237">
        <v>2540000</v>
      </c>
      <c r="D4237">
        <v>2050</v>
      </c>
    </row>
    <row r="4238" spans="1:4" x14ac:dyDescent="0.25">
      <c r="A4238" t="str">
        <f>T("   TG")</f>
        <v xml:space="preserve">   TG</v>
      </c>
      <c r="B4238" t="str">
        <f>T("   Togo")</f>
        <v xml:space="preserve">   Togo</v>
      </c>
      <c r="C4238">
        <v>7880110</v>
      </c>
      <c r="D4238">
        <v>14710</v>
      </c>
    </row>
    <row r="4239" spans="1:4" x14ac:dyDescent="0.25">
      <c r="A4239" t="str">
        <f>T("390320")</f>
        <v>390320</v>
      </c>
      <c r="B4239" t="str">
        <f>T("Copolymères de styrène-acrylonitrile [SAN], sous formes primaires")</f>
        <v>Copolymères de styrène-acrylonitrile [SAN], sous formes primaires</v>
      </c>
    </row>
    <row r="4240" spans="1:4" x14ac:dyDescent="0.25">
      <c r="A4240" t="str">
        <f>T("   ZZZ_Monde")</f>
        <v xml:space="preserve">   ZZZ_Monde</v>
      </c>
      <c r="B4240" t="str">
        <f>T("   ZZZ_Monde")</f>
        <v xml:space="preserve">   ZZZ_Monde</v>
      </c>
      <c r="C4240">
        <v>20176320</v>
      </c>
      <c r="D4240">
        <v>24720</v>
      </c>
    </row>
    <row r="4241" spans="1:4" x14ac:dyDescent="0.25">
      <c r="A4241" t="str">
        <f>T("   IT")</f>
        <v xml:space="preserve">   IT</v>
      </c>
      <c r="B4241" t="str">
        <f>T("   Italie")</f>
        <v xml:space="preserve">   Italie</v>
      </c>
      <c r="C4241">
        <v>20176320</v>
      </c>
      <c r="D4241">
        <v>24720</v>
      </c>
    </row>
    <row r="4242" spans="1:4" x14ac:dyDescent="0.25">
      <c r="A4242" t="str">
        <f>T("390390")</f>
        <v>390390</v>
      </c>
      <c r="B4242" t="str">
        <f>T("Polymères du styrène, sous formes primaires (à l'excl. du polystyrène ainsi que des copolymères de styrène-acrylonitrile [SAN] ou d'acrylonitrile-butadiène-styrène [ABS])")</f>
        <v>Polymères du styrène, sous formes primaires (à l'excl. du polystyrène ainsi que des copolymères de styrène-acrylonitrile [SAN] ou d'acrylonitrile-butadiène-styrène [ABS])</v>
      </c>
    </row>
    <row r="4243" spans="1:4" x14ac:dyDescent="0.25">
      <c r="A4243" t="str">
        <f>T("   ZZZ_Monde")</f>
        <v xml:space="preserve">   ZZZ_Monde</v>
      </c>
      <c r="B4243" t="str">
        <f>T("   ZZZ_Monde")</f>
        <v xml:space="preserve">   ZZZ_Monde</v>
      </c>
      <c r="C4243">
        <v>172407141</v>
      </c>
      <c r="D4243">
        <v>165937</v>
      </c>
    </row>
    <row r="4244" spans="1:4" x14ac:dyDescent="0.25">
      <c r="A4244" t="str">
        <f>T("   BE")</f>
        <v xml:space="preserve">   BE</v>
      </c>
      <c r="B4244" t="str">
        <f>T("   Belgique")</f>
        <v xml:space="preserve">   Belgique</v>
      </c>
      <c r="C4244">
        <v>9180160</v>
      </c>
      <c r="D4244">
        <v>935</v>
      </c>
    </row>
    <row r="4245" spans="1:4" x14ac:dyDescent="0.25">
      <c r="A4245" t="str">
        <f>T("   DE")</f>
        <v xml:space="preserve">   DE</v>
      </c>
      <c r="B4245" t="str">
        <f>T("   Allemagne")</f>
        <v xml:space="preserve">   Allemagne</v>
      </c>
      <c r="C4245">
        <v>10321518</v>
      </c>
      <c r="D4245">
        <v>7168</v>
      </c>
    </row>
    <row r="4246" spans="1:4" x14ac:dyDescent="0.25">
      <c r="A4246" t="str">
        <f>T("   FR")</f>
        <v xml:space="preserve">   FR</v>
      </c>
      <c r="B4246" t="str">
        <f>T("   France")</f>
        <v xml:space="preserve">   France</v>
      </c>
      <c r="C4246">
        <v>107692234</v>
      </c>
      <c r="D4246">
        <v>91274</v>
      </c>
    </row>
    <row r="4247" spans="1:4" x14ac:dyDescent="0.25">
      <c r="A4247" t="str">
        <f>T("   GB")</f>
        <v xml:space="preserve">   GB</v>
      </c>
      <c r="B4247" t="str">
        <f>T("   Royaume-Uni")</f>
        <v xml:space="preserve">   Royaume-Uni</v>
      </c>
      <c r="C4247">
        <v>5593370</v>
      </c>
      <c r="D4247">
        <v>3240</v>
      </c>
    </row>
    <row r="4248" spans="1:4" x14ac:dyDescent="0.25">
      <c r="A4248" t="str">
        <f>T("   TN")</f>
        <v xml:space="preserve">   TN</v>
      </c>
      <c r="B4248" t="str">
        <f>T("   Tunisie")</f>
        <v xml:space="preserve">   Tunisie</v>
      </c>
      <c r="C4248">
        <v>21192100</v>
      </c>
      <c r="D4248">
        <v>25600</v>
      </c>
    </row>
    <row r="4249" spans="1:4" x14ac:dyDescent="0.25">
      <c r="A4249" t="str">
        <f>T("   TR")</f>
        <v xml:space="preserve">   TR</v>
      </c>
      <c r="B4249" t="str">
        <f>T("   Turquie")</f>
        <v xml:space="preserve">   Turquie</v>
      </c>
      <c r="C4249">
        <v>18427759</v>
      </c>
      <c r="D4249">
        <v>37720</v>
      </c>
    </row>
    <row r="4250" spans="1:4" x14ac:dyDescent="0.25">
      <c r="A4250" t="str">
        <f>T("390410")</f>
        <v>390410</v>
      </c>
      <c r="B4250" t="str">
        <f>T("Poly[chlorure de vinyle], sous formes primaires, non mélangé à d'autres substances")</f>
        <v>Poly[chlorure de vinyle], sous formes primaires, non mélangé à d'autres substances</v>
      </c>
    </row>
    <row r="4251" spans="1:4" x14ac:dyDescent="0.25">
      <c r="A4251" t="str">
        <f>T("   ZZZ_Monde")</f>
        <v xml:space="preserve">   ZZZ_Monde</v>
      </c>
      <c r="B4251" t="str">
        <f>T("   ZZZ_Monde")</f>
        <v xml:space="preserve">   ZZZ_Monde</v>
      </c>
      <c r="C4251">
        <v>335198840</v>
      </c>
      <c r="D4251">
        <v>682232</v>
      </c>
    </row>
    <row r="4252" spans="1:4" x14ac:dyDescent="0.25">
      <c r="A4252" t="str">
        <f>T("   FR")</f>
        <v xml:space="preserve">   FR</v>
      </c>
      <c r="B4252" t="str">
        <f>T("   France")</f>
        <v xml:space="preserve">   France</v>
      </c>
      <c r="C4252">
        <v>30239756</v>
      </c>
      <c r="D4252">
        <v>40000</v>
      </c>
    </row>
    <row r="4253" spans="1:4" x14ac:dyDescent="0.25">
      <c r="A4253" t="str">
        <f>T("   MA")</f>
        <v xml:space="preserve">   MA</v>
      </c>
      <c r="B4253" t="str">
        <f>T("   Maroc")</f>
        <v xml:space="preserve">   Maroc</v>
      </c>
      <c r="C4253">
        <v>17316032</v>
      </c>
      <c r="D4253">
        <v>28413</v>
      </c>
    </row>
    <row r="4254" spans="1:4" x14ac:dyDescent="0.25">
      <c r="A4254" t="str">
        <f>T("   US")</f>
        <v xml:space="preserve">   US</v>
      </c>
      <c r="B4254" t="str">
        <f>T("   Etats-Unis")</f>
        <v xml:space="preserve">   Etats-Unis</v>
      </c>
      <c r="C4254">
        <v>287643052</v>
      </c>
      <c r="D4254">
        <v>613819</v>
      </c>
    </row>
    <row r="4255" spans="1:4" x14ac:dyDescent="0.25">
      <c r="A4255" t="str">
        <f>T("390490")</f>
        <v>390490</v>
      </c>
      <c r="B4255" t="str">
        <f>T("Polymères du chlorure de vinyle ou d'autres oléfines halogénées, sous formes primaires (à l'excl. du poly[chlorure de vinyle], des copolymères du chlorure de vinyle, des polymères du chlorure de vinylidène ainsi que des polymères fluorés)")</f>
        <v>Polymères du chlorure de vinyle ou d'autres oléfines halogénées, sous formes primaires (à l'excl. du poly[chlorure de vinyle], des copolymères du chlorure de vinyle, des polymères du chlorure de vinylidène ainsi que des polymères fluorés)</v>
      </c>
    </row>
    <row r="4256" spans="1:4" x14ac:dyDescent="0.25">
      <c r="A4256" t="str">
        <f>T("   ZZZ_Monde")</f>
        <v xml:space="preserve">   ZZZ_Monde</v>
      </c>
      <c r="B4256" t="str">
        <f>T("   ZZZ_Monde")</f>
        <v xml:space="preserve">   ZZZ_Monde</v>
      </c>
      <c r="C4256">
        <v>140934318</v>
      </c>
      <c r="D4256">
        <v>298716</v>
      </c>
    </row>
    <row r="4257" spans="1:4" x14ac:dyDescent="0.25">
      <c r="A4257" t="str">
        <f>T("   FR")</f>
        <v xml:space="preserve">   FR</v>
      </c>
      <c r="B4257" t="str">
        <f>T("   France")</f>
        <v xml:space="preserve">   France</v>
      </c>
      <c r="C4257">
        <v>137820476</v>
      </c>
      <c r="D4257">
        <v>298086</v>
      </c>
    </row>
    <row r="4258" spans="1:4" x14ac:dyDescent="0.25">
      <c r="A4258" t="str">
        <f>T("   GB")</f>
        <v xml:space="preserve">   GB</v>
      </c>
      <c r="B4258" t="str">
        <f>T("   Royaume-Uni")</f>
        <v xml:space="preserve">   Royaume-Uni</v>
      </c>
      <c r="C4258">
        <v>3113842</v>
      </c>
      <c r="D4258">
        <v>630</v>
      </c>
    </row>
    <row r="4259" spans="1:4" x14ac:dyDescent="0.25">
      <c r="A4259" t="str">
        <f>T("390512")</f>
        <v>390512</v>
      </c>
      <c r="B4259" t="str">
        <f>T("Poly[acétate de vinyle], en dispersion aqueuse")</f>
        <v>Poly[acétate de vinyle], en dispersion aqueuse</v>
      </c>
    </row>
    <row r="4260" spans="1:4" x14ac:dyDescent="0.25">
      <c r="A4260" t="str">
        <f>T("   ZZZ_Monde")</f>
        <v xml:space="preserve">   ZZZ_Monde</v>
      </c>
      <c r="B4260" t="str">
        <f>T("   ZZZ_Monde")</f>
        <v xml:space="preserve">   ZZZ_Monde</v>
      </c>
      <c r="C4260">
        <v>23761541</v>
      </c>
      <c r="D4260">
        <v>32300</v>
      </c>
    </row>
    <row r="4261" spans="1:4" x14ac:dyDescent="0.25">
      <c r="A4261" t="str">
        <f>T("   IT")</f>
        <v xml:space="preserve">   IT</v>
      </c>
      <c r="B4261" t="str">
        <f>T("   Italie")</f>
        <v xml:space="preserve">   Italie</v>
      </c>
      <c r="C4261">
        <v>23761541</v>
      </c>
      <c r="D4261">
        <v>32300</v>
      </c>
    </row>
    <row r="4262" spans="1:4" x14ac:dyDescent="0.25">
      <c r="A4262" t="str">
        <f>T("390519")</f>
        <v>390519</v>
      </c>
      <c r="B4262" t="str">
        <f>T("Poly[acétate de vinyle], sous formes primaires (à l'excl. des produits en dispersion aqueuse)")</f>
        <v>Poly[acétate de vinyle], sous formes primaires (à l'excl. des produits en dispersion aqueuse)</v>
      </c>
    </row>
    <row r="4263" spans="1:4" x14ac:dyDescent="0.25">
      <c r="A4263" t="str">
        <f>T("   ZZZ_Monde")</f>
        <v xml:space="preserve">   ZZZ_Monde</v>
      </c>
      <c r="B4263" t="str">
        <f>T("   ZZZ_Monde")</f>
        <v xml:space="preserve">   ZZZ_Monde</v>
      </c>
      <c r="C4263">
        <v>4573189</v>
      </c>
      <c r="D4263">
        <v>8060</v>
      </c>
    </row>
    <row r="4264" spans="1:4" x14ac:dyDescent="0.25">
      <c r="A4264" t="str">
        <f>T("   TN")</f>
        <v xml:space="preserve">   TN</v>
      </c>
      <c r="B4264" t="str">
        <f>T("   Tunisie")</f>
        <v xml:space="preserve">   Tunisie</v>
      </c>
      <c r="C4264">
        <v>3788825</v>
      </c>
      <c r="D4264">
        <v>6400</v>
      </c>
    </row>
    <row r="4265" spans="1:4" x14ac:dyDescent="0.25">
      <c r="A4265" t="str">
        <f>T("   TR")</f>
        <v xml:space="preserve">   TR</v>
      </c>
      <c r="B4265" t="str">
        <f>T("   Turquie")</f>
        <v xml:space="preserve">   Turquie</v>
      </c>
      <c r="C4265">
        <v>784364</v>
      </c>
      <c r="D4265">
        <v>1660</v>
      </c>
    </row>
    <row r="4266" spans="1:4" x14ac:dyDescent="0.25">
      <c r="A4266" t="str">
        <f>T("390521")</f>
        <v>390521</v>
      </c>
      <c r="B4266" t="str">
        <f>T("Copolymères d'acétate de vinyle, en dispersion aqueuse")</f>
        <v>Copolymères d'acétate de vinyle, en dispersion aqueuse</v>
      </c>
    </row>
    <row r="4267" spans="1:4" x14ac:dyDescent="0.25">
      <c r="A4267" t="str">
        <f>T("   ZZZ_Monde")</f>
        <v xml:space="preserve">   ZZZ_Monde</v>
      </c>
      <c r="B4267" t="str">
        <f>T("   ZZZ_Monde")</f>
        <v xml:space="preserve">   ZZZ_Monde</v>
      </c>
      <c r="C4267">
        <v>188773628</v>
      </c>
      <c r="D4267">
        <v>212247</v>
      </c>
    </row>
    <row r="4268" spans="1:4" x14ac:dyDescent="0.25">
      <c r="A4268" t="str">
        <f>T("   EG")</f>
        <v xml:space="preserve">   EG</v>
      </c>
      <c r="B4268" t="str">
        <f>T("   Egypte")</f>
        <v xml:space="preserve">   Egypte</v>
      </c>
      <c r="C4268">
        <v>32931034</v>
      </c>
      <c r="D4268">
        <v>33484</v>
      </c>
    </row>
    <row r="4269" spans="1:4" x14ac:dyDescent="0.25">
      <c r="A4269" t="str">
        <f>T("   ES")</f>
        <v xml:space="preserve">   ES</v>
      </c>
      <c r="B4269" t="str">
        <f>T("   Espagne")</f>
        <v xml:space="preserve">   Espagne</v>
      </c>
      <c r="C4269">
        <v>13573780</v>
      </c>
      <c r="D4269">
        <v>15700</v>
      </c>
    </row>
    <row r="4270" spans="1:4" x14ac:dyDescent="0.25">
      <c r="A4270" t="str">
        <f>T("   FR")</f>
        <v xml:space="preserve">   FR</v>
      </c>
      <c r="B4270" t="str">
        <f>T("   France")</f>
        <v xml:space="preserve">   France</v>
      </c>
      <c r="C4270">
        <v>111733057</v>
      </c>
      <c r="D4270">
        <v>123663</v>
      </c>
    </row>
    <row r="4271" spans="1:4" x14ac:dyDescent="0.25">
      <c r="A4271" t="str">
        <f>T("   IT")</f>
        <v xml:space="preserve">   IT</v>
      </c>
      <c r="B4271" t="str">
        <f>T("   Italie")</f>
        <v xml:space="preserve">   Italie</v>
      </c>
      <c r="C4271">
        <v>30535757</v>
      </c>
      <c r="D4271">
        <v>39400</v>
      </c>
    </row>
    <row r="4272" spans="1:4" x14ac:dyDescent="0.25">
      <c r="A4272" t="str">
        <f>T("390529")</f>
        <v>390529</v>
      </c>
      <c r="B4272" t="str">
        <f>T("Copolymères d'acétate de vinyle, sous formes primaires (à l'excl. des produits en dispersion aqueuse)")</f>
        <v>Copolymères d'acétate de vinyle, sous formes primaires (à l'excl. des produits en dispersion aqueuse)</v>
      </c>
    </row>
    <row r="4273" spans="1:4" x14ac:dyDescent="0.25">
      <c r="A4273" t="str">
        <f>T("   ZZZ_Monde")</f>
        <v xml:space="preserve">   ZZZ_Monde</v>
      </c>
      <c r="B4273" t="str">
        <f>T("   ZZZ_Monde")</f>
        <v xml:space="preserve">   ZZZ_Monde</v>
      </c>
      <c r="C4273">
        <v>39225752</v>
      </c>
      <c r="D4273">
        <v>50400</v>
      </c>
    </row>
    <row r="4274" spans="1:4" x14ac:dyDescent="0.25">
      <c r="A4274" t="str">
        <f>T("   IT")</f>
        <v xml:space="preserve">   IT</v>
      </c>
      <c r="B4274" t="str">
        <f>T("   Italie")</f>
        <v xml:space="preserve">   Italie</v>
      </c>
      <c r="C4274">
        <v>35387074</v>
      </c>
      <c r="D4274">
        <v>44000</v>
      </c>
    </row>
    <row r="4275" spans="1:4" x14ac:dyDescent="0.25">
      <c r="A4275" t="str">
        <f>T("   TN")</f>
        <v xml:space="preserve">   TN</v>
      </c>
      <c r="B4275" t="str">
        <f>T("   Tunisie")</f>
        <v xml:space="preserve">   Tunisie</v>
      </c>
      <c r="C4275">
        <v>3838678</v>
      </c>
      <c r="D4275">
        <v>6400</v>
      </c>
    </row>
    <row r="4276" spans="1:4" x14ac:dyDescent="0.25">
      <c r="A4276" t="str">
        <f>T("390530")</f>
        <v>390530</v>
      </c>
      <c r="B4276" t="str">
        <f>T("Poly[alcool vinylique], même contenant des groupes acétate non hydrolysés, sous formes primaires")</f>
        <v>Poly[alcool vinylique], même contenant des groupes acétate non hydrolysés, sous formes primaires</v>
      </c>
    </row>
    <row r="4277" spans="1:4" x14ac:dyDescent="0.25">
      <c r="A4277" t="str">
        <f>T("   ZZZ_Monde")</f>
        <v xml:space="preserve">   ZZZ_Monde</v>
      </c>
      <c r="B4277" t="str">
        <f>T("   ZZZ_Monde")</f>
        <v xml:space="preserve">   ZZZ_Monde</v>
      </c>
      <c r="C4277">
        <v>10203938</v>
      </c>
      <c r="D4277">
        <v>10000</v>
      </c>
    </row>
    <row r="4278" spans="1:4" x14ac:dyDescent="0.25">
      <c r="A4278" t="str">
        <f>T("   CN")</f>
        <v xml:space="preserve">   CN</v>
      </c>
      <c r="B4278" t="str">
        <f>T("   Chine")</f>
        <v xml:space="preserve">   Chine</v>
      </c>
      <c r="C4278">
        <v>10203938</v>
      </c>
      <c r="D4278">
        <v>10000</v>
      </c>
    </row>
    <row r="4279" spans="1:4" x14ac:dyDescent="0.25">
      <c r="A4279" t="str">
        <f>T("390599")</f>
        <v>390599</v>
      </c>
      <c r="B4279" t="str">
        <f>T("POLYMÈRES DES ESTERS DE VINYLE ET AUTRES POLYMÈRES DE VINYLE, SOUS FORMES PRIMAIRES (À L'EXCL. DES POLYMÈRES DU CHLORURE DE VINYLE OU D'AUTRES OLÉFINES HALOGÉNÉES, DU POLY[ACÉTATE DE VINYLE], DES COPOLYMÈRES AINSI QUE DU POLY[ALCOOL VINYLIQUE], MÊME CONTE")</f>
        <v>POLYMÈRES DES ESTERS DE VINYLE ET AUTRES POLYMÈRES DE VINYLE, SOUS FORMES PRIMAIRES (À L'EXCL. DES POLYMÈRES DU CHLORURE DE VINYLE OU D'AUTRES OLÉFINES HALOGÉNÉES, DU POLY[ACÉTATE DE VINYLE], DES COPOLYMÈRES AINSI QUE DU POLY[ALCOOL VINYLIQUE], MÊME CONTE</v>
      </c>
    </row>
    <row r="4280" spans="1:4" x14ac:dyDescent="0.25">
      <c r="A4280" t="str">
        <f>T("   ZZZ_Monde")</f>
        <v xml:space="preserve">   ZZZ_Monde</v>
      </c>
      <c r="B4280" t="str">
        <f>T("   ZZZ_Monde")</f>
        <v xml:space="preserve">   ZZZ_Monde</v>
      </c>
      <c r="C4280">
        <v>12355663</v>
      </c>
      <c r="D4280">
        <v>4815</v>
      </c>
    </row>
    <row r="4281" spans="1:4" x14ac:dyDescent="0.25">
      <c r="A4281" t="str">
        <f>T("   BE")</f>
        <v xml:space="preserve">   BE</v>
      </c>
      <c r="B4281" t="str">
        <f>T("   Belgique")</f>
        <v xml:space="preserve">   Belgique</v>
      </c>
      <c r="C4281">
        <v>11375658</v>
      </c>
      <c r="D4281">
        <v>4695</v>
      </c>
    </row>
    <row r="4282" spans="1:4" x14ac:dyDescent="0.25">
      <c r="A4282" t="str">
        <f>T("   FR")</f>
        <v xml:space="preserve">   FR</v>
      </c>
      <c r="B4282" t="str">
        <f>T("   France")</f>
        <v xml:space="preserve">   France</v>
      </c>
      <c r="C4282">
        <v>980005</v>
      </c>
      <c r="D4282">
        <v>120</v>
      </c>
    </row>
    <row r="4283" spans="1:4" x14ac:dyDescent="0.25">
      <c r="A4283" t="str">
        <f>T("390690")</f>
        <v>390690</v>
      </c>
      <c r="B4283" t="str">
        <f>T("Polymères acryliques, sous formes primaires (à l'excl. du poly[méthacrylate de méthyle])")</f>
        <v>Polymères acryliques, sous formes primaires (à l'excl. du poly[méthacrylate de méthyle])</v>
      </c>
    </row>
    <row r="4284" spans="1:4" x14ac:dyDescent="0.25">
      <c r="A4284" t="str">
        <f>T("   ZZZ_Monde")</f>
        <v xml:space="preserve">   ZZZ_Monde</v>
      </c>
      <c r="B4284" t="str">
        <f>T("   ZZZ_Monde")</f>
        <v xml:space="preserve">   ZZZ_Monde</v>
      </c>
      <c r="C4284">
        <v>91721598</v>
      </c>
      <c r="D4284">
        <v>68609</v>
      </c>
    </row>
    <row r="4285" spans="1:4" x14ac:dyDescent="0.25">
      <c r="A4285" t="str">
        <f>T("   BE")</f>
        <v xml:space="preserve">   BE</v>
      </c>
      <c r="B4285" t="str">
        <f>T("   Belgique")</f>
        <v xml:space="preserve">   Belgique</v>
      </c>
      <c r="C4285">
        <v>18715194</v>
      </c>
      <c r="D4285">
        <v>6795</v>
      </c>
    </row>
    <row r="4286" spans="1:4" x14ac:dyDescent="0.25">
      <c r="A4286" t="str">
        <f>T("   CN")</f>
        <v xml:space="preserve">   CN</v>
      </c>
      <c r="B4286" t="str">
        <f>T("   Chine")</f>
        <v xml:space="preserve">   Chine</v>
      </c>
      <c r="C4286">
        <v>1720199</v>
      </c>
      <c r="D4286">
        <v>1400</v>
      </c>
    </row>
    <row r="4287" spans="1:4" x14ac:dyDescent="0.25">
      <c r="A4287" t="str">
        <f>T("   FR")</f>
        <v xml:space="preserve">   FR</v>
      </c>
      <c r="B4287" t="str">
        <f>T("   France")</f>
        <v xml:space="preserve">   France</v>
      </c>
      <c r="C4287">
        <v>14749799</v>
      </c>
      <c r="D4287">
        <v>8286</v>
      </c>
    </row>
    <row r="4288" spans="1:4" x14ac:dyDescent="0.25">
      <c r="A4288" t="str">
        <f>T("   GB")</f>
        <v xml:space="preserve">   GB</v>
      </c>
      <c r="B4288" t="str">
        <f>T("   Royaume-Uni")</f>
        <v xml:space="preserve">   Royaume-Uni</v>
      </c>
      <c r="C4288">
        <v>6717687</v>
      </c>
      <c r="D4288">
        <v>4373</v>
      </c>
    </row>
    <row r="4289" spans="1:4" x14ac:dyDescent="0.25">
      <c r="A4289" t="str">
        <f>T("   IT")</f>
        <v xml:space="preserve">   IT</v>
      </c>
      <c r="B4289" t="str">
        <f>T("   Italie")</f>
        <v xml:space="preserve">   Italie</v>
      </c>
      <c r="C4289">
        <v>49818719</v>
      </c>
      <c r="D4289">
        <v>47755</v>
      </c>
    </row>
    <row r="4290" spans="1:4" x14ac:dyDescent="0.25">
      <c r="A4290" t="str">
        <f>T("390720")</f>
        <v>390720</v>
      </c>
      <c r="B4290" t="str">
        <f>T("Polyéthers, sous formes primaires (à l'excl. des polyacétals)")</f>
        <v>Polyéthers, sous formes primaires (à l'excl. des polyacétals)</v>
      </c>
    </row>
    <row r="4291" spans="1:4" x14ac:dyDescent="0.25">
      <c r="A4291" t="str">
        <f>T("   ZZZ_Monde")</f>
        <v xml:space="preserve">   ZZZ_Monde</v>
      </c>
      <c r="B4291" t="str">
        <f>T("   ZZZ_Monde")</f>
        <v xml:space="preserve">   ZZZ_Monde</v>
      </c>
      <c r="C4291">
        <v>965955854</v>
      </c>
      <c r="D4291">
        <v>761450</v>
      </c>
    </row>
    <row r="4292" spans="1:4" x14ac:dyDescent="0.25">
      <c r="A4292" t="str">
        <f>T("   CH")</f>
        <v xml:space="preserve">   CH</v>
      </c>
      <c r="B4292" t="str">
        <f>T("   Suisse")</f>
        <v xml:space="preserve">   Suisse</v>
      </c>
      <c r="C4292">
        <v>374905409</v>
      </c>
      <c r="D4292">
        <v>288000</v>
      </c>
    </row>
    <row r="4293" spans="1:4" x14ac:dyDescent="0.25">
      <c r="A4293" t="str">
        <f>T("   CN")</f>
        <v xml:space="preserve">   CN</v>
      </c>
      <c r="B4293" t="str">
        <f>T("   Chine")</f>
        <v xml:space="preserve">   Chine</v>
      </c>
      <c r="C4293">
        <v>2696505</v>
      </c>
      <c r="D4293">
        <v>6005</v>
      </c>
    </row>
    <row r="4294" spans="1:4" x14ac:dyDescent="0.25">
      <c r="A4294" t="str">
        <f>T("   FR")</f>
        <v xml:space="preserve">   FR</v>
      </c>
      <c r="B4294" t="str">
        <f>T("   France")</f>
        <v xml:space="preserve">   France</v>
      </c>
      <c r="C4294">
        <v>405669278</v>
      </c>
      <c r="D4294">
        <v>315370</v>
      </c>
    </row>
    <row r="4295" spans="1:4" x14ac:dyDescent="0.25">
      <c r="A4295" t="str">
        <f>T("   GB")</f>
        <v xml:space="preserve">   GB</v>
      </c>
      <c r="B4295" t="str">
        <f>T("   Royaume-Uni")</f>
        <v xml:space="preserve">   Royaume-Uni</v>
      </c>
      <c r="C4295">
        <v>182178460</v>
      </c>
      <c r="D4295">
        <v>151680</v>
      </c>
    </row>
    <row r="4296" spans="1:4" x14ac:dyDescent="0.25">
      <c r="A4296" t="str">
        <f>T("   IT")</f>
        <v xml:space="preserve">   IT</v>
      </c>
      <c r="B4296" t="str">
        <f>T("   Italie")</f>
        <v xml:space="preserve">   Italie</v>
      </c>
      <c r="C4296">
        <v>453432</v>
      </c>
      <c r="D4296">
        <v>360</v>
      </c>
    </row>
    <row r="4297" spans="1:4" x14ac:dyDescent="0.25">
      <c r="A4297" t="str">
        <f>T("   TG")</f>
        <v xml:space="preserve">   TG</v>
      </c>
      <c r="B4297" t="str">
        <f>T("   Togo")</f>
        <v xml:space="preserve">   Togo</v>
      </c>
      <c r="C4297">
        <v>52770</v>
      </c>
      <c r="D4297">
        <v>35</v>
      </c>
    </row>
    <row r="4298" spans="1:4" x14ac:dyDescent="0.25">
      <c r="A4298" t="str">
        <f>T("390730")</f>
        <v>390730</v>
      </c>
      <c r="B4298" t="str">
        <f>T("Résines époxydes, sous formes primaires")</f>
        <v>Résines époxydes, sous formes primaires</v>
      </c>
    </row>
    <row r="4299" spans="1:4" x14ac:dyDescent="0.25">
      <c r="A4299" t="str">
        <f>T("   ZZZ_Monde")</f>
        <v xml:space="preserve">   ZZZ_Monde</v>
      </c>
      <c r="B4299" t="str">
        <f>T("   ZZZ_Monde")</f>
        <v xml:space="preserve">   ZZZ_Monde</v>
      </c>
      <c r="C4299">
        <v>13521807</v>
      </c>
      <c r="D4299">
        <v>4821</v>
      </c>
    </row>
    <row r="4300" spans="1:4" x14ac:dyDescent="0.25">
      <c r="A4300" t="str">
        <f>T("   DE")</f>
        <v xml:space="preserve">   DE</v>
      </c>
      <c r="B4300" t="str">
        <f>T("   Allemagne")</f>
        <v xml:space="preserve">   Allemagne</v>
      </c>
      <c r="C4300">
        <v>165302</v>
      </c>
      <c r="D4300">
        <v>2</v>
      </c>
    </row>
    <row r="4301" spans="1:4" x14ac:dyDescent="0.25">
      <c r="A4301" t="str">
        <f>T("   FR")</f>
        <v xml:space="preserve">   FR</v>
      </c>
      <c r="B4301" t="str">
        <f>T("   France")</f>
        <v xml:space="preserve">   France</v>
      </c>
      <c r="C4301">
        <v>10403374</v>
      </c>
      <c r="D4301">
        <v>3275</v>
      </c>
    </row>
    <row r="4302" spans="1:4" x14ac:dyDescent="0.25">
      <c r="A4302" t="str">
        <f>T("   GB")</f>
        <v xml:space="preserve">   GB</v>
      </c>
      <c r="B4302" t="str">
        <f>T("   Royaume-Uni")</f>
        <v xml:space="preserve">   Royaume-Uni</v>
      </c>
      <c r="C4302">
        <v>2953131</v>
      </c>
      <c r="D4302">
        <v>1544</v>
      </c>
    </row>
    <row r="4303" spans="1:4" x14ac:dyDescent="0.25">
      <c r="A4303" t="str">
        <f>T("390750")</f>
        <v>390750</v>
      </c>
      <c r="B4303" t="str">
        <f>T("Résines alkydes, sous formes primaires")</f>
        <v>Résines alkydes, sous formes primaires</v>
      </c>
    </row>
    <row r="4304" spans="1:4" x14ac:dyDescent="0.25">
      <c r="A4304" t="str">
        <f>T("   ZZZ_Monde")</f>
        <v xml:space="preserve">   ZZZ_Monde</v>
      </c>
      <c r="B4304" t="str">
        <f>T("   ZZZ_Monde")</f>
        <v xml:space="preserve">   ZZZ_Monde</v>
      </c>
      <c r="C4304">
        <v>563064601</v>
      </c>
      <c r="D4304">
        <v>773113</v>
      </c>
    </row>
    <row r="4305" spans="1:4" x14ac:dyDescent="0.25">
      <c r="A4305" t="str">
        <f>T("   BE")</f>
        <v xml:space="preserve">   BE</v>
      </c>
      <c r="B4305" t="str">
        <f>T("   Belgique")</f>
        <v xml:space="preserve">   Belgique</v>
      </c>
      <c r="C4305">
        <v>8394320</v>
      </c>
      <c r="D4305">
        <v>5150</v>
      </c>
    </row>
    <row r="4306" spans="1:4" x14ac:dyDescent="0.25">
      <c r="A4306" t="str">
        <f>T("   EG")</f>
        <v xml:space="preserve">   EG</v>
      </c>
      <c r="B4306" t="str">
        <f>T("   Egypte")</f>
        <v xml:space="preserve">   Egypte</v>
      </c>
      <c r="C4306">
        <v>63464518</v>
      </c>
      <c r="D4306">
        <v>59904</v>
      </c>
    </row>
    <row r="4307" spans="1:4" x14ac:dyDescent="0.25">
      <c r="A4307" t="str">
        <f>T("   ES")</f>
        <v xml:space="preserve">   ES</v>
      </c>
      <c r="B4307" t="str">
        <f>T("   Espagne")</f>
        <v xml:space="preserve">   Espagne</v>
      </c>
      <c r="C4307">
        <v>27148216</v>
      </c>
      <c r="D4307">
        <v>31400</v>
      </c>
    </row>
    <row r="4308" spans="1:4" x14ac:dyDescent="0.25">
      <c r="A4308" t="str">
        <f>T("   FR")</f>
        <v xml:space="preserve">   FR</v>
      </c>
      <c r="B4308" t="str">
        <f>T("   France")</f>
        <v xml:space="preserve">   France</v>
      </c>
      <c r="C4308">
        <v>187598927</v>
      </c>
      <c r="D4308">
        <v>402116</v>
      </c>
    </row>
    <row r="4309" spans="1:4" x14ac:dyDescent="0.25">
      <c r="A4309" t="str">
        <f>T("   GB")</f>
        <v xml:space="preserve">   GB</v>
      </c>
      <c r="B4309" t="str">
        <f>T("   Royaume-Uni")</f>
        <v xml:space="preserve">   Royaume-Uni</v>
      </c>
      <c r="C4309">
        <v>135988974</v>
      </c>
      <c r="D4309">
        <v>126300</v>
      </c>
    </row>
    <row r="4310" spans="1:4" x14ac:dyDescent="0.25">
      <c r="A4310" t="str">
        <f>T("   ID")</f>
        <v xml:space="preserve">   ID</v>
      </c>
      <c r="B4310" t="str">
        <f>T("   Indonésie")</f>
        <v xml:space="preserve">   Indonésie</v>
      </c>
      <c r="C4310">
        <v>21711751</v>
      </c>
      <c r="D4310">
        <v>16800</v>
      </c>
    </row>
    <row r="4311" spans="1:4" x14ac:dyDescent="0.25">
      <c r="A4311" t="str">
        <f>T("   IT")</f>
        <v xml:space="preserve">   IT</v>
      </c>
      <c r="B4311" t="str">
        <f>T("   Italie")</f>
        <v xml:space="preserve">   Italie</v>
      </c>
      <c r="C4311">
        <v>1434939</v>
      </c>
      <c r="D4311">
        <v>720</v>
      </c>
    </row>
    <row r="4312" spans="1:4" x14ac:dyDescent="0.25">
      <c r="A4312" t="str">
        <f>T("   TG")</f>
        <v xml:space="preserve">   TG</v>
      </c>
      <c r="B4312" t="str">
        <f>T("   Togo")</f>
        <v xml:space="preserve">   Togo</v>
      </c>
      <c r="C4312">
        <v>351803</v>
      </c>
      <c r="D4312">
        <v>900</v>
      </c>
    </row>
    <row r="4313" spans="1:4" x14ac:dyDescent="0.25">
      <c r="A4313" t="str">
        <f>T("   TN")</f>
        <v xml:space="preserve">   TN</v>
      </c>
      <c r="B4313" t="str">
        <f>T("   Tunisie")</f>
        <v xml:space="preserve">   Tunisie</v>
      </c>
      <c r="C4313">
        <v>57031576</v>
      </c>
      <c r="D4313">
        <v>72711</v>
      </c>
    </row>
    <row r="4314" spans="1:4" x14ac:dyDescent="0.25">
      <c r="A4314" t="str">
        <f>T("   TR")</f>
        <v xml:space="preserve">   TR</v>
      </c>
      <c r="B4314" t="str">
        <f>T("   Turquie")</f>
        <v xml:space="preserve">   Turquie</v>
      </c>
      <c r="C4314">
        <v>36248270</v>
      </c>
      <c r="D4314">
        <v>39512</v>
      </c>
    </row>
    <row r="4315" spans="1:4" x14ac:dyDescent="0.25">
      <c r="A4315" t="str">
        <f>T("   YU")</f>
        <v xml:space="preserve">   YU</v>
      </c>
      <c r="B4315" t="str">
        <f>T("   Yougoslavie")</f>
        <v xml:space="preserve">   Yougoslavie</v>
      </c>
      <c r="C4315">
        <v>23691307</v>
      </c>
      <c r="D4315">
        <v>17600</v>
      </c>
    </row>
    <row r="4316" spans="1:4" x14ac:dyDescent="0.25">
      <c r="A4316" t="str">
        <f>T("390760")</f>
        <v>390760</v>
      </c>
      <c r="B4316" t="str">
        <f>T("Poly[éthylène téréphtalate], sous formes primaires")</f>
        <v>Poly[éthylène téréphtalate], sous formes primaires</v>
      </c>
    </row>
    <row r="4317" spans="1:4" x14ac:dyDescent="0.25">
      <c r="A4317" t="str">
        <f>T("   ZZZ_Monde")</f>
        <v xml:space="preserve">   ZZZ_Monde</v>
      </c>
      <c r="B4317" t="str">
        <f>T("   ZZZ_Monde")</f>
        <v xml:space="preserve">   ZZZ_Monde</v>
      </c>
      <c r="C4317">
        <v>292400</v>
      </c>
      <c r="D4317">
        <v>3655</v>
      </c>
    </row>
    <row r="4318" spans="1:4" x14ac:dyDescent="0.25">
      <c r="A4318" t="str">
        <f>T("   NG")</f>
        <v xml:space="preserve">   NG</v>
      </c>
      <c r="B4318" t="str">
        <f>T("   Nigéria")</f>
        <v xml:space="preserve">   Nigéria</v>
      </c>
      <c r="C4318">
        <v>292400</v>
      </c>
      <c r="D4318">
        <v>3655</v>
      </c>
    </row>
    <row r="4319" spans="1:4" x14ac:dyDescent="0.25">
      <c r="A4319" t="str">
        <f>T("390791")</f>
        <v>390791</v>
      </c>
      <c r="B4319" t="str">
        <f>T("POLYESTERS ALLYLIQUES ET AUTRES POLYESTERS, NON-SATURÉS, SOUS FORMES PRIMAIRES (À L'EXCL. DES POLYCARBONATES, DES RÉSINES ALKYDES, DU POLY[ÉTHYLÈNE TÉRÉPHTALATE] ET DU POLY[ACIDE LACTIQUE])")</f>
        <v>POLYESTERS ALLYLIQUES ET AUTRES POLYESTERS, NON-SATURÉS, SOUS FORMES PRIMAIRES (À L'EXCL. DES POLYCARBONATES, DES RÉSINES ALKYDES, DU POLY[ÉTHYLÈNE TÉRÉPHTALATE] ET DU POLY[ACIDE LACTIQUE])</v>
      </c>
    </row>
    <row r="4320" spans="1:4" x14ac:dyDescent="0.25">
      <c r="A4320" t="str">
        <f>T("   ZZZ_Monde")</f>
        <v xml:space="preserve">   ZZZ_Monde</v>
      </c>
      <c r="B4320" t="str">
        <f>T("   ZZZ_Monde")</f>
        <v xml:space="preserve">   ZZZ_Monde</v>
      </c>
      <c r="C4320">
        <v>236146</v>
      </c>
      <c r="D4320">
        <v>25</v>
      </c>
    </row>
    <row r="4321" spans="1:4" x14ac:dyDescent="0.25">
      <c r="A4321" t="str">
        <f>T("   FR")</f>
        <v xml:space="preserve">   FR</v>
      </c>
      <c r="B4321" t="str">
        <f>T("   France")</f>
        <v xml:space="preserve">   France</v>
      </c>
      <c r="C4321">
        <v>236146</v>
      </c>
      <c r="D4321">
        <v>25</v>
      </c>
    </row>
    <row r="4322" spans="1:4" x14ac:dyDescent="0.25">
      <c r="A4322" t="str">
        <f>T("390799")</f>
        <v>390799</v>
      </c>
      <c r="B4322" t="str">
        <f>T("POLYESTERS, SATURÉS, SOUS FORMES PRIMAIRES (À L'EXCL. DES POLYCARBONATES, DES RÉSINES ALKYDES ET DU POLY[ÉTHYLÈNE TÉRÉPHTALATE]) [01/01/1988-31/12/1993: POLYESTERS ALLYLIQUES ET AUTRES POLYESTERS, SATURÉS, SOUS FORMES PRIMAIRES]")</f>
        <v>POLYESTERS, SATURÉS, SOUS FORMES PRIMAIRES (À L'EXCL. DES POLYCARBONATES, DES RÉSINES ALKYDES ET DU POLY[ÉTHYLÈNE TÉRÉPHTALATE]) [01/01/1988-31/12/1993: POLYESTERS ALLYLIQUES ET AUTRES POLYESTERS, SATURÉS, SOUS FORMES PRIMAIRES]</v>
      </c>
    </row>
    <row r="4323" spans="1:4" x14ac:dyDescent="0.25">
      <c r="A4323" t="str">
        <f>T("   ZZZ_Monde")</f>
        <v xml:space="preserve">   ZZZ_Monde</v>
      </c>
      <c r="B4323" t="str">
        <f>T("   ZZZ_Monde")</f>
        <v xml:space="preserve">   ZZZ_Monde</v>
      </c>
      <c r="C4323">
        <v>326441496</v>
      </c>
      <c r="D4323">
        <v>333273</v>
      </c>
    </row>
    <row r="4324" spans="1:4" x14ac:dyDescent="0.25">
      <c r="A4324" t="str">
        <f>T("   BE")</f>
        <v xml:space="preserve">   BE</v>
      </c>
      <c r="B4324" t="str">
        <f>T("   Belgique")</f>
        <v xml:space="preserve">   Belgique</v>
      </c>
      <c r="C4324">
        <v>33806867</v>
      </c>
      <c r="D4324">
        <v>20868</v>
      </c>
    </row>
    <row r="4325" spans="1:4" x14ac:dyDescent="0.25">
      <c r="A4325" t="str">
        <f>T("   FR")</f>
        <v xml:space="preserve">   FR</v>
      </c>
      <c r="B4325" t="str">
        <f>T("   France")</f>
        <v xml:space="preserve">   France</v>
      </c>
      <c r="C4325">
        <v>287791942</v>
      </c>
      <c r="D4325">
        <v>308415</v>
      </c>
    </row>
    <row r="4326" spans="1:4" x14ac:dyDescent="0.25">
      <c r="A4326" t="str">
        <f>T("   GB")</f>
        <v xml:space="preserve">   GB</v>
      </c>
      <c r="B4326" t="str">
        <f>T("   Royaume-Uni")</f>
        <v xml:space="preserve">   Royaume-Uni</v>
      </c>
      <c r="C4326">
        <v>3211970</v>
      </c>
      <c r="D4326">
        <v>3000</v>
      </c>
    </row>
    <row r="4327" spans="1:4" x14ac:dyDescent="0.25">
      <c r="A4327" t="str">
        <f>T("   IT")</f>
        <v xml:space="preserve">   IT</v>
      </c>
      <c r="B4327" t="str">
        <f>T("   Italie")</f>
        <v xml:space="preserve">   Italie</v>
      </c>
      <c r="C4327">
        <v>411943</v>
      </c>
      <c r="D4327">
        <v>100</v>
      </c>
    </row>
    <row r="4328" spans="1:4" x14ac:dyDescent="0.25">
      <c r="A4328" t="str">
        <f>T("   TN")</f>
        <v xml:space="preserve">   TN</v>
      </c>
      <c r="B4328" t="str">
        <f>T("   Tunisie")</f>
        <v xml:space="preserve">   Tunisie</v>
      </c>
      <c r="C4328">
        <v>1218774</v>
      </c>
      <c r="D4328">
        <v>890</v>
      </c>
    </row>
    <row r="4329" spans="1:4" x14ac:dyDescent="0.25">
      <c r="A4329" t="str">
        <f>T("390810")</f>
        <v>390810</v>
      </c>
      <c r="B4329" t="str">
        <f>T("Polyamide-6, -11, -12, -6,6, -6,9, -6,10 ou -6,12, sous formes primaires")</f>
        <v>Polyamide-6, -11, -12, -6,6, -6,9, -6,10 ou -6,12, sous formes primaires</v>
      </c>
    </row>
    <row r="4330" spans="1:4" x14ac:dyDescent="0.25">
      <c r="A4330" t="str">
        <f>T("   ZZZ_Monde")</f>
        <v xml:space="preserve">   ZZZ_Monde</v>
      </c>
      <c r="B4330" t="str">
        <f>T("   ZZZ_Monde")</f>
        <v xml:space="preserve">   ZZZ_Monde</v>
      </c>
      <c r="C4330">
        <v>1695762</v>
      </c>
      <c r="D4330">
        <v>234</v>
      </c>
    </row>
    <row r="4331" spans="1:4" x14ac:dyDescent="0.25">
      <c r="A4331" t="str">
        <f>T("   FR")</f>
        <v xml:space="preserve">   FR</v>
      </c>
      <c r="B4331" t="str">
        <f>T("   France")</f>
        <v xml:space="preserve">   France</v>
      </c>
      <c r="C4331">
        <v>1695762</v>
      </c>
      <c r="D4331">
        <v>234</v>
      </c>
    </row>
    <row r="4332" spans="1:4" x14ac:dyDescent="0.25">
      <c r="A4332" t="str">
        <f>T("390890")</f>
        <v>390890</v>
      </c>
      <c r="B4332" t="str">
        <f>T("Polyamides, sous formes primaires (à l'excl. du polyamide-6, -11, -12, -6,6, -6,9, -6,10 ou -6,12)")</f>
        <v>Polyamides, sous formes primaires (à l'excl. du polyamide-6, -11, -12, -6,6, -6,9, -6,10 ou -6,12)</v>
      </c>
    </row>
    <row r="4333" spans="1:4" x14ac:dyDescent="0.25">
      <c r="A4333" t="str">
        <f>T("   ZZZ_Monde")</f>
        <v xml:space="preserve">   ZZZ_Monde</v>
      </c>
      <c r="B4333" t="str">
        <f>T("   ZZZ_Monde")</f>
        <v xml:space="preserve">   ZZZ_Monde</v>
      </c>
      <c r="C4333">
        <v>1284596</v>
      </c>
      <c r="D4333">
        <v>5500</v>
      </c>
    </row>
    <row r="4334" spans="1:4" x14ac:dyDescent="0.25">
      <c r="A4334" t="str">
        <f>T("   CN")</f>
        <v xml:space="preserve">   CN</v>
      </c>
      <c r="B4334" t="str">
        <f>T("   Chine")</f>
        <v xml:space="preserve">   Chine</v>
      </c>
      <c r="C4334">
        <v>1284596</v>
      </c>
      <c r="D4334">
        <v>5500</v>
      </c>
    </row>
    <row r="4335" spans="1:4" x14ac:dyDescent="0.25">
      <c r="A4335" t="str">
        <f>T("390930")</f>
        <v>390930</v>
      </c>
      <c r="B4335" t="str">
        <f>T("Résines aminiques, sous formes primaires (à l'excl. des résines de thiourée ainsi que des résines uréiques ou mélaminiques)")</f>
        <v>Résines aminiques, sous formes primaires (à l'excl. des résines de thiourée ainsi que des résines uréiques ou mélaminiques)</v>
      </c>
    </row>
    <row r="4336" spans="1:4" x14ac:dyDescent="0.25">
      <c r="A4336" t="str">
        <f>T("   ZZZ_Monde")</f>
        <v xml:space="preserve">   ZZZ_Monde</v>
      </c>
      <c r="B4336" t="str">
        <f>T("   ZZZ_Monde")</f>
        <v xml:space="preserve">   ZZZ_Monde</v>
      </c>
      <c r="C4336">
        <v>98019822</v>
      </c>
      <c r="D4336">
        <v>297235</v>
      </c>
    </row>
    <row r="4337" spans="1:4" x14ac:dyDescent="0.25">
      <c r="A4337" t="str">
        <f>T("   DE")</f>
        <v xml:space="preserve">   DE</v>
      </c>
      <c r="B4337" t="str">
        <f>T("   Allemagne")</f>
        <v xml:space="preserve">   Allemagne</v>
      </c>
      <c r="C4337">
        <v>95487441</v>
      </c>
      <c r="D4337">
        <v>297000</v>
      </c>
    </row>
    <row r="4338" spans="1:4" x14ac:dyDescent="0.25">
      <c r="A4338" t="str">
        <f>T("   FR")</f>
        <v xml:space="preserve">   FR</v>
      </c>
      <c r="B4338" t="str">
        <f>T("   France")</f>
        <v xml:space="preserve">   France</v>
      </c>
      <c r="C4338">
        <v>1112883</v>
      </c>
      <c r="D4338">
        <v>32</v>
      </c>
    </row>
    <row r="4339" spans="1:4" x14ac:dyDescent="0.25">
      <c r="A4339" t="str">
        <f>T("   GB")</f>
        <v xml:space="preserve">   GB</v>
      </c>
      <c r="B4339" t="str">
        <f>T("   Royaume-Uni")</f>
        <v xml:space="preserve">   Royaume-Uni</v>
      </c>
      <c r="C4339">
        <v>1419498</v>
      </c>
      <c r="D4339">
        <v>203</v>
      </c>
    </row>
    <row r="4340" spans="1:4" x14ac:dyDescent="0.25">
      <c r="A4340" t="str">
        <f>T("390950")</f>
        <v>390950</v>
      </c>
      <c r="B4340" t="str">
        <f>T("Polyuréthannes, sous formes primaires")</f>
        <v>Polyuréthannes, sous formes primaires</v>
      </c>
    </row>
    <row r="4341" spans="1:4" x14ac:dyDescent="0.25">
      <c r="A4341" t="str">
        <f>T("   ZZZ_Monde")</f>
        <v xml:space="preserve">   ZZZ_Monde</v>
      </c>
      <c r="B4341" t="str">
        <f>T("   ZZZ_Monde")</f>
        <v xml:space="preserve">   ZZZ_Monde</v>
      </c>
      <c r="C4341">
        <v>107273181</v>
      </c>
      <c r="D4341">
        <v>65321</v>
      </c>
    </row>
    <row r="4342" spans="1:4" x14ac:dyDescent="0.25">
      <c r="A4342" t="str">
        <f>T("   CH")</f>
        <v xml:space="preserve">   CH</v>
      </c>
      <c r="B4342" t="str">
        <f>T("   Suisse")</f>
        <v xml:space="preserve">   Suisse</v>
      </c>
      <c r="C4342">
        <v>44064769</v>
      </c>
      <c r="D4342">
        <v>36000</v>
      </c>
    </row>
    <row r="4343" spans="1:4" x14ac:dyDescent="0.25">
      <c r="A4343" t="str">
        <f>T("   DE")</f>
        <v xml:space="preserve">   DE</v>
      </c>
      <c r="B4343" t="str">
        <f>T("   Allemagne")</f>
        <v xml:space="preserve">   Allemagne</v>
      </c>
      <c r="C4343">
        <v>59821584</v>
      </c>
      <c r="D4343">
        <v>27685</v>
      </c>
    </row>
    <row r="4344" spans="1:4" x14ac:dyDescent="0.25">
      <c r="A4344" t="str">
        <f>T("   FR")</f>
        <v xml:space="preserve">   FR</v>
      </c>
      <c r="B4344" t="str">
        <f>T("   France")</f>
        <v xml:space="preserve">   France</v>
      </c>
      <c r="C4344">
        <v>3386828</v>
      </c>
      <c r="D4344">
        <v>1636</v>
      </c>
    </row>
    <row r="4345" spans="1:4" x14ac:dyDescent="0.25">
      <c r="A4345" t="str">
        <f>T("391000")</f>
        <v>391000</v>
      </c>
      <c r="B4345" t="str">
        <f>T("Silicones sous formes primaires")</f>
        <v>Silicones sous formes primaires</v>
      </c>
    </row>
    <row r="4346" spans="1:4" x14ac:dyDescent="0.25">
      <c r="A4346" t="str">
        <f>T("   ZZZ_Monde")</f>
        <v xml:space="preserve">   ZZZ_Monde</v>
      </c>
      <c r="B4346" t="str">
        <f>T("   ZZZ_Monde")</f>
        <v xml:space="preserve">   ZZZ_Monde</v>
      </c>
      <c r="C4346">
        <v>15852588</v>
      </c>
      <c r="D4346">
        <v>5252</v>
      </c>
    </row>
    <row r="4347" spans="1:4" x14ac:dyDescent="0.25">
      <c r="A4347" t="str">
        <f>T("   AE")</f>
        <v xml:space="preserve">   AE</v>
      </c>
      <c r="B4347" t="str">
        <f>T("   Emirats Arabes Unis")</f>
        <v xml:space="preserve">   Emirats Arabes Unis</v>
      </c>
      <c r="C4347">
        <v>147160</v>
      </c>
      <c r="D4347">
        <v>225</v>
      </c>
    </row>
    <row r="4348" spans="1:4" x14ac:dyDescent="0.25">
      <c r="A4348" t="str">
        <f>T("   CN")</f>
        <v xml:space="preserve">   CN</v>
      </c>
      <c r="B4348" t="str">
        <f>T("   Chine")</f>
        <v xml:space="preserve">   Chine</v>
      </c>
      <c r="C4348">
        <v>4622589</v>
      </c>
      <c r="D4348">
        <v>1205</v>
      </c>
    </row>
    <row r="4349" spans="1:4" x14ac:dyDescent="0.25">
      <c r="A4349" t="str">
        <f>T("   FR")</f>
        <v xml:space="preserve">   FR</v>
      </c>
      <c r="B4349" t="str">
        <f>T("   France")</f>
        <v xml:space="preserve">   France</v>
      </c>
      <c r="C4349">
        <v>8812167</v>
      </c>
      <c r="D4349">
        <v>2922</v>
      </c>
    </row>
    <row r="4350" spans="1:4" x14ac:dyDescent="0.25">
      <c r="A4350" t="str">
        <f>T("   GH")</f>
        <v xml:space="preserve">   GH</v>
      </c>
      <c r="B4350" t="str">
        <f>T("   Ghana")</f>
        <v xml:space="preserve">   Ghana</v>
      </c>
      <c r="C4350">
        <v>2270672</v>
      </c>
      <c r="D4350">
        <v>900</v>
      </c>
    </row>
    <row r="4351" spans="1:4" x14ac:dyDescent="0.25">
      <c r="A4351" t="str">
        <f>T("391110")</f>
        <v>391110</v>
      </c>
      <c r="B4351" t="str">
        <f>T("Résines de pétrole, résines de coumarone, résines d'indène, résines de coumarone-indène et polyterpènes, sous formes primaires")</f>
        <v>Résines de pétrole, résines de coumarone, résines d'indène, résines de coumarone-indène et polyterpènes, sous formes primaires</v>
      </c>
    </row>
    <row r="4352" spans="1:4" x14ac:dyDescent="0.25">
      <c r="A4352" t="str">
        <f>T("   ZZZ_Monde")</f>
        <v xml:space="preserve">   ZZZ_Monde</v>
      </c>
      <c r="B4352" t="str">
        <f>T("   ZZZ_Monde")</f>
        <v xml:space="preserve">   ZZZ_Monde</v>
      </c>
      <c r="C4352">
        <v>15141820</v>
      </c>
      <c r="D4352">
        <v>14500</v>
      </c>
    </row>
    <row r="4353" spans="1:4" x14ac:dyDescent="0.25">
      <c r="A4353" t="str">
        <f>T("   CN")</f>
        <v xml:space="preserve">   CN</v>
      </c>
      <c r="B4353" t="str">
        <f>T("   Chine")</f>
        <v xml:space="preserve">   Chine</v>
      </c>
      <c r="C4353">
        <v>15141820</v>
      </c>
      <c r="D4353">
        <v>14500</v>
      </c>
    </row>
    <row r="4354" spans="1:4" x14ac:dyDescent="0.25">
      <c r="A4354" t="str">
        <f>T("391190")</f>
        <v>391190</v>
      </c>
      <c r="B4354" t="str">
        <f>T("Polysulfures, polysulfones et autres polymères et prépolymères obtenus par voie de synthèse chimique [voir note 3 du présent chapitre], n.d.a., sous formes primaires")</f>
        <v>Polysulfures, polysulfones et autres polymères et prépolymères obtenus par voie de synthèse chimique [voir note 3 du présent chapitre], n.d.a., sous formes primaires</v>
      </c>
    </row>
    <row r="4355" spans="1:4" x14ac:dyDescent="0.25">
      <c r="A4355" t="str">
        <f>T("   ZZZ_Monde")</f>
        <v xml:space="preserve">   ZZZ_Monde</v>
      </c>
      <c r="B4355" t="str">
        <f>T("   ZZZ_Monde")</f>
        <v xml:space="preserve">   ZZZ_Monde</v>
      </c>
      <c r="C4355">
        <v>5525151</v>
      </c>
      <c r="D4355">
        <v>1009</v>
      </c>
    </row>
    <row r="4356" spans="1:4" x14ac:dyDescent="0.25">
      <c r="A4356" t="str">
        <f>T("   FR")</f>
        <v xml:space="preserve">   FR</v>
      </c>
      <c r="B4356" t="str">
        <f>T("   France")</f>
        <v xml:space="preserve">   France</v>
      </c>
      <c r="C4356">
        <v>5525151</v>
      </c>
      <c r="D4356">
        <v>1009</v>
      </c>
    </row>
    <row r="4357" spans="1:4" x14ac:dyDescent="0.25">
      <c r="A4357" t="str">
        <f>T("391220")</f>
        <v>391220</v>
      </c>
      <c r="B4357" t="str">
        <f>T("Nitrates de cellulose, y.c. les collodions, sous formes primaires")</f>
        <v>Nitrates de cellulose, y.c. les collodions, sous formes primaires</v>
      </c>
    </row>
    <row r="4358" spans="1:4" x14ac:dyDescent="0.25">
      <c r="A4358" t="str">
        <f>T("   ZZZ_Monde")</f>
        <v xml:space="preserve">   ZZZ_Monde</v>
      </c>
      <c r="B4358" t="str">
        <f>T("   ZZZ_Monde")</f>
        <v xml:space="preserve">   ZZZ_Monde</v>
      </c>
      <c r="C4358">
        <v>9329621</v>
      </c>
      <c r="D4358">
        <v>3527</v>
      </c>
    </row>
    <row r="4359" spans="1:4" x14ac:dyDescent="0.25">
      <c r="A4359" t="str">
        <f>T("   BE")</f>
        <v xml:space="preserve">   BE</v>
      </c>
      <c r="B4359" t="str">
        <f>T("   Belgique")</f>
        <v xml:space="preserve">   Belgique</v>
      </c>
      <c r="C4359">
        <v>1923274</v>
      </c>
      <c r="D4359">
        <v>758</v>
      </c>
    </row>
    <row r="4360" spans="1:4" x14ac:dyDescent="0.25">
      <c r="A4360" t="str">
        <f>T("   FR")</f>
        <v xml:space="preserve">   FR</v>
      </c>
      <c r="B4360" t="str">
        <f>T("   France")</f>
        <v xml:space="preserve">   France</v>
      </c>
      <c r="C4360">
        <v>3432639</v>
      </c>
      <c r="D4360">
        <v>609</v>
      </c>
    </row>
    <row r="4361" spans="1:4" x14ac:dyDescent="0.25">
      <c r="A4361" t="str">
        <f>T("   IT")</f>
        <v xml:space="preserve">   IT</v>
      </c>
      <c r="B4361" t="str">
        <f>T("   Italie")</f>
        <v xml:space="preserve">   Italie</v>
      </c>
      <c r="C4361">
        <v>3973708</v>
      </c>
      <c r="D4361">
        <v>2160</v>
      </c>
    </row>
    <row r="4362" spans="1:4" x14ac:dyDescent="0.25">
      <c r="A4362" t="str">
        <f>T("391231")</f>
        <v>391231</v>
      </c>
      <c r="B4362" t="str">
        <f>T("Carboxyméthylcellulose et ses sels, sous formes primaires")</f>
        <v>Carboxyméthylcellulose et ses sels, sous formes primaires</v>
      </c>
    </row>
    <row r="4363" spans="1:4" x14ac:dyDescent="0.25">
      <c r="A4363" t="str">
        <f>T("   ZZZ_Monde")</f>
        <v xml:space="preserve">   ZZZ_Monde</v>
      </c>
      <c r="B4363" t="str">
        <f>T("   ZZZ_Monde")</f>
        <v xml:space="preserve">   ZZZ_Monde</v>
      </c>
      <c r="C4363">
        <v>3667964</v>
      </c>
      <c r="D4363">
        <v>1000</v>
      </c>
    </row>
    <row r="4364" spans="1:4" x14ac:dyDescent="0.25">
      <c r="A4364" t="str">
        <f>T("   IT")</f>
        <v xml:space="preserve">   IT</v>
      </c>
      <c r="B4364" t="str">
        <f>T("   Italie")</f>
        <v xml:space="preserve">   Italie</v>
      </c>
      <c r="C4364">
        <v>3667964</v>
      </c>
      <c r="D4364">
        <v>1000</v>
      </c>
    </row>
    <row r="4365" spans="1:4" x14ac:dyDescent="0.25">
      <c r="A4365" t="str">
        <f>T("391239")</f>
        <v>391239</v>
      </c>
      <c r="B4365" t="str">
        <f>T("ÉTHERS DE CELLULOSE, SOUS FORMES PRIMAIRES (À L'EXCL. DE LA CARBOXYMÉTHYLCELLULOSE ET DE SES SELS)")</f>
        <v>ÉTHERS DE CELLULOSE, SOUS FORMES PRIMAIRES (À L'EXCL. DE LA CARBOXYMÉTHYLCELLULOSE ET DE SES SELS)</v>
      </c>
    </row>
    <row r="4366" spans="1:4" x14ac:dyDescent="0.25">
      <c r="A4366" t="str">
        <f>T("   ZZZ_Monde")</f>
        <v xml:space="preserve">   ZZZ_Monde</v>
      </c>
      <c r="B4366" t="str">
        <f>T("   ZZZ_Monde")</f>
        <v xml:space="preserve">   ZZZ_Monde</v>
      </c>
      <c r="C4366">
        <v>118629987</v>
      </c>
      <c r="D4366">
        <v>24730</v>
      </c>
    </row>
    <row r="4367" spans="1:4" x14ac:dyDescent="0.25">
      <c r="A4367" t="str">
        <f>T("   BE")</f>
        <v xml:space="preserve">   BE</v>
      </c>
      <c r="B4367" t="str">
        <f>T("   Belgique")</f>
        <v xml:space="preserve">   Belgique</v>
      </c>
      <c r="C4367">
        <v>66042709</v>
      </c>
      <c r="D4367">
        <v>11345</v>
      </c>
    </row>
    <row r="4368" spans="1:4" x14ac:dyDescent="0.25">
      <c r="A4368" t="str">
        <f>T("   CN")</f>
        <v xml:space="preserve">   CN</v>
      </c>
      <c r="B4368" t="str">
        <f>T("   Chine")</f>
        <v xml:space="preserve">   Chine</v>
      </c>
      <c r="C4368">
        <v>16467830</v>
      </c>
      <c r="D4368">
        <v>5040</v>
      </c>
    </row>
    <row r="4369" spans="1:4" x14ac:dyDescent="0.25">
      <c r="A4369" t="str">
        <f>T("   FR")</f>
        <v xml:space="preserve">   FR</v>
      </c>
      <c r="B4369" t="str">
        <f>T("   France")</f>
        <v xml:space="preserve">   France</v>
      </c>
      <c r="C4369">
        <v>10759712</v>
      </c>
      <c r="D4369">
        <v>2000</v>
      </c>
    </row>
    <row r="4370" spans="1:4" x14ac:dyDescent="0.25">
      <c r="A4370" t="str">
        <f>T("   IT")</f>
        <v xml:space="preserve">   IT</v>
      </c>
      <c r="B4370" t="str">
        <f>T("   Italie")</f>
        <v xml:space="preserve">   Italie</v>
      </c>
      <c r="C4370">
        <v>25359736</v>
      </c>
      <c r="D4370">
        <v>6345</v>
      </c>
    </row>
    <row r="4371" spans="1:4" x14ac:dyDescent="0.25">
      <c r="A4371" t="str">
        <f>T("391290")</f>
        <v>391290</v>
      </c>
      <c r="B4371" t="str">
        <f>T("Cellulose et ses dérivés chimiques, n.d.a., sous formes primaires (à l'excl. des acétates, nitrates et éthers de cellulose)")</f>
        <v>Cellulose et ses dérivés chimiques, n.d.a., sous formes primaires (à l'excl. des acétates, nitrates et éthers de cellulose)</v>
      </c>
    </row>
    <row r="4372" spans="1:4" x14ac:dyDescent="0.25">
      <c r="A4372" t="str">
        <f>T("   ZZZ_Monde")</f>
        <v xml:space="preserve">   ZZZ_Monde</v>
      </c>
      <c r="B4372" t="str">
        <f>T("   ZZZ_Monde")</f>
        <v xml:space="preserve">   ZZZ_Monde</v>
      </c>
      <c r="C4372">
        <v>11142793</v>
      </c>
      <c r="D4372">
        <v>2066</v>
      </c>
    </row>
    <row r="4373" spans="1:4" x14ac:dyDescent="0.25">
      <c r="A4373" t="str">
        <f>T("   FR")</f>
        <v xml:space="preserve">   FR</v>
      </c>
      <c r="B4373" t="str">
        <f>T("   France")</f>
        <v xml:space="preserve">   France</v>
      </c>
      <c r="C4373">
        <v>11142793</v>
      </c>
      <c r="D4373">
        <v>2066</v>
      </c>
    </row>
    <row r="4374" spans="1:4" x14ac:dyDescent="0.25">
      <c r="A4374" t="str">
        <f>T("391400")</f>
        <v>391400</v>
      </c>
      <c r="B4374" t="str">
        <f>T("Echangeurs d'ions à base de polymères du n° 3901 à 3913, sous formes primaires")</f>
        <v>Echangeurs d'ions à base de polymères du n° 3901 à 3913, sous formes primaires</v>
      </c>
    </row>
    <row r="4375" spans="1:4" x14ac:dyDescent="0.25">
      <c r="A4375" t="str">
        <f>T("   ZZZ_Monde")</f>
        <v xml:space="preserve">   ZZZ_Monde</v>
      </c>
      <c r="B4375" t="str">
        <f>T("   ZZZ_Monde")</f>
        <v xml:space="preserve">   ZZZ_Monde</v>
      </c>
      <c r="C4375">
        <v>1168396</v>
      </c>
      <c r="D4375">
        <v>650</v>
      </c>
    </row>
    <row r="4376" spans="1:4" x14ac:dyDescent="0.25">
      <c r="A4376" t="str">
        <f>T("   NL")</f>
        <v xml:space="preserve">   NL</v>
      </c>
      <c r="B4376" t="str">
        <f>T("   Pays-bas")</f>
        <v xml:space="preserve">   Pays-bas</v>
      </c>
      <c r="C4376">
        <v>1168396</v>
      </c>
      <c r="D4376">
        <v>650</v>
      </c>
    </row>
    <row r="4377" spans="1:4" x14ac:dyDescent="0.25">
      <c r="A4377" t="str">
        <f>T("391690")</f>
        <v>391690</v>
      </c>
      <c r="B4377" t="str">
        <f>T("Monofilaments dont la plus grande dimension de la coupe transversale &gt; 1 mm [monofils], joncs, bâtons et profilés, même ouvrés en surface mais non autrement travaillés, en matières plastiques (à l'excl. des monofilaments en polymères de l'éthylène ou du c")</f>
        <v>Monofilaments dont la plus grande dimension de la coupe transversale &gt; 1 mm [monofils], joncs, bâtons et profilés, même ouvrés en surface mais non autrement travaillés, en matières plastiques (à l'excl. des monofilaments en polymères de l'éthylène ou du c</v>
      </c>
    </row>
    <row r="4378" spans="1:4" x14ac:dyDescent="0.25">
      <c r="A4378" t="str">
        <f>T("   ZZZ_Monde")</f>
        <v xml:space="preserve">   ZZZ_Monde</v>
      </c>
      <c r="B4378" t="str">
        <f>T("   ZZZ_Monde")</f>
        <v xml:space="preserve">   ZZZ_Monde</v>
      </c>
      <c r="C4378">
        <v>5140535</v>
      </c>
      <c r="D4378">
        <v>819</v>
      </c>
    </row>
    <row r="4379" spans="1:4" x14ac:dyDescent="0.25">
      <c r="A4379" t="str">
        <f>T("   BE")</f>
        <v xml:space="preserve">   BE</v>
      </c>
      <c r="B4379" t="str">
        <f>T("   Belgique")</f>
        <v xml:space="preserve">   Belgique</v>
      </c>
      <c r="C4379">
        <v>321197</v>
      </c>
      <c r="D4379">
        <v>144</v>
      </c>
    </row>
    <row r="4380" spans="1:4" x14ac:dyDescent="0.25">
      <c r="A4380" t="str">
        <f>T("   FR")</f>
        <v xml:space="preserve">   FR</v>
      </c>
      <c r="B4380" t="str">
        <f>T("   France")</f>
        <v xml:space="preserve">   France</v>
      </c>
      <c r="C4380">
        <v>4819338</v>
      </c>
      <c r="D4380">
        <v>675</v>
      </c>
    </row>
    <row r="4381" spans="1:4" x14ac:dyDescent="0.25">
      <c r="A4381" t="str">
        <f>T("391710")</f>
        <v>391710</v>
      </c>
      <c r="B4381" t="str">
        <f>T("Boyaux artificiels en protéines durcies ou en matières plastiques cellulosiques")</f>
        <v>Boyaux artificiels en protéines durcies ou en matières plastiques cellulosiques</v>
      </c>
    </row>
    <row r="4382" spans="1:4" x14ac:dyDescent="0.25">
      <c r="A4382" t="str">
        <f>T("   ZZZ_Monde")</f>
        <v xml:space="preserve">   ZZZ_Monde</v>
      </c>
      <c r="B4382" t="str">
        <f>T("   ZZZ_Monde")</f>
        <v xml:space="preserve">   ZZZ_Monde</v>
      </c>
      <c r="C4382">
        <v>290909</v>
      </c>
      <c r="D4382">
        <v>1200</v>
      </c>
    </row>
    <row r="4383" spans="1:4" x14ac:dyDescent="0.25">
      <c r="A4383" t="str">
        <f>T("   TG")</f>
        <v xml:space="preserve">   TG</v>
      </c>
      <c r="B4383" t="str">
        <f>T("   Togo")</f>
        <v xml:space="preserve">   Togo</v>
      </c>
      <c r="C4383">
        <v>290909</v>
      </c>
      <c r="D4383">
        <v>1200</v>
      </c>
    </row>
    <row r="4384" spans="1:4" x14ac:dyDescent="0.25">
      <c r="A4384" t="str">
        <f>T("391721")</f>
        <v>391721</v>
      </c>
      <c r="B4384" t="str">
        <f>T("TUBES ET TUYAUX RIGIDES, EN POLYMÈRES DE L'ÉTHYLÈNE")</f>
        <v>TUBES ET TUYAUX RIGIDES, EN POLYMÈRES DE L'ÉTHYLÈNE</v>
      </c>
    </row>
    <row r="4385" spans="1:4" x14ac:dyDescent="0.25">
      <c r="A4385" t="str">
        <f>T("   ZZZ_Monde")</f>
        <v xml:space="preserve">   ZZZ_Monde</v>
      </c>
      <c r="B4385" t="str">
        <f>T("   ZZZ_Monde")</f>
        <v xml:space="preserve">   ZZZ_Monde</v>
      </c>
      <c r="C4385">
        <v>30853422</v>
      </c>
      <c r="D4385">
        <v>79764</v>
      </c>
    </row>
    <row r="4386" spans="1:4" x14ac:dyDescent="0.25">
      <c r="A4386" t="str">
        <f>T("   CI")</f>
        <v xml:space="preserve">   CI</v>
      </c>
      <c r="B4386" t="str">
        <f>T("   Côte d'Ivoire")</f>
        <v xml:space="preserve">   Côte d'Ivoire</v>
      </c>
      <c r="C4386">
        <v>6300355</v>
      </c>
      <c r="D4386">
        <v>7079</v>
      </c>
    </row>
    <row r="4387" spans="1:4" x14ac:dyDescent="0.25">
      <c r="A4387" t="str">
        <f>T("   CN")</f>
        <v xml:space="preserve">   CN</v>
      </c>
      <c r="B4387" t="str">
        <f>T("   Chine")</f>
        <v xml:space="preserve">   Chine</v>
      </c>
      <c r="C4387">
        <v>11256252</v>
      </c>
      <c r="D4387">
        <v>42055</v>
      </c>
    </row>
    <row r="4388" spans="1:4" x14ac:dyDescent="0.25">
      <c r="A4388" t="str">
        <f>T("   DE")</f>
        <v xml:space="preserve">   DE</v>
      </c>
      <c r="B4388" t="str">
        <f>T("   Allemagne")</f>
        <v xml:space="preserve">   Allemagne</v>
      </c>
      <c r="C4388">
        <v>125288</v>
      </c>
      <c r="D4388">
        <v>546</v>
      </c>
    </row>
    <row r="4389" spans="1:4" x14ac:dyDescent="0.25">
      <c r="A4389" t="str">
        <f>T("   FR")</f>
        <v xml:space="preserve">   FR</v>
      </c>
      <c r="B4389" t="str">
        <f>T("   France")</f>
        <v xml:space="preserve">   France</v>
      </c>
      <c r="C4389">
        <v>1161922</v>
      </c>
      <c r="D4389">
        <v>685</v>
      </c>
    </row>
    <row r="4390" spans="1:4" x14ac:dyDescent="0.25">
      <c r="A4390" t="str">
        <f>T("   LB")</f>
        <v xml:space="preserve">   LB</v>
      </c>
      <c r="B4390" t="str">
        <f>T("   Liban")</f>
        <v xml:space="preserve">   Liban</v>
      </c>
      <c r="C4390">
        <v>301742</v>
      </c>
      <c r="D4390">
        <v>110</v>
      </c>
    </row>
    <row r="4391" spans="1:4" x14ac:dyDescent="0.25">
      <c r="A4391" t="str">
        <f>T("   SN")</f>
        <v xml:space="preserve">   SN</v>
      </c>
      <c r="B4391" t="str">
        <f>T("   Sénégal")</f>
        <v xml:space="preserve">   Sénégal</v>
      </c>
      <c r="C4391">
        <v>7557863</v>
      </c>
      <c r="D4391">
        <v>6679</v>
      </c>
    </row>
    <row r="4392" spans="1:4" x14ac:dyDescent="0.25">
      <c r="A4392" t="str">
        <f>T("   TG")</f>
        <v xml:space="preserve">   TG</v>
      </c>
      <c r="B4392" t="str">
        <f>T("   Togo")</f>
        <v xml:space="preserve">   Togo</v>
      </c>
      <c r="C4392">
        <v>4150000</v>
      </c>
      <c r="D4392">
        <v>22610</v>
      </c>
    </row>
    <row r="4393" spans="1:4" x14ac:dyDescent="0.25">
      <c r="A4393" t="str">
        <f>T("391722")</f>
        <v>391722</v>
      </c>
      <c r="B4393" t="str">
        <f>T("TUBES ET TUYAUX RIGIDES, EN POLYMÈRES DU PROPYLÈNE")</f>
        <v>TUBES ET TUYAUX RIGIDES, EN POLYMÈRES DU PROPYLÈNE</v>
      </c>
    </row>
    <row r="4394" spans="1:4" x14ac:dyDescent="0.25">
      <c r="A4394" t="str">
        <f>T("   ZZZ_Monde")</f>
        <v xml:space="preserve">   ZZZ_Monde</v>
      </c>
      <c r="B4394" t="str">
        <f>T("   ZZZ_Monde")</f>
        <v xml:space="preserve">   ZZZ_Monde</v>
      </c>
      <c r="C4394">
        <v>13742115</v>
      </c>
      <c r="D4394">
        <v>30503</v>
      </c>
    </row>
    <row r="4395" spans="1:4" x14ac:dyDescent="0.25">
      <c r="A4395" t="str">
        <f>T("   FR")</f>
        <v xml:space="preserve">   FR</v>
      </c>
      <c r="B4395" t="str">
        <f>T("   France")</f>
        <v xml:space="preserve">   France</v>
      </c>
      <c r="C4395">
        <v>96426</v>
      </c>
      <c r="D4395">
        <v>1</v>
      </c>
    </row>
    <row r="4396" spans="1:4" x14ac:dyDescent="0.25">
      <c r="A4396" t="str">
        <f>T("   MA")</f>
        <v xml:space="preserve">   MA</v>
      </c>
      <c r="B4396" t="str">
        <f>T("   Maroc")</f>
        <v xml:space="preserve">   Maroc</v>
      </c>
      <c r="C4396">
        <v>6145689</v>
      </c>
      <c r="D4396">
        <v>3572</v>
      </c>
    </row>
    <row r="4397" spans="1:4" x14ac:dyDescent="0.25">
      <c r="A4397" t="str">
        <f>T("   TG")</f>
        <v xml:space="preserve">   TG</v>
      </c>
      <c r="B4397" t="str">
        <f>T("   Togo")</f>
        <v xml:space="preserve">   Togo</v>
      </c>
      <c r="C4397">
        <v>7500000</v>
      </c>
      <c r="D4397">
        <v>26930</v>
      </c>
    </row>
    <row r="4398" spans="1:4" x14ac:dyDescent="0.25">
      <c r="A4398" t="str">
        <f>T("391723")</f>
        <v>391723</v>
      </c>
      <c r="B4398" t="str">
        <f>T("TUBES ET TUYAUX RIGIDES, EN POLYMÈRES DU CHLORURE DE VINYLE")</f>
        <v>TUBES ET TUYAUX RIGIDES, EN POLYMÈRES DU CHLORURE DE VINYLE</v>
      </c>
    </row>
    <row r="4399" spans="1:4" x14ac:dyDescent="0.25">
      <c r="A4399" t="str">
        <f>T("   ZZZ_Monde")</f>
        <v xml:space="preserve">   ZZZ_Monde</v>
      </c>
      <c r="B4399" t="str">
        <f>T("   ZZZ_Monde")</f>
        <v xml:space="preserve">   ZZZ_Monde</v>
      </c>
      <c r="C4399">
        <v>350469848</v>
      </c>
      <c r="D4399">
        <v>795927</v>
      </c>
    </row>
    <row r="4400" spans="1:4" x14ac:dyDescent="0.25">
      <c r="A4400" t="str">
        <f>T("   BR")</f>
        <v xml:space="preserve">   BR</v>
      </c>
      <c r="B4400" t="str">
        <f>T("   Brésil")</f>
        <v xml:space="preserve">   Brésil</v>
      </c>
      <c r="C4400">
        <v>2000000</v>
      </c>
      <c r="D4400">
        <v>3220</v>
      </c>
    </row>
    <row r="4401" spans="1:4" x14ac:dyDescent="0.25">
      <c r="A4401" t="str">
        <f>T("   CI")</f>
        <v xml:space="preserve">   CI</v>
      </c>
      <c r="B4401" t="str">
        <f>T("   Côte d'Ivoire")</f>
        <v xml:space="preserve">   Côte d'Ivoire</v>
      </c>
      <c r="C4401">
        <v>33113956</v>
      </c>
      <c r="D4401">
        <v>67173</v>
      </c>
    </row>
    <row r="4402" spans="1:4" x14ac:dyDescent="0.25">
      <c r="A4402" t="str">
        <f>T("   CN")</f>
        <v xml:space="preserve">   CN</v>
      </c>
      <c r="B4402" t="str">
        <f>T("   Chine")</f>
        <v xml:space="preserve">   Chine</v>
      </c>
      <c r="C4402">
        <v>1802356</v>
      </c>
      <c r="D4402">
        <v>3238</v>
      </c>
    </row>
    <row r="4403" spans="1:4" x14ac:dyDescent="0.25">
      <c r="A4403" t="str">
        <f>T("   FR")</f>
        <v xml:space="preserve">   FR</v>
      </c>
      <c r="B4403" t="str">
        <f>T("   France")</f>
        <v xml:space="preserve">   France</v>
      </c>
      <c r="C4403">
        <v>14048219</v>
      </c>
      <c r="D4403">
        <v>2737</v>
      </c>
    </row>
    <row r="4404" spans="1:4" x14ac:dyDescent="0.25">
      <c r="A4404" t="str">
        <f>T("   GH")</f>
        <v xml:space="preserve">   GH</v>
      </c>
      <c r="B4404" t="str">
        <f>T("   Ghana")</f>
        <v xml:space="preserve">   Ghana</v>
      </c>
      <c r="C4404">
        <v>86532618</v>
      </c>
      <c r="D4404">
        <v>175833</v>
      </c>
    </row>
    <row r="4405" spans="1:4" x14ac:dyDescent="0.25">
      <c r="A4405" t="str">
        <f>T("   IT")</f>
        <v xml:space="preserve">   IT</v>
      </c>
      <c r="B4405" t="str">
        <f>T("   Italie")</f>
        <v xml:space="preserve">   Italie</v>
      </c>
      <c r="C4405">
        <v>350938</v>
      </c>
      <c r="D4405">
        <v>3618</v>
      </c>
    </row>
    <row r="4406" spans="1:4" x14ac:dyDescent="0.25">
      <c r="A4406" t="str">
        <f>T("   NG")</f>
        <v xml:space="preserve">   NG</v>
      </c>
      <c r="B4406" t="str">
        <f>T("   Nigéria")</f>
        <v xml:space="preserve">   Nigéria</v>
      </c>
      <c r="C4406">
        <v>3294000</v>
      </c>
      <c r="D4406">
        <v>12790</v>
      </c>
    </row>
    <row r="4407" spans="1:4" x14ac:dyDescent="0.25">
      <c r="A4407" t="str">
        <f>T("   TG")</f>
        <v xml:space="preserve">   TG</v>
      </c>
      <c r="B4407" t="str">
        <f>T("   Togo")</f>
        <v xml:space="preserve">   Togo</v>
      </c>
      <c r="C4407">
        <v>209327761</v>
      </c>
      <c r="D4407">
        <v>527318</v>
      </c>
    </row>
    <row r="4408" spans="1:4" x14ac:dyDescent="0.25">
      <c r="A4408" t="str">
        <f>T("391729")</f>
        <v>391729</v>
      </c>
      <c r="B4408" t="str">
        <f>T("TUBES ET TUYAUX RIGIDES, EN MATIÈRES PLASTIQUES (À L'EXCL. DES TUBES ET TUYAUX EN POLYMÈRES DE L'ÉTHYLÈNE, DU PROPYLÈNE OU DU CHLORURE DE VINYLE)")</f>
        <v>TUBES ET TUYAUX RIGIDES, EN MATIÈRES PLASTIQUES (À L'EXCL. DES TUBES ET TUYAUX EN POLYMÈRES DE L'ÉTHYLÈNE, DU PROPYLÈNE OU DU CHLORURE DE VINYLE)</v>
      </c>
    </row>
    <row r="4409" spans="1:4" x14ac:dyDescent="0.25">
      <c r="A4409" t="str">
        <f>T("   ZZZ_Monde")</f>
        <v xml:space="preserve">   ZZZ_Monde</v>
      </c>
      <c r="B4409" t="str">
        <f>T("   ZZZ_Monde")</f>
        <v xml:space="preserve">   ZZZ_Monde</v>
      </c>
      <c r="C4409">
        <v>56102504</v>
      </c>
      <c r="D4409">
        <v>174116</v>
      </c>
    </row>
    <row r="4410" spans="1:4" x14ac:dyDescent="0.25">
      <c r="A4410" t="str">
        <f>T("   AE")</f>
        <v xml:space="preserve">   AE</v>
      </c>
      <c r="B4410" t="str">
        <f>T("   Emirats Arabes Unis")</f>
        <v xml:space="preserve">   Emirats Arabes Unis</v>
      </c>
      <c r="C4410">
        <v>19449777</v>
      </c>
      <c r="D4410">
        <v>67600</v>
      </c>
    </row>
    <row r="4411" spans="1:4" x14ac:dyDescent="0.25">
      <c r="A4411" t="str">
        <f>T("   CN")</f>
        <v xml:space="preserve">   CN</v>
      </c>
      <c r="B4411" t="str">
        <f>T("   Chine")</f>
        <v xml:space="preserve">   Chine</v>
      </c>
      <c r="C4411">
        <v>6364832</v>
      </c>
      <c r="D4411">
        <v>21972</v>
      </c>
    </row>
    <row r="4412" spans="1:4" x14ac:dyDescent="0.25">
      <c r="A4412" t="str">
        <f>T("   FR")</f>
        <v xml:space="preserve">   FR</v>
      </c>
      <c r="B4412" t="str">
        <f>T("   France")</f>
        <v xml:space="preserve">   France</v>
      </c>
      <c r="C4412">
        <v>299904</v>
      </c>
      <c r="D4412">
        <v>145</v>
      </c>
    </row>
    <row r="4413" spans="1:4" x14ac:dyDescent="0.25">
      <c r="A4413" t="str">
        <f>T("   TG")</f>
        <v xml:space="preserve">   TG</v>
      </c>
      <c r="B4413" t="str">
        <f>T("   Togo")</f>
        <v xml:space="preserve">   Togo</v>
      </c>
      <c r="C4413">
        <v>29987991</v>
      </c>
      <c r="D4413">
        <v>84399</v>
      </c>
    </row>
    <row r="4414" spans="1:4" x14ac:dyDescent="0.25">
      <c r="A4414" t="str">
        <f>T("391731")</f>
        <v>391731</v>
      </c>
      <c r="B4414" t="str">
        <f>T("Tubes et tuyaux souples, en matières plastiques, pouvant supporter une pression &gt;= 27,6 MPa, même munis d'accessoires")</f>
        <v>Tubes et tuyaux souples, en matières plastiques, pouvant supporter une pression &gt;= 27,6 MPa, même munis d'accessoires</v>
      </c>
    </row>
    <row r="4415" spans="1:4" x14ac:dyDescent="0.25">
      <c r="A4415" t="str">
        <f>T("   ZZZ_Monde")</f>
        <v xml:space="preserve">   ZZZ_Monde</v>
      </c>
      <c r="B4415" t="str">
        <f>T("   ZZZ_Monde")</f>
        <v xml:space="preserve">   ZZZ_Monde</v>
      </c>
      <c r="C4415">
        <v>1248881</v>
      </c>
      <c r="D4415">
        <v>492</v>
      </c>
    </row>
    <row r="4416" spans="1:4" x14ac:dyDescent="0.25">
      <c r="A4416" t="str">
        <f>T("   FR")</f>
        <v xml:space="preserve">   FR</v>
      </c>
      <c r="B4416" t="str">
        <f>T("   France")</f>
        <v xml:space="preserve">   France</v>
      </c>
      <c r="C4416">
        <v>1007555</v>
      </c>
      <c r="D4416">
        <v>125</v>
      </c>
    </row>
    <row r="4417" spans="1:4" x14ac:dyDescent="0.25">
      <c r="A4417" t="str">
        <f>T("   GH")</f>
        <v xml:space="preserve">   GH</v>
      </c>
      <c r="B4417" t="str">
        <f>T("   Ghana")</f>
        <v xml:space="preserve">   Ghana</v>
      </c>
      <c r="C4417">
        <v>241326</v>
      </c>
      <c r="D4417">
        <v>367</v>
      </c>
    </row>
    <row r="4418" spans="1:4" x14ac:dyDescent="0.25">
      <c r="A4418" t="str">
        <f>T("391732")</f>
        <v>391732</v>
      </c>
      <c r="B4418" t="str">
        <f>T("TUBES ET TUYAUX SOUPLES, EN MATIÈRES PLASTIQUES, NON-RENFORCÉS D'AUTRES MATIÈRES NI AUTREMENT ASSOCIÉS À D'AUTRES MATIÈRES, SANS ACCESSOIRES")</f>
        <v>TUBES ET TUYAUX SOUPLES, EN MATIÈRES PLASTIQUES, NON-RENFORCÉS D'AUTRES MATIÈRES NI AUTREMENT ASSOCIÉS À D'AUTRES MATIÈRES, SANS ACCESSOIRES</v>
      </c>
    </row>
    <row r="4419" spans="1:4" x14ac:dyDescent="0.25">
      <c r="A4419" t="str">
        <f>T("   ZZZ_Monde")</f>
        <v xml:space="preserve">   ZZZ_Monde</v>
      </c>
      <c r="B4419" t="str">
        <f>T("   ZZZ_Monde")</f>
        <v xml:space="preserve">   ZZZ_Monde</v>
      </c>
      <c r="C4419">
        <v>1937837</v>
      </c>
      <c r="D4419">
        <v>1990</v>
      </c>
    </row>
    <row r="4420" spans="1:4" x14ac:dyDescent="0.25">
      <c r="A4420" t="str">
        <f>T("   FR")</f>
        <v xml:space="preserve">   FR</v>
      </c>
      <c r="B4420" t="str">
        <f>T("   France")</f>
        <v xml:space="preserve">   France</v>
      </c>
      <c r="C4420">
        <v>533951</v>
      </c>
      <c r="D4420">
        <v>60</v>
      </c>
    </row>
    <row r="4421" spans="1:4" x14ac:dyDescent="0.25">
      <c r="A4421" t="str">
        <f>T("   GH")</f>
        <v xml:space="preserve">   GH</v>
      </c>
      <c r="B4421" t="str">
        <f>T("   Ghana")</f>
        <v xml:space="preserve">   Ghana</v>
      </c>
      <c r="C4421">
        <v>1403886</v>
      </c>
      <c r="D4421">
        <v>1930</v>
      </c>
    </row>
    <row r="4422" spans="1:4" x14ac:dyDescent="0.25">
      <c r="A4422" t="str">
        <f>T("391733")</f>
        <v>391733</v>
      </c>
      <c r="B4422" t="str">
        <f>T("Tubes et tuyaux souples, en matières plastiques, non renforcés d'autres matières ni autrement associés à d'autres matières, munis d'accessoires")</f>
        <v>Tubes et tuyaux souples, en matières plastiques, non renforcés d'autres matières ni autrement associés à d'autres matières, munis d'accessoires</v>
      </c>
    </row>
    <row r="4423" spans="1:4" x14ac:dyDescent="0.25">
      <c r="A4423" t="str">
        <f>T("   ZZZ_Monde")</f>
        <v xml:space="preserve">   ZZZ_Monde</v>
      </c>
      <c r="B4423" t="str">
        <f>T("   ZZZ_Monde")</f>
        <v xml:space="preserve">   ZZZ_Monde</v>
      </c>
      <c r="C4423">
        <v>2761329</v>
      </c>
      <c r="D4423">
        <v>573</v>
      </c>
    </row>
    <row r="4424" spans="1:4" x14ac:dyDescent="0.25">
      <c r="A4424" t="str">
        <f>T("   FR")</f>
        <v xml:space="preserve">   FR</v>
      </c>
      <c r="B4424" t="str">
        <f>T("   France")</f>
        <v xml:space="preserve">   France</v>
      </c>
      <c r="C4424">
        <v>2608097</v>
      </c>
      <c r="D4424">
        <v>534</v>
      </c>
    </row>
    <row r="4425" spans="1:4" x14ac:dyDescent="0.25">
      <c r="A4425" t="str">
        <f>T("   NL")</f>
        <v xml:space="preserve">   NL</v>
      </c>
      <c r="B4425" t="str">
        <f>T("   Pays-bas")</f>
        <v xml:space="preserve">   Pays-bas</v>
      </c>
      <c r="C4425">
        <v>153232</v>
      </c>
      <c r="D4425">
        <v>39</v>
      </c>
    </row>
    <row r="4426" spans="1:4" x14ac:dyDescent="0.25">
      <c r="A4426" t="str">
        <f>T("391739")</f>
        <v>391739</v>
      </c>
      <c r="B4426" t="str">
        <f>T("TUBES ET TUYAUX SOUPLES, EN MATIÈRES PLASTIQUES, RENFORCÉS D'AUTRES MATIÈRES OU ASSOCIÉS À D'AUTRES MATIÈRES (À L'EXCL. DES PRODUITS POUVANT SUPPORTER UNE PRESSION &gt;= 27,6 MPA)")</f>
        <v>TUBES ET TUYAUX SOUPLES, EN MATIÈRES PLASTIQUES, RENFORCÉS D'AUTRES MATIÈRES OU ASSOCIÉS À D'AUTRES MATIÈRES (À L'EXCL. DES PRODUITS POUVANT SUPPORTER UNE PRESSION &gt;= 27,6 MPA)</v>
      </c>
    </row>
    <row r="4427" spans="1:4" x14ac:dyDescent="0.25">
      <c r="A4427" t="str">
        <f>T("   ZZZ_Monde")</f>
        <v xml:space="preserve">   ZZZ_Monde</v>
      </c>
      <c r="B4427" t="str">
        <f>T("   ZZZ_Monde")</f>
        <v xml:space="preserve">   ZZZ_Monde</v>
      </c>
      <c r="C4427">
        <v>66825068</v>
      </c>
      <c r="D4427">
        <v>91789</v>
      </c>
    </row>
    <row r="4428" spans="1:4" x14ac:dyDescent="0.25">
      <c r="A4428" t="str">
        <f>T("   BE")</f>
        <v xml:space="preserve">   BE</v>
      </c>
      <c r="B4428" t="str">
        <f>T("   Belgique")</f>
        <v xml:space="preserve">   Belgique</v>
      </c>
      <c r="C4428">
        <v>358810</v>
      </c>
      <c r="D4428">
        <v>24</v>
      </c>
    </row>
    <row r="4429" spans="1:4" x14ac:dyDescent="0.25">
      <c r="A4429" t="str">
        <f>T("   CA")</f>
        <v xml:space="preserve">   CA</v>
      </c>
      <c r="B4429" t="str">
        <f>T("   Canada")</f>
        <v xml:space="preserve">   Canada</v>
      </c>
      <c r="C4429">
        <v>716158</v>
      </c>
      <c r="D4429">
        <v>450</v>
      </c>
    </row>
    <row r="4430" spans="1:4" x14ac:dyDescent="0.25">
      <c r="A4430" t="str">
        <f>T("   CN")</f>
        <v xml:space="preserve">   CN</v>
      </c>
      <c r="B4430" t="str">
        <f>T("   Chine")</f>
        <v xml:space="preserve">   Chine</v>
      </c>
      <c r="C4430">
        <v>20605511</v>
      </c>
      <c r="D4430">
        <v>32887</v>
      </c>
    </row>
    <row r="4431" spans="1:4" x14ac:dyDescent="0.25">
      <c r="A4431" t="str">
        <f>T("   DE")</f>
        <v xml:space="preserve">   DE</v>
      </c>
      <c r="B4431" t="str">
        <f>T("   Allemagne")</f>
        <v xml:space="preserve">   Allemagne</v>
      </c>
      <c r="C4431">
        <v>1437137</v>
      </c>
      <c r="D4431">
        <v>105</v>
      </c>
    </row>
    <row r="4432" spans="1:4" x14ac:dyDescent="0.25">
      <c r="A4432" t="str">
        <f>T("   ES")</f>
        <v xml:space="preserve">   ES</v>
      </c>
      <c r="B4432" t="str">
        <f>T("   Espagne")</f>
        <v xml:space="preserve">   Espagne</v>
      </c>
      <c r="C4432">
        <v>42145</v>
      </c>
      <c r="D4432">
        <v>254</v>
      </c>
    </row>
    <row r="4433" spans="1:4" x14ac:dyDescent="0.25">
      <c r="A4433" t="str">
        <f>T("   FR")</f>
        <v xml:space="preserve">   FR</v>
      </c>
      <c r="B4433" t="str">
        <f>T("   France")</f>
        <v xml:space="preserve">   France</v>
      </c>
      <c r="C4433">
        <v>39495505</v>
      </c>
      <c r="D4433">
        <v>32215</v>
      </c>
    </row>
    <row r="4434" spans="1:4" x14ac:dyDescent="0.25">
      <c r="A4434" t="str">
        <f>T("   LB")</f>
        <v xml:space="preserve">   LB</v>
      </c>
      <c r="B4434" t="str">
        <f>T("   Liban")</f>
        <v xml:space="preserve">   Liban</v>
      </c>
      <c r="C4434">
        <v>231526</v>
      </c>
      <c r="D4434">
        <v>291</v>
      </c>
    </row>
    <row r="4435" spans="1:4" x14ac:dyDescent="0.25">
      <c r="A4435" t="str">
        <f>T("   NG")</f>
        <v xml:space="preserve">   NG</v>
      </c>
      <c r="B4435" t="str">
        <f>T("   Nigéria")</f>
        <v xml:space="preserve">   Nigéria</v>
      </c>
      <c r="C4435">
        <v>621300</v>
      </c>
      <c r="D4435">
        <v>1308</v>
      </c>
    </row>
    <row r="4436" spans="1:4" x14ac:dyDescent="0.25">
      <c r="A4436" t="str">
        <f>T("   TG")</f>
        <v xml:space="preserve">   TG</v>
      </c>
      <c r="B4436" t="str">
        <f>T("   Togo")</f>
        <v xml:space="preserve">   Togo</v>
      </c>
      <c r="C4436">
        <v>3316976</v>
      </c>
      <c r="D4436">
        <v>24255</v>
      </c>
    </row>
    <row r="4437" spans="1:4" x14ac:dyDescent="0.25">
      <c r="A4437" t="str">
        <f>T("391740")</f>
        <v>391740</v>
      </c>
      <c r="B4437" t="str">
        <f>T("Accessoires pour tubes ou tuyaux [joints, coudes, raccords, par exemple], en matières plastiques")</f>
        <v>Accessoires pour tubes ou tuyaux [joints, coudes, raccords, par exemple], en matières plastiques</v>
      </c>
    </row>
    <row r="4438" spans="1:4" x14ac:dyDescent="0.25">
      <c r="A4438" t="str">
        <f>T("   ZZZ_Monde")</f>
        <v xml:space="preserve">   ZZZ_Monde</v>
      </c>
      <c r="B4438" t="str">
        <f>T("   ZZZ_Monde")</f>
        <v xml:space="preserve">   ZZZ_Monde</v>
      </c>
      <c r="C4438">
        <v>139397105</v>
      </c>
      <c r="D4438">
        <v>223560</v>
      </c>
    </row>
    <row r="4439" spans="1:4" x14ac:dyDescent="0.25">
      <c r="A4439" t="str">
        <f>T("   AE")</f>
        <v xml:space="preserve">   AE</v>
      </c>
      <c r="B4439" t="str">
        <f>T("   Emirats Arabes Unis")</f>
        <v xml:space="preserve">   Emirats Arabes Unis</v>
      </c>
      <c r="C4439">
        <v>1051100</v>
      </c>
      <c r="D4439">
        <v>2400</v>
      </c>
    </row>
    <row r="4440" spans="1:4" x14ac:dyDescent="0.25">
      <c r="A4440" t="str">
        <f>T("   BE")</f>
        <v xml:space="preserve">   BE</v>
      </c>
      <c r="B4440" t="str">
        <f>T("   Belgique")</f>
        <v xml:space="preserve">   Belgique</v>
      </c>
      <c r="C4440">
        <v>65596</v>
      </c>
      <c r="D4440">
        <v>500</v>
      </c>
    </row>
    <row r="4441" spans="1:4" x14ac:dyDescent="0.25">
      <c r="A4441" t="str">
        <f>T("   CI")</f>
        <v xml:space="preserve">   CI</v>
      </c>
      <c r="B4441" t="str">
        <f>T("   Côte d'Ivoire")</f>
        <v xml:space="preserve">   Côte d'Ivoire</v>
      </c>
      <c r="C4441">
        <v>22954287</v>
      </c>
      <c r="D4441">
        <v>18575</v>
      </c>
    </row>
    <row r="4442" spans="1:4" x14ac:dyDescent="0.25">
      <c r="A4442" t="str">
        <f>T("   CN")</f>
        <v xml:space="preserve">   CN</v>
      </c>
      <c r="B4442" t="str">
        <f>T("   Chine")</f>
        <v xml:space="preserve">   Chine</v>
      </c>
      <c r="C4442">
        <v>52695510</v>
      </c>
      <c r="D4442">
        <v>100667</v>
      </c>
    </row>
    <row r="4443" spans="1:4" x14ac:dyDescent="0.25">
      <c r="A4443" t="str">
        <f>T("   DE")</f>
        <v xml:space="preserve">   DE</v>
      </c>
      <c r="B4443" t="str">
        <f>T("   Allemagne")</f>
        <v xml:space="preserve">   Allemagne</v>
      </c>
      <c r="C4443">
        <v>604270</v>
      </c>
      <c r="D4443">
        <v>13</v>
      </c>
    </row>
    <row r="4444" spans="1:4" x14ac:dyDescent="0.25">
      <c r="A4444" t="str">
        <f>T("   ES")</f>
        <v xml:space="preserve">   ES</v>
      </c>
      <c r="B4444" t="str">
        <f>T("   Espagne")</f>
        <v xml:space="preserve">   Espagne</v>
      </c>
      <c r="C4444">
        <v>740257</v>
      </c>
      <c r="D4444">
        <v>295</v>
      </c>
    </row>
    <row r="4445" spans="1:4" x14ac:dyDescent="0.25">
      <c r="A4445" t="str">
        <f>T("   FR")</f>
        <v xml:space="preserve">   FR</v>
      </c>
      <c r="B4445" t="str">
        <f>T("   France")</f>
        <v xml:space="preserve">   France</v>
      </c>
      <c r="C4445">
        <v>12918751</v>
      </c>
      <c r="D4445">
        <v>10753</v>
      </c>
    </row>
    <row r="4446" spans="1:4" x14ac:dyDescent="0.25">
      <c r="A4446" t="str">
        <f>T("   GH")</f>
        <v xml:space="preserve">   GH</v>
      </c>
      <c r="B4446" t="str">
        <f>T("   Ghana")</f>
        <v xml:space="preserve">   Ghana</v>
      </c>
      <c r="C4446">
        <v>2531502</v>
      </c>
      <c r="D4446">
        <v>1955</v>
      </c>
    </row>
    <row r="4447" spans="1:4" x14ac:dyDescent="0.25">
      <c r="A4447" t="str">
        <f>T("   IN")</f>
        <v xml:space="preserve">   IN</v>
      </c>
      <c r="B4447" t="str">
        <f>T("   Inde")</f>
        <v xml:space="preserve">   Inde</v>
      </c>
      <c r="C4447">
        <v>3250000</v>
      </c>
      <c r="D4447">
        <v>11752</v>
      </c>
    </row>
    <row r="4448" spans="1:4" x14ac:dyDescent="0.25">
      <c r="A4448" t="str">
        <f>T("   MA")</f>
        <v xml:space="preserve">   MA</v>
      </c>
      <c r="B4448" t="str">
        <f>T("   Maroc")</f>
        <v xml:space="preserve">   Maroc</v>
      </c>
      <c r="C4448">
        <v>4257836</v>
      </c>
      <c r="D4448">
        <v>1600</v>
      </c>
    </row>
    <row r="4449" spans="1:4" x14ac:dyDescent="0.25">
      <c r="A4449" t="str">
        <f>T("   SG")</f>
        <v xml:space="preserve">   SG</v>
      </c>
      <c r="B4449" t="str">
        <f>T("   Singapour")</f>
        <v xml:space="preserve">   Singapour</v>
      </c>
      <c r="C4449">
        <v>106483</v>
      </c>
      <c r="D4449">
        <v>1202</v>
      </c>
    </row>
    <row r="4450" spans="1:4" x14ac:dyDescent="0.25">
      <c r="A4450" t="str">
        <f>T("   SN")</f>
        <v xml:space="preserve">   SN</v>
      </c>
      <c r="B4450" t="str">
        <f>T("   Sénégal")</f>
        <v xml:space="preserve">   Sénégal</v>
      </c>
      <c r="C4450">
        <v>5878675</v>
      </c>
      <c r="D4450">
        <v>9033</v>
      </c>
    </row>
    <row r="4451" spans="1:4" x14ac:dyDescent="0.25">
      <c r="A4451" t="str">
        <f>T("   TG")</f>
        <v xml:space="preserve">   TG</v>
      </c>
      <c r="B4451" t="str">
        <f>T("   Togo")</f>
        <v xml:space="preserve">   Togo</v>
      </c>
      <c r="C4451">
        <v>32342838</v>
      </c>
      <c r="D4451">
        <v>64815</v>
      </c>
    </row>
    <row r="4452" spans="1:4" x14ac:dyDescent="0.25">
      <c r="A4452" t="str">
        <f>T("391810")</f>
        <v>391810</v>
      </c>
      <c r="B4452" t="str">
        <f>T("Revêtements de sols, même auto-adhésifs, en rouleaux ou sous formes de carreaux ou de dalles, en polymères du chlorure de vinyle; revêtements de murs ou de plafonds en rouleaux d'une largeur &gt;= 45 cm, constitués d'une couche de matière plastique fixée en")</f>
        <v>Revêtements de sols, même auto-adhésifs, en rouleaux ou sous formes de carreaux ou de dalles, en polymères du chlorure de vinyle; revêtements de murs ou de plafonds en rouleaux d'une largeur &gt;= 45 cm, constitués d'une couche de matière plastique fixée en</v>
      </c>
    </row>
    <row r="4453" spans="1:4" x14ac:dyDescent="0.25">
      <c r="A4453" t="str">
        <f>T("   ZZZ_Monde")</f>
        <v xml:space="preserve">   ZZZ_Monde</v>
      </c>
      <c r="B4453" t="str">
        <f>T("   ZZZ_Monde")</f>
        <v xml:space="preserve">   ZZZ_Monde</v>
      </c>
      <c r="C4453">
        <v>21324934</v>
      </c>
      <c r="D4453">
        <v>59984</v>
      </c>
    </row>
    <row r="4454" spans="1:4" x14ac:dyDescent="0.25">
      <c r="A4454" t="str">
        <f>T("   FR")</f>
        <v xml:space="preserve">   FR</v>
      </c>
      <c r="B4454" t="str">
        <f>T("   France")</f>
        <v xml:space="preserve">   France</v>
      </c>
      <c r="C4454">
        <v>3510370</v>
      </c>
      <c r="D4454">
        <v>5000</v>
      </c>
    </row>
    <row r="4455" spans="1:4" x14ac:dyDescent="0.25">
      <c r="A4455" t="str">
        <f>T("   TH")</f>
        <v xml:space="preserve">   TH</v>
      </c>
      <c r="B4455" t="str">
        <f>T("   Thaïlande")</f>
        <v xml:space="preserve">   Thaïlande</v>
      </c>
      <c r="C4455">
        <v>17814564</v>
      </c>
      <c r="D4455">
        <v>54984</v>
      </c>
    </row>
    <row r="4456" spans="1:4" x14ac:dyDescent="0.25">
      <c r="A4456" t="str">
        <f>T("391890")</f>
        <v>391890</v>
      </c>
      <c r="B4456" t="str">
        <f>T("Revêtements de sols, même auto-adhésifs, en rouleaux ou sous formes de carreaux ou de dalles, et revêtements de murs ou de plafonds en rouleaux d'une largeur &gt;= 45 cm constitués d'une couche de matière plastique fixée en manière permanente sur un support")</f>
        <v>Revêtements de sols, même auto-adhésifs, en rouleaux ou sous formes de carreaux ou de dalles, et revêtements de murs ou de plafonds en rouleaux d'une largeur &gt;= 45 cm constitués d'une couche de matière plastique fixée en manière permanente sur un support</v>
      </c>
    </row>
    <row r="4457" spans="1:4" x14ac:dyDescent="0.25">
      <c r="A4457" t="str">
        <f>T("   ZZZ_Monde")</f>
        <v xml:space="preserve">   ZZZ_Monde</v>
      </c>
      <c r="B4457" t="str">
        <f>T("   ZZZ_Monde")</f>
        <v xml:space="preserve">   ZZZ_Monde</v>
      </c>
      <c r="C4457">
        <v>72977177</v>
      </c>
      <c r="D4457">
        <v>340405</v>
      </c>
    </row>
    <row r="4458" spans="1:4" x14ac:dyDescent="0.25">
      <c r="A4458" t="str">
        <f>T("   AE")</f>
        <v xml:space="preserve">   AE</v>
      </c>
      <c r="B4458" t="str">
        <f>T("   Emirats Arabes Unis")</f>
        <v xml:space="preserve">   Emirats Arabes Unis</v>
      </c>
      <c r="C4458">
        <v>500352</v>
      </c>
      <c r="D4458">
        <v>5572</v>
      </c>
    </row>
    <row r="4459" spans="1:4" x14ac:dyDescent="0.25">
      <c r="A4459" t="str">
        <f>T("   BE")</f>
        <v xml:space="preserve">   BE</v>
      </c>
      <c r="B4459" t="str">
        <f>T("   Belgique")</f>
        <v xml:space="preserve">   Belgique</v>
      </c>
      <c r="C4459">
        <v>12749504</v>
      </c>
      <c r="D4459">
        <v>18914</v>
      </c>
    </row>
    <row r="4460" spans="1:4" x14ac:dyDescent="0.25">
      <c r="A4460" t="str">
        <f>T("   CN")</f>
        <v xml:space="preserve">   CN</v>
      </c>
      <c r="B4460" t="str">
        <f>T("   Chine")</f>
        <v xml:space="preserve">   Chine</v>
      </c>
      <c r="C4460">
        <v>18629341</v>
      </c>
      <c r="D4460">
        <v>160167</v>
      </c>
    </row>
    <row r="4461" spans="1:4" x14ac:dyDescent="0.25">
      <c r="A4461" t="str">
        <f>T("   DE")</f>
        <v xml:space="preserve">   DE</v>
      </c>
      <c r="B4461" t="str">
        <f>T("   Allemagne")</f>
        <v xml:space="preserve">   Allemagne</v>
      </c>
      <c r="C4461">
        <v>1318480</v>
      </c>
      <c r="D4461">
        <v>9020</v>
      </c>
    </row>
    <row r="4462" spans="1:4" x14ac:dyDescent="0.25">
      <c r="A4462" t="str">
        <f>T("   FR")</f>
        <v xml:space="preserve">   FR</v>
      </c>
      <c r="B4462" t="str">
        <f>T("   France")</f>
        <v xml:space="preserve">   France</v>
      </c>
      <c r="C4462">
        <v>429156</v>
      </c>
      <c r="D4462">
        <v>7035</v>
      </c>
    </row>
    <row r="4463" spans="1:4" x14ac:dyDescent="0.25">
      <c r="A4463" t="str">
        <f>T("   GH")</f>
        <v xml:space="preserve">   GH</v>
      </c>
      <c r="B4463" t="str">
        <f>T("   Ghana")</f>
        <v xml:space="preserve">   Ghana</v>
      </c>
      <c r="C4463">
        <v>5751080</v>
      </c>
      <c r="D4463">
        <v>10886</v>
      </c>
    </row>
    <row r="4464" spans="1:4" x14ac:dyDescent="0.25">
      <c r="A4464" t="str">
        <f>T("   IN")</f>
        <v xml:space="preserve">   IN</v>
      </c>
      <c r="B4464" t="str">
        <f>T("   Inde")</f>
        <v xml:space="preserve">   Inde</v>
      </c>
      <c r="C4464">
        <v>1754162</v>
      </c>
      <c r="D4464">
        <v>1800</v>
      </c>
    </row>
    <row r="4465" spans="1:4" x14ac:dyDescent="0.25">
      <c r="A4465" t="str">
        <f>T("   PT")</f>
        <v xml:space="preserve">   PT</v>
      </c>
      <c r="B4465" t="str">
        <f>T("   Portugal")</f>
        <v xml:space="preserve">   Portugal</v>
      </c>
      <c r="C4465">
        <v>3495782</v>
      </c>
      <c r="D4465">
        <v>11637</v>
      </c>
    </row>
    <row r="4466" spans="1:4" x14ac:dyDescent="0.25">
      <c r="A4466" t="str">
        <f>T("   SG")</f>
        <v xml:space="preserve">   SG</v>
      </c>
      <c r="B4466" t="str">
        <f>T("   Singapour")</f>
        <v xml:space="preserve">   Singapour</v>
      </c>
      <c r="C4466">
        <v>6920000</v>
      </c>
      <c r="D4466">
        <v>23220</v>
      </c>
    </row>
    <row r="4467" spans="1:4" x14ac:dyDescent="0.25">
      <c r="A4467" t="str">
        <f>T("   SN")</f>
        <v xml:space="preserve">   SN</v>
      </c>
      <c r="B4467" t="str">
        <f>T("   Sénégal")</f>
        <v xml:space="preserve">   Sénégal</v>
      </c>
      <c r="C4467">
        <v>41328</v>
      </c>
      <c r="D4467">
        <v>250</v>
      </c>
    </row>
    <row r="4468" spans="1:4" x14ac:dyDescent="0.25">
      <c r="A4468" t="str">
        <f>T("   SY")</f>
        <v xml:space="preserve">   SY</v>
      </c>
      <c r="B4468" t="str">
        <f>T("   Syrienne, République arabe")</f>
        <v xml:space="preserve">   Syrienne, République arabe</v>
      </c>
      <c r="C4468">
        <v>3149330</v>
      </c>
      <c r="D4468">
        <v>7500</v>
      </c>
    </row>
    <row r="4469" spans="1:4" x14ac:dyDescent="0.25">
      <c r="A4469" t="str">
        <f>T("   TG")</f>
        <v xml:space="preserve">   TG</v>
      </c>
      <c r="B4469" t="str">
        <f>T("   Togo")</f>
        <v xml:space="preserve">   Togo</v>
      </c>
      <c r="C4469">
        <v>2260000</v>
      </c>
      <c r="D4469">
        <v>14417</v>
      </c>
    </row>
    <row r="4470" spans="1:4" x14ac:dyDescent="0.25">
      <c r="A4470" t="str">
        <f>T("   TH")</f>
        <v xml:space="preserve">   TH</v>
      </c>
      <c r="B4470" t="str">
        <f>T("   Thaïlande")</f>
        <v xml:space="preserve">   Thaïlande</v>
      </c>
      <c r="C4470">
        <v>9930000</v>
      </c>
      <c r="D4470">
        <v>56744</v>
      </c>
    </row>
    <row r="4471" spans="1:4" x14ac:dyDescent="0.25">
      <c r="A4471" t="str">
        <f>T("   TR")</f>
        <v xml:space="preserve">   TR</v>
      </c>
      <c r="B4471" t="str">
        <f>T("   Turquie")</f>
        <v xml:space="preserve">   Turquie</v>
      </c>
      <c r="C4471">
        <v>6048662</v>
      </c>
      <c r="D4471">
        <v>13243</v>
      </c>
    </row>
    <row r="4472" spans="1:4" x14ac:dyDescent="0.25">
      <c r="A4472" t="str">
        <f>T("391910")</f>
        <v>391910</v>
      </c>
      <c r="B4472" t="str">
        <f>T("Feuilles, bandes, rubans, pellicules et autres formes plates, auto-adhésifs, en matières plastiques, en rouleaux d'une largeur &lt;= 20 cm")</f>
        <v>Feuilles, bandes, rubans, pellicules et autres formes plates, auto-adhésifs, en matières plastiques, en rouleaux d'une largeur &lt;= 20 cm</v>
      </c>
    </row>
    <row r="4473" spans="1:4" x14ac:dyDescent="0.25">
      <c r="A4473" t="str">
        <f>T("   ZZZ_Monde")</f>
        <v xml:space="preserve">   ZZZ_Monde</v>
      </c>
      <c r="B4473" t="str">
        <f>T("   ZZZ_Monde")</f>
        <v xml:space="preserve">   ZZZ_Monde</v>
      </c>
      <c r="C4473">
        <v>37082545</v>
      </c>
      <c r="D4473">
        <v>53408.15</v>
      </c>
    </row>
    <row r="4474" spans="1:4" x14ac:dyDescent="0.25">
      <c r="A4474" t="str">
        <f>T("   CN")</f>
        <v xml:space="preserve">   CN</v>
      </c>
      <c r="B4474" t="str">
        <f>T("   Chine")</f>
        <v xml:space="preserve">   Chine</v>
      </c>
      <c r="C4474">
        <v>9588846</v>
      </c>
      <c r="D4474">
        <v>28319.15</v>
      </c>
    </row>
    <row r="4475" spans="1:4" x14ac:dyDescent="0.25">
      <c r="A4475" t="str">
        <f>T("   FR")</f>
        <v xml:space="preserve">   FR</v>
      </c>
      <c r="B4475" t="str">
        <f>T("   France")</f>
        <v xml:space="preserve">   France</v>
      </c>
      <c r="C4475">
        <v>8362988</v>
      </c>
      <c r="D4475">
        <v>2618</v>
      </c>
    </row>
    <row r="4476" spans="1:4" x14ac:dyDescent="0.25">
      <c r="A4476" t="str">
        <f>T("   LB")</f>
        <v xml:space="preserve">   LB</v>
      </c>
      <c r="B4476" t="str">
        <f>T("   Liban")</f>
        <v xml:space="preserve">   Liban</v>
      </c>
      <c r="C4476">
        <v>610699</v>
      </c>
      <c r="D4476">
        <v>312</v>
      </c>
    </row>
    <row r="4477" spans="1:4" x14ac:dyDescent="0.25">
      <c r="A4477" t="str">
        <f>T("   SG")</f>
        <v xml:space="preserve">   SG</v>
      </c>
      <c r="B4477" t="str">
        <f>T("   Singapour")</f>
        <v xml:space="preserve">   Singapour</v>
      </c>
      <c r="C4477">
        <v>18520012</v>
      </c>
      <c r="D4477">
        <v>22159</v>
      </c>
    </row>
    <row r="4478" spans="1:4" x14ac:dyDescent="0.25">
      <c r="A4478" t="str">
        <f>T("391990")</f>
        <v>391990</v>
      </c>
      <c r="B4478" t="str">
        <f>T("Plaques, feuilles, bandes, rubans, pellicules et autres formes plates, auto-adhésifs, en matières plastiques, même en rouleaux (à l'excl. des produits en rouleaux d'une largeur &lt;= 20 cm ainsi que des revêtements de sols, de murs ou de plafonds du n° 3918)")</f>
        <v>Plaques, feuilles, bandes, rubans, pellicules et autres formes plates, auto-adhésifs, en matières plastiques, même en rouleaux (à l'excl. des produits en rouleaux d'une largeur &lt;= 20 cm ainsi que des revêtements de sols, de murs ou de plafonds du n° 3918)</v>
      </c>
    </row>
    <row r="4479" spans="1:4" x14ac:dyDescent="0.25">
      <c r="A4479" t="str">
        <f>T("   ZZZ_Monde")</f>
        <v xml:space="preserve">   ZZZ_Monde</v>
      </c>
      <c r="B4479" t="str">
        <f>T("   ZZZ_Monde")</f>
        <v xml:space="preserve">   ZZZ_Monde</v>
      </c>
      <c r="C4479">
        <v>151381305</v>
      </c>
      <c r="D4479">
        <v>121422</v>
      </c>
    </row>
    <row r="4480" spans="1:4" x14ac:dyDescent="0.25">
      <c r="A4480" t="str">
        <f>T("   AE")</f>
        <v xml:space="preserve">   AE</v>
      </c>
      <c r="B4480" t="str">
        <f>T("   Emirats Arabes Unis")</f>
        <v xml:space="preserve">   Emirats Arabes Unis</v>
      </c>
      <c r="C4480">
        <v>4591809</v>
      </c>
      <c r="D4480">
        <v>8850</v>
      </c>
    </row>
    <row r="4481" spans="1:4" x14ac:dyDescent="0.25">
      <c r="A4481" t="str">
        <f>T("   CN")</f>
        <v xml:space="preserve">   CN</v>
      </c>
      <c r="B4481" t="str">
        <f>T("   Chine")</f>
        <v xml:space="preserve">   Chine</v>
      </c>
      <c r="C4481">
        <v>21408129</v>
      </c>
      <c r="D4481">
        <v>66490</v>
      </c>
    </row>
    <row r="4482" spans="1:4" x14ac:dyDescent="0.25">
      <c r="A4482" t="str">
        <f>T("   CY")</f>
        <v xml:space="preserve">   CY</v>
      </c>
      <c r="B4482" t="str">
        <f>T("   Chypre")</f>
        <v xml:space="preserve">   Chypre</v>
      </c>
      <c r="C4482">
        <v>1044024</v>
      </c>
      <c r="D4482">
        <v>1806</v>
      </c>
    </row>
    <row r="4483" spans="1:4" x14ac:dyDescent="0.25">
      <c r="A4483" t="str">
        <f>T("   ES")</f>
        <v xml:space="preserve">   ES</v>
      </c>
      <c r="B4483" t="str">
        <f>T("   Espagne")</f>
        <v xml:space="preserve">   Espagne</v>
      </c>
      <c r="C4483">
        <v>931466</v>
      </c>
      <c r="D4483">
        <v>357</v>
      </c>
    </row>
    <row r="4484" spans="1:4" x14ac:dyDescent="0.25">
      <c r="A4484" t="str">
        <f>T("   FR")</f>
        <v xml:space="preserve">   FR</v>
      </c>
      <c r="B4484" t="str">
        <f>T("   France")</f>
        <v xml:space="preserve">   France</v>
      </c>
      <c r="C4484">
        <v>85273742</v>
      </c>
      <c r="D4484">
        <v>9078</v>
      </c>
    </row>
    <row r="4485" spans="1:4" x14ac:dyDescent="0.25">
      <c r="A4485" t="str">
        <f>T("   GB")</f>
        <v xml:space="preserve">   GB</v>
      </c>
      <c r="B4485" t="str">
        <f>T("   Royaume-Uni")</f>
        <v xml:space="preserve">   Royaume-Uni</v>
      </c>
      <c r="C4485">
        <v>11164439</v>
      </c>
      <c r="D4485">
        <v>1040</v>
      </c>
    </row>
    <row r="4486" spans="1:4" x14ac:dyDescent="0.25">
      <c r="A4486" t="str">
        <f>T("   GH")</f>
        <v xml:space="preserve">   GH</v>
      </c>
      <c r="B4486" t="str">
        <f>T("   Ghana")</f>
        <v xml:space="preserve">   Ghana</v>
      </c>
      <c r="C4486">
        <v>1180000</v>
      </c>
      <c r="D4486">
        <v>9817</v>
      </c>
    </row>
    <row r="4487" spans="1:4" x14ac:dyDescent="0.25">
      <c r="A4487" t="str">
        <f>T("   IT")</f>
        <v xml:space="preserve">   IT</v>
      </c>
      <c r="B4487" t="str">
        <f>T("   Italie")</f>
        <v xml:space="preserve">   Italie</v>
      </c>
      <c r="C4487">
        <v>1470006</v>
      </c>
      <c r="D4487">
        <v>400</v>
      </c>
    </row>
    <row r="4488" spans="1:4" x14ac:dyDescent="0.25">
      <c r="A4488" t="str">
        <f>T("   LB")</f>
        <v xml:space="preserve">   LB</v>
      </c>
      <c r="B4488" t="str">
        <f>T("   Liban")</f>
        <v xml:space="preserve">   Liban</v>
      </c>
      <c r="C4488">
        <v>480564</v>
      </c>
      <c r="D4488">
        <v>11376</v>
      </c>
    </row>
    <row r="4489" spans="1:4" x14ac:dyDescent="0.25">
      <c r="A4489" t="str">
        <f>T("   NO")</f>
        <v xml:space="preserve">   NO</v>
      </c>
      <c r="B4489" t="str">
        <f>T("   Norvège")</f>
        <v xml:space="preserve">   Norvège</v>
      </c>
      <c r="C4489">
        <v>4106132</v>
      </c>
      <c r="D4489">
        <v>680</v>
      </c>
    </row>
    <row r="4490" spans="1:4" x14ac:dyDescent="0.25">
      <c r="A4490" t="str">
        <f>T("   TW")</f>
        <v xml:space="preserve">   TW</v>
      </c>
      <c r="B4490" t="str">
        <f>T("   Taïwan, Province de Chine")</f>
        <v xml:space="preserve">   Taïwan, Province de Chine</v>
      </c>
      <c r="C4490">
        <v>19694260</v>
      </c>
      <c r="D4490">
        <v>11438</v>
      </c>
    </row>
    <row r="4491" spans="1:4" x14ac:dyDescent="0.25">
      <c r="A4491" t="str">
        <f>T("   US")</f>
        <v xml:space="preserve">   US</v>
      </c>
      <c r="B4491" t="str">
        <f>T("   Etats-Unis")</f>
        <v xml:space="preserve">   Etats-Unis</v>
      </c>
      <c r="C4491">
        <v>36734</v>
      </c>
      <c r="D4491">
        <v>90</v>
      </c>
    </row>
    <row r="4492" spans="1:4" x14ac:dyDescent="0.25">
      <c r="A4492" t="str">
        <f>T("392010")</f>
        <v>392010</v>
      </c>
      <c r="B4492" t="str">
        <f>T("PLAQUES, FEUILLES, PELLICULES, BANDES ET LAMES, EN POLYMÈRES DE L'ÉTHYLÈNE NON-ALVÉOLAIRES, NON-RENFORCÉES NI STRATIFIÉES, NI MUNIES D'UN SUPPORT, NI PAREILLEMENT ASSOCIÉES À D'AUTRES MATIÈRES, NON-TRAVAILLÉES OU SIMPL. OUVRÉES EN SURFACE OU SIMPL. DÉCOUP")</f>
        <v>PLAQUES, FEUILLES, PELLICULES, BANDES ET LAMES, EN POLYMÈRES DE L'ÉTHYLÈNE NON-ALVÉOLAIRES, NON-RENFORCÉES NI STRATIFIÉES, NI MUNIES D'UN SUPPORT, NI PAREILLEMENT ASSOCIÉES À D'AUTRES MATIÈRES, NON-TRAVAILLÉES OU SIMPL. OUVRÉES EN SURFACE OU SIMPL. DÉCOUP</v>
      </c>
    </row>
    <row r="4493" spans="1:4" x14ac:dyDescent="0.25">
      <c r="A4493" t="str">
        <f>T("   ZZZ_Monde")</f>
        <v xml:space="preserve">   ZZZ_Monde</v>
      </c>
      <c r="B4493" t="str">
        <f>T("   ZZZ_Monde")</f>
        <v xml:space="preserve">   ZZZ_Monde</v>
      </c>
      <c r="C4493">
        <v>245720205</v>
      </c>
      <c r="D4493">
        <v>114110</v>
      </c>
    </row>
    <row r="4494" spans="1:4" x14ac:dyDescent="0.25">
      <c r="A4494" t="str">
        <f>T("   BE")</f>
        <v xml:space="preserve">   BE</v>
      </c>
      <c r="B4494" t="str">
        <f>T("   Belgique")</f>
        <v xml:space="preserve">   Belgique</v>
      </c>
      <c r="C4494">
        <v>1061343</v>
      </c>
      <c r="D4494">
        <v>406</v>
      </c>
    </row>
    <row r="4495" spans="1:4" x14ac:dyDescent="0.25">
      <c r="A4495" t="str">
        <f>T("   CI")</f>
        <v xml:space="preserve">   CI</v>
      </c>
      <c r="B4495" t="str">
        <f>T("   Côte d'Ivoire")</f>
        <v xml:space="preserve">   Côte d'Ivoire</v>
      </c>
      <c r="C4495">
        <v>68581650</v>
      </c>
      <c r="D4495">
        <v>38282</v>
      </c>
    </row>
    <row r="4496" spans="1:4" x14ac:dyDescent="0.25">
      <c r="A4496" t="str">
        <f>T("   DE")</f>
        <v xml:space="preserve">   DE</v>
      </c>
      <c r="B4496" t="str">
        <f>T("   Allemagne")</f>
        <v xml:space="preserve">   Allemagne</v>
      </c>
      <c r="C4496">
        <v>15358484</v>
      </c>
      <c r="D4496">
        <v>9927</v>
      </c>
    </row>
    <row r="4497" spans="1:4" x14ac:dyDescent="0.25">
      <c r="A4497" t="str">
        <f>T("   ES")</f>
        <v xml:space="preserve">   ES</v>
      </c>
      <c r="B4497" t="str">
        <f>T("   Espagne")</f>
        <v xml:space="preserve">   Espagne</v>
      </c>
      <c r="C4497">
        <v>19693231</v>
      </c>
      <c r="D4497">
        <v>13017</v>
      </c>
    </row>
    <row r="4498" spans="1:4" x14ac:dyDescent="0.25">
      <c r="A4498" t="str">
        <f>T("   FR")</f>
        <v xml:space="preserve">   FR</v>
      </c>
      <c r="B4498" t="str">
        <f>T("   France")</f>
        <v xml:space="preserve">   France</v>
      </c>
      <c r="C4498">
        <v>130351730</v>
      </c>
      <c r="D4498">
        <v>45576</v>
      </c>
    </row>
    <row r="4499" spans="1:4" x14ac:dyDescent="0.25">
      <c r="A4499" t="str">
        <f>T("   IE")</f>
        <v xml:space="preserve">   IE</v>
      </c>
      <c r="B4499" t="str">
        <f>T("   Irlande")</f>
        <v xml:space="preserve">   Irlande</v>
      </c>
      <c r="C4499">
        <v>10555000</v>
      </c>
      <c r="D4499">
        <v>6682</v>
      </c>
    </row>
    <row r="4500" spans="1:4" x14ac:dyDescent="0.25">
      <c r="A4500" t="str">
        <f>T("   NG")</f>
        <v xml:space="preserve">   NG</v>
      </c>
      <c r="B4500" t="str">
        <f>T("   Nigéria")</f>
        <v xml:space="preserve">   Nigéria</v>
      </c>
      <c r="C4500">
        <v>2400</v>
      </c>
      <c r="D4500">
        <v>100</v>
      </c>
    </row>
    <row r="4501" spans="1:4" x14ac:dyDescent="0.25">
      <c r="A4501" t="str">
        <f>T("   TG")</f>
        <v xml:space="preserve">   TG</v>
      </c>
      <c r="B4501" t="str">
        <f>T("   Togo")</f>
        <v xml:space="preserve">   Togo</v>
      </c>
      <c r="C4501">
        <v>116367</v>
      </c>
      <c r="D4501">
        <v>120</v>
      </c>
    </row>
    <row r="4502" spans="1:4" x14ac:dyDescent="0.25">
      <c r="A4502" t="str">
        <f>T("392020")</f>
        <v>392020</v>
      </c>
      <c r="B4502" t="str">
        <f>T("PLAQUES, FEUILLES, PELLICULES, BANDES ET LAMES, EN POLYMÈRES DU PROPYLÈNE NON-ALVÉOLAIRES, NON-RENFORCÉES NI STRATIFIÉES, NI MUNIES D'UN SUPPORT, NI PAREILLEMENT ASSOCIÉES À D'AUTRES MATIÈRES, NON-TRAVAILLÉES OU SIMPL. OUVRÉES EN SURFACE OU SIMPL. DÉCOUPÉ")</f>
        <v>PLAQUES, FEUILLES, PELLICULES, BANDES ET LAMES, EN POLYMÈRES DU PROPYLÈNE NON-ALVÉOLAIRES, NON-RENFORCÉES NI STRATIFIÉES, NI MUNIES D'UN SUPPORT, NI PAREILLEMENT ASSOCIÉES À D'AUTRES MATIÈRES, NON-TRAVAILLÉES OU SIMPL. OUVRÉES EN SURFACE OU SIMPL. DÉCOUPÉ</v>
      </c>
    </row>
    <row r="4503" spans="1:4" x14ac:dyDescent="0.25">
      <c r="A4503" t="str">
        <f>T("   ZZZ_Monde")</f>
        <v xml:space="preserve">   ZZZ_Monde</v>
      </c>
      <c r="B4503" t="str">
        <f>T("   ZZZ_Monde")</f>
        <v xml:space="preserve">   ZZZ_Monde</v>
      </c>
      <c r="C4503">
        <v>379277392</v>
      </c>
      <c r="D4503">
        <v>208405</v>
      </c>
    </row>
    <row r="4504" spans="1:4" x14ac:dyDescent="0.25">
      <c r="A4504" t="str">
        <f>T("   CN")</f>
        <v xml:space="preserve">   CN</v>
      </c>
      <c r="B4504" t="str">
        <f>T("   Chine")</f>
        <v xml:space="preserve">   Chine</v>
      </c>
      <c r="C4504">
        <v>6934756</v>
      </c>
      <c r="D4504">
        <v>5611</v>
      </c>
    </row>
    <row r="4505" spans="1:4" x14ac:dyDescent="0.25">
      <c r="A4505" t="str">
        <f>T("   EG")</f>
        <v xml:space="preserve">   EG</v>
      </c>
      <c r="B4505" t="str">
        <f>T("   Egypte")</f>
        <v xml:space="preserve">   Egypte</v>
      </c>
      <c r="C4505">
        <v>309614426</v>
      </c>
      <c r="D4505">
        <v>173239</v>
      </c>
    </row>
    <row r="4506" spans="1:4" x14ac:dyDescent="0.25">
      <c r="A4506" t="str">
        <f>T("   FR")</f>
        <v xml:space="preserve">   FR</v>
      </c>
      <c r="B4506" t="str">
        <f>T("   France")</f>
        <v xml:space="preserve">   France</v>
      </c>
      <c r="C4506">
        <v>2344435</v>
      </c>
      <c r="D4506">
        <v>842</v>
      </c>
    </row>
    <row r="4507" spans="1:4" x14ac:dyDescent="0.25">
      <c r="A4507" t="str">
        <f>T("   TG")</f>
        <v xml:space="preserve">   TG</v>
      </c>
      <c r="B4507" t="str">
        <f>T("   Togo")</f>
        <v xml:space="preserve">   Togo</v>
      </c>
      <c r="C4507">
        <v>60383775</v>
      </c>
      <c r="D4507">
        <v>28713</v>
      </c>
    </row>
    <row r="4508" spans="1:4" x14ac:dyDescent="0.25">
      <c r="A4508" t="str">
        <f>T("392043")</f>
        <v>392043</v>
      </c>
      <c r="B4508" t="str">
        <f>T("PLAQUES, FEUILLES, PELLICULES, BANDES ET LAMES, EN POLYMÈRES DU CHLORURE DE VINYLE NON-ALVÉOLAIRES, CONTENANT EN POIDS &gt;= 6% DE PLASTIFIANTS, NON-RENFORCÉES NI STRATIFIÉES, NI MUNIES D'UN SUPPORT, NI PAREILLEMENT ASSOCIÉES À D'AUTRES MATIÈRES, NON-TRAVAIL")</f>
        <v>PLAQUES, FEUILLES, PELLICULES, BANDES ET LAMES, EN POLYMÈRES DU CHLORURE DE VINYLE NON-ALVÉOLAIRES, CONTENANT EN POIDS &gt;= 6% DE PLASTIFIANTS, NON-RENFORCÉES NI STRATIFIÉES, NI MUNIES D'UN SUPPORT, NI PAREILLEMENT ASSOCIÉES À D'AUTRES MATIÈRES, NON-TRAVAIL</v>
      </c>
    </row>
    <row r="4509" spans="1:4" x14ac:dyDescent="0.25">
      <c r="A4509" t="str">
        <f>T("   ZZZ_Monde")</f>
        <v xml:space="preserve">   ZZZ_Monde</v>
      </c>
      <c r="B4509" t="str">
        <f>T("   ZZZ_Monde")</f>
        <v xml:space="preserve">   ZZZ_Monde</v>
      </c>
      <c r="C4509">
        <v>1668763</v>
      </c>
      <c r="D4509">
        <v>692</v>
      </c>
    </row>
    <row r="4510" spans="1:4" x14ac:dyDescent="0.25">
      <c r="A4510" t="str">
        <f>T("   BE")</f>
        <v xml:space="preserve">   BE</v>
      </c>
      <c r="B4510" t="str">
        <f>T("   Belgique")</f>
        <v xml:space="preserve">   Belgique</v>
      </c>
      <c r="C4510">
        <v>205971</v>
      </c>
      <c r="D4510">
        <v>100</v>
      </c>
    </row>
    <row r="4511" spans="1:4" x14ac:dyDescent="0.25">
      <c r="A4511" t="str">
        <f>T("   FR")</f>
        <v xml:space="preserve">   FR</v>
      </c>
      <c r="B4511" t="str">
        <f>T("   France")</f>
        <v xml:space="preserve">   France</v>
      </c>
      <c r="C4511">
        <v>1462792</v>
      </c>
      <c r="D4511">
        <v>592</v>
      </c>
    </row>
    <row r="4512" spans="1:4" x14ac:dyDescent="0.25">
      <c r="A4512" t="str">
        <f>T("392049")</f>
        <v>392049</v>
      </c>
      <c r="B4512" t="str">
        <f>T("PLAQUES, FEUILLES, PELLICULES, BANDES ET LAMES, EN POLYMÈRES DU CHLORURE DE VINYLE NON-ALVÉOLAIRES, CONTENANT EN POIDS &lt; 6% DE PLASTIFIANTS, NON-RENFORCÉES NI STRATIFIÉES, NI MUNIES D'UN SUPPORT, NI PAREILLEMENT ASSOCIÉES À D'AUTRES MATIÈRES, NON-TRAVAILL")</f>
        <v>PLAQUES, FEUILLES, PELLICULES, BANDES ET LAMES, EN POLYMÈRES DU CHLORURE DE VINYLE NON-ALVÉOLAIRES, CONTENANT EN POIDS &lt; 6% DE PLASTIFIANTS, NON-RENFORCÉES NI STRATIFIÉES, NI MUNIES D'UN SUPPORT, NI PAREILLEMENT ASSOCIÉES À D'AUTRES MATIÈRES, NON-TRAVAILL</v>
      </c>
    </row>
    <row r="4513" spans="1:4" x14ac:dyDescent="0.25">
      <c r="A4513" t="str">
        <f>T("   ZZZ_Monde")</f>
        <v xml:space="preserve">   ZZZ_Monde</v>
      </c>
      <c r="B4513" t="str">
        <f>T("   ZZZ_Monde")</f>
        <v xml:space="preserve">   ZZZ_Monde</v>
      </c>
      <c r="C4513">
        <v>8354897</v>
      </c>
      <c r="D4513">
        <v>30491</v>
      </c>
    </row>
    <row r="4514" spans="1:4" x14ac:dyDescent="0.25">
      <c r="A4514" t="str">
        <f>T("   CN")</f>
        <v xml:space="preserve">   CN</v>
      </c>
      <c r="B4514" t="str">
        <f>T("   Chine")</f>
        <v xml:space="preserve">   Chine</v>
      </c>
      <c r="C4514">
        <v>455382</v>
      </c>
      <c r="D4514">
        <v>4800</v>
      </c>
    </row>
    <row r="4515" spans="1:4" x14ac:dyDescent="0.25">
      <c r="A4515" t="str">
        <f>T("   ES")</f>
        <v xml:space="preserve">   ES</v>
      </c>
      <c r="B4515" t="str">
        <f>T("   Espagne")</f>
        <v xml:space="preserve">   Espagne</v>
      </c>
      <c r="C4515">
        <v>4244</v>
      </c>
      <c r="D4515">
        <v>1</v>
      </c>
    </row>
    <row r="4516" spans="1:4" x14ac:dyDescent="0.25">
      <c r="A4516" t="str">
        <f>T("   TG")</f>
        <v xml:space="preserve">   TG</v>
      </c>
      <c r="B4516" t="str">
        <f>T("   Togo")</f>
        <v xml:space="preserve">   Togo</v>
      </c>
      <c r="C4516">
        <v>7895271</v>
      </c>
      <c r="D4516">
        <v>25690</v>
      </c>
    </row>
    <row r="4517" spans="1:4" x14ac:dyDescent="0.25">
      <c r="A4517" t="str">
        <f>T("392059")</f>
        <v>392059</v>
      </c>
      <c r="B4517" t="str">
        <f>T("PLAQUES, FEUILLES, PELLICULES, BANDES ET LAMES, EN POLYMÈRES ACRYLIQUES NON-ALVÉOLAIRES, NON-RENFORCÉES NI STRATIFIÉES, NI MUNIES D'UN SUPPORT, NI PAREILLEMENT ASSOCIÉES À D'AUTRES MATIÈRES, NON-TRAVAILLÉES OU SIMPL. OUVRÉES EN SURFACE OU SIMPL. DÉCOUPÉES")</f>
        <v>PLAQUES, FEUILLES, PELLICULES, BANDES ET LAMES, EN POLYMÈRES ACRYLIQUES NON-ALVÉOLAIRES, NON-RENFORCÉES NI STRATIFIÉES, NI MUNIES D'UN SUPPORT, NI PAREILLEMENT ASSOCIÉES À D'AUTRES MATIÈRES, NON-TRAVAILLÉES OU SIMPL. OUVRÉES EN SURFACE OU SIMPL. DÉCOUPÉES</v>
      </c>
    </row>
    <row r="4518" spans="1:4" x14ac:dyDescent="0.25">
      <c r="A4518" t="str">
        <f>T("   ZZZ_Monde")</f>
        <v xml:space="preserve">   ZZZ_Monde</v>
      </c>
      <c r="B4518" t="str">
        <f>T("   ZZZ_Monde")</f>
        <v xml:space="preserve">   ZZZ_Monde</v>
      </c>
      <c r="C4518">
        <v>124795</v>
      </c>
      <c r="D4518">
        <v>1000</v>
      </c>
    </row>
    <row r="4519" spans="1:4" x14ac:dyDescent="0.25">
      <c r="A4519" t="str">
        <f>T("   CN")</f>
        <v xml:space="preserve">   CN</v>
      </c>
      <c r="B4519" t="str">
        <f>T("   Chine")</f>
        <v xml:space="preserve">   Chine</v>
      </c>
      <c r="C4519">
        <v>124795</v>
      </c>
      <c r="D4519">
        <v>1000</v>
      </c>
    </row>
    <row r="4520" spans="1:4" x14ac:dyDescent="0.25">
      <c r="A4520" t="str">
        <f>T("392062")</f>
        <v>392062</v>
      </c>
      <c r="B4520" t="str">
        <f>T("PLAQUES, FEUILLES, PELLICULES, BANDES ET LAMES, EN POLY[ÉTHYLÈNE TÉRÉPHTALATE] NON-ALVÉOLAIRE, NON-RENFORCÉES NI STRATIFIÉES, NI MUNIES D'UN SUPPORT, NI PAREILLEMENT ASSOCIÉES À D'AUTRES MATIÈRES, NON-TRAVAILLÉES OU SIMPL. OUVRÉES EN SURFACE OU SIMPL. DÉC")</f>
        <v>PLAQUES, FEUILLES, PELLICULES, BANDES ET LAMES, EN POLY[ÉTHYLÈNE TÉRÉPHTALATE] NON-ALVÉOLAIRE, NON-RENFORCÉES NI STRATIFIÉES, NI MUNIES D'UN SUPPORT, NI PAREILLEMENT ASSOCIÉES À D'AUTRES MATIÈRES, NON-TRAVAILLÉES OU SIMPL. OUVRÉES EN SURFACE OU SIMPL. DÉC</v>
      </c>
    </row>
    <row r="4521" spans="1:4" x14ac:dyDescent="0.25">
      <c r="A4521" t="str">
        <f>T("   ZZZ_Monde")</f>
        <v xml:space="preserve">   ZZZ_Monde</v>
      </c>
      <c r="B4521" t="str">
        <f>T("   ZZZ_Monde")</f>
        <v xml:space="preserve">   ZZZ_Monde</v>
      </c>
      <c r="C4521">
        <v>6193454</v>
      </c>
      <c r="D4521">
        <v>19836</v>
      </c>
    </row>
    <row r="4522" spans="1:4" x14ac:dyDescent="0.25">
      <c r="A4522" t="str">
        <f>T("   TG")</f>
        <v xml:space="preserve">   TG</v>
      </c>
      <c r="B4522" t="str">
        <f>T("   Togo")</f>
        <v xml:space="preserve">   Togo</v>
      </c>
      <c r="C4522">
        <v>6193454</v>
      </c>
      <c r="D4522">
        <v>19836</v>
      </c>
    </row>
    <row r="4523" spans="1:4" x14ac:dyDescent="0.25">
      <c r="A4523" t="str">
        <f>T("392063")</f>
        <v>392063</v>
      </c>
      <c r="B4523" t="str">
        <f>T("Plaques, feuilles, pellicules, bandes et lames, en polyesters non saturés non alvéolaires, non renforcées ni stratifiées, ni munies d'un support, ni pareillement associées à d'autres matières, non travaillées ou simplement ouvrées en surface ou simplement")</f>
        <v>Plaques, feuilles, pellicules, bandes et lames, en polyesters non saturés non alvéolaires, non renforcées ni stratifiées, ni munies d'un support, ni pareillement associées à d'autres matières, non travaillées ou simplement ouvrées en surface ou simplement</v>
      </c>
    </row>
    <row r="4524" spans="1:4" x14ac:dyDescent="0.25">
      <c r="A4524" t="str">
        <f>T("   ZZZ_Monde")</f>
        <v xml:space="preserve">   ZZZ_Monde</v>
      </c>
      <c r="B4524" t="str">
        <f>T("   ZZZ_Monde")</f>
        <v xml:space="preserve">   ZZZ_Monde</v>
      </c>
      <c r="C4524">
        <v>935628</v>
      </c>
      <c r="D4524">
        <v>150</v>
      </c>
    </row>
    <row r="4525" spans="1:4" x14ac:dyDescent="0.25">
      <c r="A4525" t="str">
        <f>T("   FR")</f>
        <v xml:space="preserve">   FR</v>
      </c>
      <c r="B4525" t="str">
        <f>T("   France")</f>
        <v xml:space="preserve">   France</v>
      </c>
      <c r="C4525">
        <v>935628</v>
      </c>
      <c r="D4525">
        <v>150</v>
      </c>
    </row>
    <row r="4526" spans="1:4" x14ac:dyDescent="0.25">
      <c r="A4526" t="str">
        <f>T("392069")</f>
        <v>392069</v>
      </c>
      <c r="B4526" t="str">
        <f>T("Plaques, feuilles, pellicules, bandes et lames, en polyesters non alvéolaires, non renforcées ni stratifiées, ni munies d'un support, ni pareillement associées à d'autres matières, non travaillées ou simplement ouvrées en surface ou simplement découpées d")</f>
        <v>Plaques, feuilles, pellicules, bandes et lames, en polyesters non alvéolaires, non renforcées ni stratifiées, ni munies d'un support, ni pareillement associées à d'autres matières, non travaillées ou simplement ouvrées en surface ou simplement découpées d</v>
      </c>
    </row>
    <row r="4527" spans="1:4" x14ac:dyDescent="0.25">
      <c r="A4527" t="str">
        <f>T("   ZZZ_Monde")</f>
        <v xml:space="preserve">   ZZZ_Monde</v>
      </c>
      <c r="B4527" t="str">
        <f>T("   ZZZ_Monde")</f>
        <v xml:space="preserve">   ZZZ_Monde</v>
      </c>
      <c r="C4527">
        <v>4586082</v>
      </c>
      <c r="D4527">
        <v>5624</v>
      </c>
    </row>
    <row r="4528" spans="1:4" x14ac:dyDescent="0.25">
      <c r="A4528" t="str">
        <f>T("   CN")</f>
        <v xml:space="preserve">   CN</v>
      </c>
      <c r="B4528" t="str">
        <f>T("   Chine")</f>
        <v xml:space="preserve">   Chine</v>
      </c>
      <c r="C4528">
        <v>3152206</v>
      </c>
      <c r="D4528">
        <v>3365</v>
      </c>
    </row>
    <row r="4529" spans="1:4" x14ac:dyDescent="0.25">
      <c r="A4529" t="str">
        <f>T("   FR")</f>
        <v xml:space="preserve">   FR</v>
      </c>
      <c r="B4529" t="str">
        <f>T("   France")</f>
        <v xml:space="preserve">   France</v>
      </c>
      <c r="C4529">
        <v>1259332</v>
      </c>
      <c r="D4529">
        <v>1809</v>
      </c>
    </row>
    <row r="4530" spans="1:4" x14ac:dyDescent="0.25">
      <c r="A4530" t="str">
        <f>T("   TG")</f>
        <v xml:space="preserve">   TG</v>
      </c>
      <c r="B4530" t="str">
        <f>T("   Togo")</f>
        <v xml:space="preserve">   Togo</v>
      </c>
      <c r="C4530">
        <v>174544</v>
      </c>
      <c r="D4530">
        <v>450</v>
      </c>
    </row>
    <row r="4531" spans="1:4" x14ac:dyDescent="0.25">
      <c r="A4531" t="str">
        <f>T("392099")</f>
        <v>392099</v>
      </c>
      <c r="B4531" t="str">
        <f>T("PLAQUES, FEUILLES, PELLICULES, BANDES ET LAMES, EN MATIÈRES PLASTIQUES NON-ALVÉOLAIRES, N.D.A., NON-RENFORCÉES NI STRATIFIÉES, NI MUNIES D'UN SUPPORT, NI PAREILLEMENT ASSOCIÉES À D'AUTRES MATIÈRES, NON-TRAVAILLÉES OU SIMPL. OUVRÉES EN SURFACE OU SIMPL. DÉ")</f>
        <v>PLAQUES, FEUILLES, PELLICULES, BANDES ET LAMES, EN MATIÈRES PLASTIQUES NON-ALVÉOLAIRES, N.D.A., NON-RENFORCÉES NI STRATIFIÉES, NI MUNIES D'UN SUPPORT, NI PAREILLEMENT ASSOCIÉES À D'AUTRES MATIÈRES, NON-TRAVAILLÉES OU SIMPL. OUVRÉES EN SURFACE OU SIMPL. DÉ</v>
      </c>
    </row>
    <row r="4532" spans="1:4" x14ac:dyDescent="0.25">
      <c r="A4532" t="str">
        <f>T("   ZZZ_Monde")</f>
        <v xml:space="preserve">   ZZZ_Monde</v>
      </c>
      <c r="B4532" t="str">
        <f>T("   ZZZ_Monde")</f>
        <v xml:space="preserve">   ZZZ_Monde</v>
      </c>
      <c r="C4532">
        <v>14959690</v>
      </c>
      <c r="D4532">
        <v>34312</v>
      </c>
    </row>
    <row r="4533" spans="1:4" x14ac:dyDescent="0.25">
      <c r="A4533" t="str">
        <f>T("   BE")</f>
        <v xml:space="preserve">   BE</v>
      </c>
      <c r="B4533" t="str">
        <f>T("   Belgique")</f>
        <v xml:space="preserve">   Belgique</v>
      </c>
      <c r="C4533">
        <v>188261</v>
      </c>
      <c r="D4533">
        <v>1000</v>
      </c>
    </row>
    <row r="4534" spans="1:4" x14ac:dyDescent="0.25">
      <c r="A4534" t="str">
        <f>T("   CN")</f>
        <v xml:space="preserve">   CN</v>
      </c>
      <c r="B4534" t="str">
        <f>T("   Chine")</f>
        <v xml:space="preserve">   Chine</v>
      </c>
      <c r="C4534">
        <v>10681588</v>
      </c>
      <c r="D4534">
        <v>25526</v>
      </c>
    </row>
    <row r="4535" spans="1:4" x14ac:dyDescent="0.25">
      <c r="A4535" t="str">
        <f>T("   FR")</f>
        <v xml:space="preserve">   FR</v>
      </c>
      <c r="B4535" t="str">
        <f>T("   France")</f>
        <v xml:space="preserve">   France</v>
      </c>
      <c r="C4535">
        <v>1506910</v>
      </c>
      <c r="D4535">
        <v>1899</v>
      </c>
    </row>
    <row r="4536" spans="1:4" x14ac:dyDescent="0.25">
      <c r="A4536" t="str">
        <f>T("   IN")</f>
        <v xml:space="preserve">   IN</v>
      </c>
      <c r="B4536" t="str">
        <f>T("   Inde")</f>
        <v xml:space="preserve">   Inde</v>
      </c>
      <c r="C4536">
        <v>2159665</v>
      </c>
      <c r="D4536">
        <v>5289</v>
      </c>
    </row>
    <row r="4537" spans="1:4" x14ac:dyDescent="0.25">
      <c r="A4537" t="str">
        <f>T("   LB")</f>
        <v xml:space="preserve">   LB</v>
      </c>
      <c r="B4537" t="str">
        <f>T("   Liban")</f>
        <v xml:space="preserve">   Liban</v>
      </c>
      <c r="C4537">
        <v>423266</v>
      </c>
      <c r="D4537">
        <v>598</v>
      </c>
    </row>
    <row r="4538" spans="1:4" x14ac:dyDescent="0.25">
      <c r="A4538" t="str">
        <f>T("392111")</f>
        <v>392111</v>
      </c>
      <c r="B4538" t="str">
        <f>T("Plaques, feuilles, pellicules, bandes et lames, en polymères alvéolaires du styrène, non travaillées ou simplement ouvrées en surface ou simplement découpées de forme carrée ou rectangulaire (à l'excl. des produits auto-adhésifs et des revêtements de sols")</f>
        <v>Plaques, feuilles, pellicules, bandes et lames, en polymères alvéolaires du styrène, non travaillées ou simplement ouvrées en surface ou simplement découpées de forme carrée ou rectangulaire (à l'excl. des produits auto-adhésifs et des revêtements de sols</v>
      </c>
    </row>
    <row r="4539" spans="1:4" x14ac:dyDescent="0.25">
      <c r="A4539" t="str">
        <f>T("   ZZZ_Monde")</f>
        <v xml:space="preserve">   ZZZ_Monde</v>
      </c>
      <c r="B4539" t="str">
        <f>T("   ZZZ_Monde")</f>
        <v xml:space="preserve">   ZZZ_Monde</v>
      </c>
      <c r="C4539">
        <v>6592234</v>
      </c>
      <c r="D4539">
        <v>3117</v>
      </c>
    </row>
    <row r="4540" spans="1:4" x14ac:dyDescent="0.25">
      <c r="A4540" t="str">
        <f>T("   BE")</f>
        <v xml:space="preserve">   BE</v>
      </c>
      <c r="B4540" t="str">
        <f>T("   Belgique")</f>
        <v xml:space="preserve">   Belgique</v>
      </c>
      <c r="C4540">
        <v>6436116</v>
      </c>
      <c r="D4540">
        <v>2435</v>
      </c>
    </row>
    <row r="4541" spans="1:4" x14ac:dyDescent="0.25">
      <c r="A4541" t="str">
        <f>T("   DE")</f>
        <v xml:space="preserve">   DE</v>
      </c>
      <c r="B4541" t="str">
        <f>T("   Allemagne")</f>
        <v xml:space="preserve">   Allemagne</v>
      </c>
      <c r="C4541">
        <v>156118</v>
      </c>
      <c r="D4541">
        <v>682</v>
      </c>
    </row>
    <row r="4542" spans="1:4" x14ac:dyDescent="0.25">
      <c r="A4542" t="str">
        <f>T("392112")</f>
        <v>392112</v>
      </c>
      <c r="B4542" t="str">
        <f>T("Plaques, feuilles, pellicules, bandes et lames, en polymères alvéolaires du chlorure de vinyle, non travaillées ou simplement ouvrées en surface ou simplement découpées de forme carrée ou rectangulaire (à l'excl. des produits auto-adhésifs et des revêteme")</f>
        <v>Plaques, feuilles, pellicules, bandes et lames, en polymères alvéolaires du chlorure de vinyle, non travaillées ou simplement ouvrées en surface ou simplement découpées de forme carrée ou rectangulaire (à l'excl. des produits auto-adhésifs et des revêteme</v>
      </c>
    </row>
    <row r="4543" spans="1:4" x14ac:dyDescent="0.25">
      <c r="A4543" t="str">
        <f>T("   ZZZ_Monde")</f>
        <v xml:space="preserve">   ZZZ_Monde</v>
      </c>
      <c r="B4543" t="str">
        <f>T("   ZZZ_Monde")</f>
        <v xml:space="preserve">   ZZZ_Monde</v>
      </c>
      <c r="C4543">
        <v>5603473</v>
      </c>
      <c r="D4543">
        <v>1964</v>
      </c>
    </row>
    <row r="4544" spans="1:4" x14ac:dyDescent="0.25">
      <c r="A4544" t="str">
        <f>T("   FR")</f>
        <v xml:space="preserve">   FR</v>
      </c>
      <c r="B4544" t="str">
        <f>T("   France")</f>
        <v xml:space="preserve">   France</v>
      </c>
      <c r="C4544">
        <v>5603473</v>
      </c>
      <c r="D4544">
        <v>1964</v>
      </c>
    </row>
    <row r="4545" spans="1:4" x14ac:dyDescent="0.25">
      <c r="A4545" t="str">
        <f>T("392119")</f>
        <v>392119</v>
      </c>
      <c r="B4545" t="str">
        <f>T("Plaques, feuilles, pellicules, bandes et lames, en produits alvéolaires, non travaillées ou simplement ouvrées en surface ou simplement découpées de forme carrée ou rectangulaire (à l'excl. des produits en polymères du styrène ou du chlorure de vinyle, en")</f>
        <v>Plaques, feuilles, pellicules, bandes et lames, en produits alvéolaires, non travaillées ou simplement ouvrées en surface ou simplement découpées de forme carrée ou rectangulaire (à l'excl. des produits en polymères du styrène ou du chlorure de vinyle, en</v>
      </c>
    </row>
    <row r="4546" spans="1:4" x14ac:dyDescent="0.25">
      <c r="A4546" t="str">
        <f>T("   ZZZ_Monde")</f>
        <v xml:space="preserve">   ZZZ_Monde</v>
      </c>
      <c r="B4546" t="str">
        <f>T("   ZZZ_Monde")</f>
        <v xml:space="preserve">   ZZZ_Monde</v>
      </c>
      <c r="C4546">
        <v>4621342</v>
      </c>
      <c r="D4546">
        <v>82927</v>
      </c>
    </row>
    <row r="4547" spans="1:4" x14ac:dyDescent="0.25">
      <c r="A4547" t="str">
        <f>T("   CN")</f>
        <v xml:space="preserve">   CN</v>
      </c>
      <c r="B4547" t="str">
        <f>T("   Chine")</f>
        <v xml:space="preserve">   Chine</v>
      </c>
      <c r="C4547">
        <v>4621342</v>
      </c>
      <c r="D4547">
        <v>82927</v>
      </c>
    </row>
    <row r="4548" spans="1:4" x14ac:dyDescent="0.25">
      <c r="A4548" t="str">
        <f>T("392190")</f>
        <v>392190</v>
      </c>
      <c r="B4548" t="str">
        <f>T("PLAQUES, FEUILLES, PELLICULES, BANDES ET LAMES, EN MATIÈRES PLASTIQUES, RENFORCÉES, STRATIFIÉES, MUNIES D'UN SUPPORT OU PAREILLEMENT ASSOCIÉES À D'AUTRES MATIÈRES, NON-TRAVAILLÉES OU SIMPL. OUVRÉES EN SURFACE OU SIMPL. DÉCOUPÉES DE FORME CARRÉE OU RECTANG")</f>
        <v>PLAQUES, FEUILLES, PELLICULES, BANDES ET LAMES, EN MATIÈRES PLASTIQUES, RENFORCÉES, STRATIFIÉES, MUNIES D'UN SUPPORT OU PAREILLEMENT ASSOCIÉES À D'AUTRES MATIÈRES, NON-TRAVAILLÉES OU SIMPL. OUVRÉES EN SURFACE OU SIMPL. DÉCOUPÉES DE FORME CARRÉE OU RECTANG</v>
      </c>
    </row>
    <row r="4549" spans="1:4" x14ac:dyDescent="0.25">
      <c r="A4549" t="str">
        <f>T("   ZZZ_Monde")</f>
        <v xml:space="preserve">   ZZZ_Monde</v>
      </c>
      <c r="B4549" t="str">
        <f>T("   ZZZ_Monde")</f>
        <v xml:space="preserve">   ZZZ_Monde</v>
      </c>
      <c r="C4549">
        <v>64064635</v>
      </c>
      <c r="D4549">
        <v>53924.9</v>
      </c>
    </row>
    <row r="4550" spans="1:4" x14ac:dyDescent="0.25">
      <c r="A4550" t="str">
        <f>T("   BE")</f>
        <v xml:space="preserve">   BE</v>
      </c>
      <c r="B4550" t="str">
        <f>T("   Belgique")</f>
        <v xml:space="preserve">   Belgique</v>
      </c>
      <c r="C4550">
        <v>19165839</v>
      </c>
      <c r="D4550">
        <v>7196</v>
      </c>
    </row>
    <row r="4551" spans="1:4" x14ac:dyDescent="0.25">
      <c r="A4551" t="str">
        <f>T("   CY")</f>
        <v xml:space="preserve">   CY</v>
      </c>
      <c r="B4551" t="str">
        <f>T("   Chypre")</f>
        <v xml:space="preserve">   Chypre</v>
      </c>
      <c r="C4551">
        <v>150516</v>
      </c>
      <c r="D4551">
        <v>1288</v>
      </c>
    </row>
    <row r="4552" spans="1:4" x14ac:dyDescent="0.25">
      <c r="A4552" t="str">
        <f>T("   FR")</f>
        <v xml:space="preserve">   FR</v>
      </c>
      <c r="B4552" t="str">
        <f>T("   France")</f>
        <v xml:space="preserve">   France</v>
      </c>
      <c r="C4552">
        <v>20802040</v>
      </c>
      <c r="D4552">
        <v>7236</v>
      </c>
    </row>
    <row r="4553" spans="1:4" x14ac:dyDescent="0.25">
      <c r="A4553" t="str">
        <f>T("   NG")</f>
        <v xml:space="preserve">   NG</v>
      </c>
      <c r="B4553" t="str">
        <f>T("   Nigéria")</f>
        <v xml:space="preserve">   Nigéria</v>
      </c>
      <c r="C4553">
        <v>22762495</v>
      </c>
      <c r="D4553">
        <v>38198</v>
      </c>
    </row>
    <row r="4554" spans="1:4" x14ac:dyDescent="0.25">
      <c r="A4554" t="str">
        <f>T("   NL")</f>
        <v xml:space="preserve">   NL</v>
      </c>
      <c r="B4554" t="str">
        <f>T("   Pays-bas")</f>
        <v xml:space="preserve">   Pays-bas</v>
      </c>
      <c r="C4554">
        <v>1183745</v>
      </c>
      <c r="D4554">
        <v>6.9</v>
      </c>
    </row>
    <row r="4555" spans="1:4" x14ac:dyDescent="0.25">
      <c r="A4555" t="str">
        <f>T("392210")</f>
        <v>392210</v>
      </c>
      <c r="B4555" t="str">
        <f>T("Baignoires, douches, éviers et lavabos, en matières plastiques")</f>
        <v>Baignoires, douches, éviers et lavabos, en matières plastiques</v>
      </c>
    </row>
    <row r="4556" spans="1:4" x14ac:dyDescent="0.25">
      <c r="A4556" t="str">
        <f>T("   ZZZ_Monde")</f>
        <v xml:space="preserve">   ZZZ_Monde</v>
      </c>
      <c r="B4556" t="str">
        <f>T("   ZZZ_Monde")</f>
        <v xml:space="preserve">   ZZZ_Monde</v>
      </c>
      <c r="C4556">
        <v>41754510</v>
      </c>
      <c r="D4556">
        <v>44694</v>
      </c>
    </row>
    <row r="4557" spans="1:4" x14ac:dyDescent="0.25">
      <c r="A4557" t="str">
        <f>T("   CN")</f>
        <v xml:space="preserve">   CN</v>
      </c>
      <c r="B4557" t="str">
        <f>T("   Chine")</f>
        <v xml:space="preserve">   Chine</v>
      </c>
      <c r="C4557">
        <v>28893258</v>
      </c>
      <c r="D4557">
        <v>31539</v>
      </c>
    </row>
    <row r="4558" spans="1:4" x14ac:dyDescent="0.25">
      <c r="A4558" t="str">
        <f>T("   FR")</f>
        <v xml:space="preserve">   FR</v>
      </c>
      <c r="B4558" t="str">
        <f>T("   France")</f>
        <v xml:space="preserve">   France</v>
      </c>
      <c r="C4558">
        <v>9710832</v>
      </c>
      <c r="D4558">
        <v>6500</v>
      </c>
    </row>
    <row r="4559" spans="1:4" x14ac:dyDescent="0.25">
      <c r="A4559" t="str">
        <f>T("   GH")</f>
        <v xml:space="preserve">   GH</v>
      </c>
      <c r="B4559" t="str">
        <f>T("   Ghana")</f>
        <v xml:space="preserve">   Ghana</v>
      </c>
      <c r="C4559">
        <v>1788775</v>
      </c>
      <c r="D4559">
        <v>4345</v>
      </c>
    </row>
    <row r="4560" spans="1:4" x14ac:dyDescent="0.25">
      <c r="A4560" t="str">
        <f>T("   IT")</f>
        <v xml:space="preserve">   IT</v>
      </c>
      <c r="B4560" t="str">
        <f>T("   Italie")</f>
        <v xml:space="preserve">   Italie</v>
      </c>
      <c r="C4560">
        <v>547897</v>
      </c>
      <c r="D4560">
        <v>2000</v>
      </c>
    </row>
    <row r="4561" spans="1:4" x14ac:dyDescent="0.25">
      <c r="A4561" t="str">
        <f>T("   MA")</f>
        <v xml:space="preserve">   MA</v>
      </c>
      <c r="B4561" t="str">
        <f>T("   Maroc")</f>
        <v xml:space="preserve">   Maroc</v>
      </c>
      <c r="C4561">
        <v>678919</v>
      </c>
      <c r="D4561">
        <v>140</v>
      </c>
    </row>
    <row r="4562" spans="1:4" x14ac:dyDescent="0.25">
      <c r="A4562" t="str">
        <f>T("   NG")</f>
        <v xml:space="preserve">   NG</v>
      </c>
      <c r="B4562" t="str">
        <f>T("   Nigéria")</f>
        <v xml:space="preserve">   Nigéria</v>
      </c>
      <c r="C4562">
        <v>70000</v>
      </c>
      <c r="D4562">
        <v>100</v>
      </c>
    </row>
    <row r="4563" spans="1:4" x14ac:dyDescent="0.25">
      <c r="A4563" t="str">
        <f>T("   TG")</f>
        <v xml:space="preserve">   TG</v>
      </c>
      <c r="B4563" t="str">
        <f>T("   Togo")</f>
        <v xml:space="preserve">   Togo</v>
      </c>
      <c r="C4563">
        <v>64829</v>
      </c>
      <c r="D4563">
        <v>70</v>
      </c>
    </row>
    <row r="4564" spans="1:4" x14ac:dyDescent="0.25">
      <c r="A4564" t="str">
        <f>T("392220")</f>
        <v>392220</v>
      </c>
      <c r="B4564" t="str">
        <f>T("Sièges et couvercles de cuvettes d'aisance, en matières plastiques")</f>
        <v>Sièges et couvercles de cuvettes d'aisance, en matières plastiques</v>
      </c>
    </row>
    <row r="4565" spans="1:4" x14ac:dyDescent="0.25">
      <c r="A4565" t="str">
        <f>T("   ZZZ_Monde")</f>
        <v xml:space="preserve">   ZZZ_Monde</v>
      </c>
      <c r="B4565" t="str">
        <f>T("   ZZZ_Monde")</f>
        <v xml:space="preserve">   ZZZ_Monde</v>
      </c>
      <c r="C4565">
        <v>17344470</v>
      </c>
      <c r="D4565">
        <v>17602</v>
      </c>
    </row>
    <row r="4566" spans="1:4" x14ac:dyDescent="0.25">
      <c r="A4566" t="str">
        <f>T("   CN")</f>
        <v xml:space="preserve">   CN</v>
      </c>
      <c r="B4566" t="str">
        <f>T("   Chine")</f>
        <v xml:space="preserve">   Chine</v>
      </c>
      <c r="C4566">
        <v>9720254</v>
      </c>
      <c r="D4566">
        <v>12461</v>
      </c>
    </row>
    <row r="4567" spans="1:4" x14ac:dyDescent="0.25">
      <c r="A4567" t="str">
        <f>T("   ES")</f>
        <v xml:space="preserve">   ES</v>
      </c>
      <c r="B4567" t="str">
        <f>T("   Espagne")</f>
        <v xml:space="preserve">   Espagne</v>
      </c>
      <c r="C4567">
        <v>7441039</v>
      </c>
      <c r="D4567">
        <v>3848</v>
      </c>
    </row>
    <row r="4568" spans="1:4" x14ac:dyDescent="0.25">
      <c r="A4568" t="str">
        <f>T("   FR")</f>
        <v xml:space="preserve">   FR</v>
      </c>
      <c r="B4568" t="str">
        <f>T("   France")</f>
        <v xml:space="preserve">   France</v>
      </c>
      <c r="C4568">
        <v>69856</v>
      </c>
      <c r="D4568">
        <v>570</v>
      </c>
    </row>
    <row r="4569" spans="1:4" x14ac:dyDescent="0.25">
      <c r="A4569" t="str">
        <f>T("   TG")</f>
        <v xml:space="preserve">   TG</v>
      </c>
      <c r="B4569" t="str">
        <f>T("   Togo")</f>
        <v xml:space="preserve">   Togo</v>
      </c>
      <c r="C4569">
        <v>113321</v>
      </c>
      <c r="D4569">
        <v>723</v>
      </c>
    </row>
    <row r="4570" spans="1:4" x14ac:dyDescent="0.25">
      <c r="A4570" t="str">
        <f>T("392290")</f>
        <v>392290</v>
      </c>
      <c r="B4570" t="str">
        <f>T("Bidets, cuvettes d'aisance, réservoirs de chasse et articles simil. pour usages sanitaires ou hygiéniques, en matières plastiques (à l'excl. des baignoires, des douches, d'éviers, des lavabos ainsi que des sièges et couvercles de cuvettes d'aisance)")</f>
        <v>Bidets, cuvettes d'aisance, réservoirs de chasse et articles simil. pour usages sanitaires ou hygiéniques, en matières plastiques (à l'excl. des baignoires, des douches, d'éviers, des lavabos ainsi que des sièges et couvercles de cuvettes d'aisance)</v>
      </c>
    </row>
    <row r="4571" spans="1:4" x14ac:dyDescent="0.25">
      <c r="A4571" t="str">
        <f>T("   ZZZ_Monde")</f>
        <v xml:space="preserve">   ZZZ_Monde</v>
      </c>
      <c r="B4571" t="str">
        <f>T("   ZZZ_Monde")</f>
        <v xml:space="preserve">   ZZZ_Monde</v>
      </c>
      <c r="C4571">
        <v>46851727</v>
      </c>
      <c r="D4571">
        <v>68486</v>
      </c>
    </row>
    <row r="4572" spans="1:4" x14ac:dyDescent="0.25">
      <c r="A4572" t="str">
        <f>T("   CN")</f>
        <v xml:space="preserve">   CN</v>
      </c>
      <c r="B4572" t="str">
        <f>T("   Chine")</f>
        <v xml:space="preserve">   Chine</v>
      </c>
      <c r="C4572">
        <v>12030712</v>
      </c>
      <c r="D4572">
        <v>19306</v>
      </c>
    </row>
    <row r="4573" spans="1:4" x14ac:dyDescent="0.25">
      <c r="A4573" t="str">
        <f>T("   ES")</f>
        <v xml:space="preserve">   ES</v>
      </c>
      <c r="B4573" t="str">
        <f>T("   Espagne")</f>
        <v xml:space="preserve">   Espagne</v>
      </c>
      <c r="C4573">
        <v>1888509</v>
      </c>
      <c r="D4573">
        <v>7730</v>
      </c>
    </row>
    <row r="4574" spans="1:4" x14ac:dyDescent="0.25">
      <c r="A4574" t="str">
        <f>T("   FR")</f>
        <v xml:space="preserve">   FR</v>
      </c>
      <c r="B4574" t="str">
        <f>T("   France")</f>
        <v xml:space="preserve">   France</v>
      </c>
      <c r="C4574">
        <v>32349120</v>
      </c>
      <c r="D4574">
        <v>39838</v>
      </c>
    </row>
    <row r="4575" spans="1:4" x14ac:dyDescent="0.25">
      <c r="A4575" t="str">
        <f>T("   GY")</f>
        <v xml:space="preserve">   GY</v>
      </c>
      <c r="B4575" t="str">
        <f>T("   Guyane")</f>
        <v xml:space="preserve">   Guyane</v>
      </c>
      <c r="C4575">
        <v>100000</v>
      </c>
      <c r="D4575">
        <v>45</v>
      </c>
    </row>
    <row r="4576" spans="1:4" x14ac:dyDescent="0.25">
      <c r="A4576" t="str">
        <f>T("   SN")</f>
        <v xml:space="preserve">   SN</v>
      </c>
      <c r="B4576" t="str">
        <f>T("   Sénégal")</f>
        <v xml:space="preserve">   Sénégal</v>
      </c>
      <c r="C4576">
        <v>43445</v>
      </c>
      <c r="D4576">
        <v>67</v>
      </c>
    </row>
    <row r="4577" spans="1:4" x14ac:dyDescent="0.25">
      <c r="A4577" t="str">
        <f>T("   TG")</f>
        <v xml:space="preserve">   TG</v>
      </c>
      <c r="B4577" t="str">
        <f>T("   Togo")</f>
        <v xml:space="preserve">   Togo</v>
      </c>
      <c r="C4577">
        <v>10923</v>
      </c>
      <c r="D4577">
        <v>50</v>
      </c>
    </row>
    <row r="4578" spans="1:4" x14ac:dyDescent="0.25">
      <c r="A4578" t="str">
        <f>T("   US")</f>
        <v xml:space="preserve">   US</v>
      </c>
      <c r="B4578" t="str">
        <f>T("   Etats-Unis")</f>
        <v xml:space="preserve">   Etats-Unis</v>
      </c>
      <c r="C4578">
        <v>429018</v>
      </c>
      <c r="D4578">
        <v>1450</v>
      </c>
    </row>
    <row r="4579" spans="1:4" x14ac:dyDescent="0.25">
      <c r="A4579" t="str">
        <f>T("392310")</f>
        <v>392310</v>
      </c>
      <c r="B4579" t="str">
        <f>T("Boîtes, caisses, casiers et articles simil. pour le transport ou l'emballage, en matières plastiques")</f>
        <v>Boîtes, caisses, casiers et articles simil. pour le transport ou l'emballage, en matières plastiques</v>
      </c>
    </row>
    <row r="4580" spans="1:4" x14ac:dyDescent="0.25">
      <c r="A4580" t="str">
        <f>T("   ZZZ_Monde")</f>
        <v xml:space="preserve">   ZZZ_Monde</v>
      </c>
      <c r="B4580" t="str">
        <f>T("   ZZZ_Monde")</f>
        <v xml:space="preserve">   ZZZ_Monde</v>
      </c>
      <c r="C4580">
        <v>729733455</v>
      </c>
      <c r="D4580">
        <v>1095256</v>
      </c>
    </row>
    <row r="4581" spans="1:4" x14ac:dyDescent="0.25">
      <c r="A4581" t="str">
        <f>T("   BE")</f>
        <v xml:space="preserve">   BE</v>
      </c>
      <c r="B4581" t="str">
        <f>T("   Belgique")</f>
        <v xml:space="preserve">   Belgique</v>
      </c>
      <c r="C4581">
        <v>37365</v>
      </c>
      <c r="D4581">
        <v>167</v>
      </c>
    </row>
    <row r="4582" spans="1:4" x14ac:dyDescent="0.25">
      <c r="A4582" t="str">
        <f>T("   CH")</f>
        <v xml:space="preserve">   CH</v>
      </c>
      <c r="B4582" t="str">
        <f>T("   Suisse")</f>
        <v xml:space="preserve">   Suisse</v>
      </c>
      <c r="C4582">
        <v>80000</v>
      </c>
      <c r="D4582">
        <v>45</v>
      </c>
    </row>
    <row r="4583" spans="1:4" x14ac:dyDescent="0.25">
      <c r="A4583" t="str">
        <f>T("   CN")</f>
        <v xml:space="preserve">   CN</v>
      </c>
      <c r="B4583" t="str">
        <f>T("   Chine")</f>
        <v xml:space="preserve">   Chine</v>
      </c>
      <c r="C4583">
        <v>8011547</v>
      </c>
      <c r="D4583">
        <v>13317</v>
      </c>
    </row>
    <row r="4584" spans="1:4" x14ac:dyDescent="0.25">
      <c r="A4584" t="str">
        <f>T("   ES")</f>
        <v xml:space="preserve">   ES</v>
      </c>
      <c r="B4584" t="str">
        <f>T("   Espagne")</f>
        <v xml:space="preserve">   Espagne</v>
      </c>
      <c r="C4584">
        <v>38702</v>
      </c>
      <c r="D4584">
        <v>86</v>
      </c>
    </row>
    <row r="4585" spans="1:4" x14ac:dyDescent="0.25">
      <c r="A4585" t="str">
        <f>T("   FR")</f>
        <v xml:space="preserve">   FR</v>
      </c>
      <c r="B4585" t="str">
        <f>T("   France")</f>
        <v xml:space="preserve">   France</v>
      </c>
      <c r="C4585">
        <v>9292331</v>
      </c>
      <c r="D4585">
        <v>7916</v>
      </c>
    </row>
    <row r="4586" spans="1:4" x14ac:dyDescent="0.25">
      <c r="A4586" t="str">
        <f>T("   GH")</f>
        <v xml:space="preserve">   GH</v>
      </c>
      <c r="B4586" t="str">
        <f>T("   Ghana")</f>
        <v xml:space="preserve">   Ghana</v>
      </c>
      <c r="C4586">
        <v>3869042</v>
      </c>
      <c r="D4586">
        <v>4069</v>
      </c>
    </row>
    <row r="4587" spans="1:4" x14ac:dyDescent="0.25">
      <c r="A4587" t="str">
        <f>T("   IT")</f>
        <v xml:space="preserve">   IT</v>
      </c>
      <c r="B4587" t="str">
        <f>T("   Italie")</f>
        <v xml:space="preserve">   Italie</v>
      </c>
      <c r="C4587">
        <v>57506564</v>
      </c>
      <c r="D4587">
        <v>43468</v>
      </c>
    </row>
    <row r="4588" spans="1:4" x14ac:dyDescent="0.25">
      <c r="A4588" t="str">
        <f>T("   NG")</f>
        <v xml:space="preserve">   NG</v>
      </c>
      <c r="B4588" t="str">
        <f>T("   Nigéria")</f>
        <v xml:space="preserve">   Nigéria</v>
      </c>
      <c r="C4588">
        <v>4000</v>
      </c>
      <c r="D4588">
        <v>20</v>
      </c>
    </row>
    <row r="4589" spans="1:4" x14ac:dyDescent="0.25">
      <c r="A4589" t="str">
        <f>T("   TG")</f>
        <v xml:space="preserve">   TG</v>
      </c>
      <c r="B4589" t="str">
        <f>T("   Togo")</f>
        <v xml:space="preserve">   Togo</v>
      </c>
      <c r="C4589">
        <v>650893904</v>
      </c>
      <c r="D4589">
        <v>1026168</v>
      </c>
    </row>
    <row r="4590" spans="1:4" x14ac:dyDescent="0.25">
      <c r="A4590" t="str">
        <f>T("392321")</f>
        <v>392321</v>
      </c>
      <c r="B4590" t="str">
        <f>T("Sacs, sachets, pochettes et cornets, en polymères de l'éthylène")</f>
        <v>Sacs, sachets, pochettes et cornets, en polymères de l'éthylène</v>
      </c>
    </row>
    <row r="4591" spans="1:4" x14ac:dyDescent="0.25">
      <c r="A4591" t="str">
        <f>T("   ZZZ_Monde")</f>
        <v xml:space="preserve">   ZZZ_Monde</v>
      </c>
      <c r="B4591" t="str">
        <f>T("   ZZZ_Monde")</f>
        <v xml:space="preserve">   ZZZ_Monde</v>
      </c>
      <c r="C4591">
        <v>339932607</v>
      </c>
      <c r="D4591">
        <v>546695</v>
      </c>
    </row>
    <row r="4592" spans="1:4" x14ac:dyDescent="0.25">
      <c r="A4592" t="str">
        <f>T("   BE")</f>
        <v xml:space="preserve">   BE</v>
      </c>
      <c r="B4592" t="str">
        <f>T("   Belgique")</f>
        <v xml:space="preserve">   Belgique</v>
      </c>
      <c r="C4592">
        <v>7297556</v>
      </c>
      <c r="D4592">
        <v>3172</v>
      </c>
    </row>
    <row r="4593" spans="1:4" x14ac:dyDescent="0.25">
      <c r="A4593" t="str">
        <f>T("   CI")</f>
        <v xml:space="preserve">   CI</v>
      </c>
      <c r="B4593" t="str">
        <f>T("   Côte d'Ivoire")</f>
        <v xml:space="preserve">   Côte d'Ivoire</v>
      </c>
      <c r="C4593">
        <v>231647558</v>
      </c>
      <c r="D4593">
        <v>147416</v>
      </c>
    </row>
    <row r="4594" spans="1:4" x14ac:dyDescent="0.25">
      <c r="A4594" t="str">
        <f>T("   CN")</f>
        <v xml:space="preserve">   CN</v>
      </c>
      <c r="B4594" t="str">
        <f>T("   Chine")</f>
        <v xml:space="preserve">   Chine</v>
      </c>
      <c r="C4594">
        <v>7294221</v>
      </c>
      <c r="D4594">
        <v>13169</v>
      </c>
    </row>
    <row r="4595" spans="1:4" x14ac:dyDescent="0.25">
      <c r="A4595" t="str">
        <f>T("   ES")</f>
        <v xml:space="preserve">   ES</v>
      </c>
      <c r="B4595" t="str">
        <f>T("   Espagne")</f>
        <v xml:space="preserve">   Espagne</v>
      </c>
      <c r="C4595">
        <v>58380</v>
      </c>
      <c r="D4595">
        <v>49</v>
      </c>
    </row>
    <row r="4596" spans="1:4" x14ac:dyDescent="0.25">
      <c r="A4596" t="str">
        <f>T("   FR")</f>
        <v xml:space="preserve">   FR</v>
      </c>
      <c r="B4596" t="str">
        <f>T("   France")</f>
        <v xml:space="preserve">   France</v>
      </c>
      <c r="C4596">
        <v>321644</v>
      </c>
      <c r="D4596">
        <v>80</v>
      </c>
    </row>
    <row r="4597" spans="1:4" x14ac:dyDescent="0.25">
      <c r="A4597" t="str">
        <f>T("   GH")</f>
        <v xml:space="preserve">   GH</v>
      </c>
      <c r="B4597" t="str">
        <f>T("   Ghana")</f>
        <v xml:space="preserve">   Ghana</v>
      </c>
      <c r="C4597">
        <v>50660</v>
      </c>
      <c r="D4597">
        <v>116</v>
      </c>
    </row>
    <row r="4598" spans="1:4" x14ac:dyDescent="0.25">
      <c r="A4598" t="str">
        <f>T("   NL")</f>
        <v xml:space="preserve">   NL</v>
      </c>
      <c r="B4598" t="str">
        <f>T("   Pays-bas")</f>
        <v xml:space="preserve">   Pays-bas</v>
      </c>
      <c r="C4598">
        <v>18481751</v>
      </c>
      <c r="D4598">
        <v>5152</v>
      </c>
    </row>
    <row r="4599" spans="1:4" x14ac:dyDescent="0.25">
      <c r="A4599" t="str">
        <f>T("   TG")</f>
        <v xml:space="preserve">   TG</v>
      </c>
      <c r="B4599" t="str">
        <f>T("   Togo")</f>
        <v xml:space="preserve">   Togo</v>
      </c>
      <c r="C4599">
        <v>74637143</v>
      </c>
      <c r="D4599">
        <v>375240</v>
      </c>
    </row>
    <row r="4600" spans="1:4" x14ac:dyDescent="0.25">
      <c r="A4600" t="str">
        <f>T("   TH")</f>
        <v xml:space="preserve">   TH</v>
      </c>
      <c r="B4600" t="str">
        <f>T("   Thaïlande")</f>
        <v xml:space="preserve">   Thaïlande</v>
      </c>
      <c r="C4600">
        <v>100000</v>
      </c>
      <c r="D4600">
        <v>2297</v>
      </c>
    </row>
    <row r="4601" spans="1:4" x14ac:dyDescent="0.25">
      <c r="A4601" t="str">
        <f>T("   US")</f>
        <v xml:space="preserve">   US</v>
      </c>
      <c r="B4601" t="str">
        <f>T("   Etats-Unis")</f>
        <v xml:space="preserve">   Etats-Unis</v>
      </c>
      <c r="C4601">
        <v>43694</v>
      </c>
      <c r="D4601">
        <v>4</v>
      </c>
    </row>
    <row r="4602" spans="1:4" x14ac:dyDescent="0.25">
      <c r="A4602" t="str">
        <f>T("392329")</f>
        <v>392329</v>
      </c>
      <c r="B4602" t="str">
        <f>T("Sacs, sachets, pochettes et cornets, en matières plastiques (autres que les polymères de l'éthylène)")</f>
        <v>Sacs, sachets, pochettes et cornets, en matières plastiques (autres que les polymères de l'éthylène)</v>
      </c>
    </row>
    <row r="4603" spans="1:4" x14ac:dyDescent="0.25">
      <c r="A4603" t="str">
        <f>T("   ZZZ_Monde")</f>
        <v xml:space="preserve">   ZZZ_Monde</v>
      </c>
      <c r="B4603" t="str">
        <f>T("   ZZZ_Monde")</f>
        <v xml:space="preserve">   ZZZ_Monde</v>
      </c>
      <c r="C4603">
        <v>1800028951</v>
      </c>
      <c r="D4603">
        <v>8238994.2999999998</v>
      </c>
    </row>
    <row r="4604" spans="1:4" x14ac:dyDescent="0.25">
      <c r="A4604" t="str">
        <f>T("   AE")</f>
        <v xml:space="preserve">   AE</v>
      </c>
      <c r="B4604" t="str">
        <f>T("   Emirats Arabes Unis")</f>
        <v xml:space="preserve">   Emirats Arabes Unis</v>
      </c>
      <c r="C4604">
        <v>263109</v>
      </c>
      <c r="D4604">
        <v>226</v>
      </c>
    </row>
    <row r="4605" spans="1:4" x14ac:dyDescent="0.25">
      <c r="A4605" t="str">
        <f>T("   AF")</f>
        <v xml:space="preserve">   AF</v>
      </c>
      <c r="B4605" t="str">
        <f>T("   Afghanistan")</f>
        <v xml:space="preserve">   Afghanistan</v>
      </c>
      <c r="C4605">
        <v>623452</v>
      </c>
      <c r="D4605">
        <v>17</v>
      </c>
    </row>
    <row r="4606" spans="1:4" x14ac:dyDescent="0.25">
      <c r="A4606" t="str">
        <f>T("   BG")</f>
        <v xml:space="preserve">   BG</v>
      </c>
      <c r="B4606" t="str">
        <f>T("   Bulgarie")</f>
        <v xml:space="preserve">   Bulgarie</v>
      </c>
      <c r="C4606">
        <v>4375</v>
      </c>
      <c r="D4606">
        <v>4</v>
      </c>
    </row>
    <row r="4607" spans="1:4" x14ac:dyDescent="0.25">
      <c r="A4607" t="str">
        <f>T("   CH")</f>
        <v xml:space="preserve">   CH</v>
      </c>
      <c r="B4607" t="str">
        <f>T("   Suisse")</f>
        <v xml:space="preserve">   Suisse</v>
      </c>
      <c r="C4607">
        <v>197680</v>
      </c>
      <c r="D4607">
        <v>14</v>
      </c>
    </row>
    <row r="4608" spans="1:4" x14ac:dyDescent="0.25">
      <c r="A4608" t="str">
        <f>T("   CI")</f>
        <v xml:space="preserve">   CI</v>
      </c>
      <c r="B4608" t="str">
        <f>T("   Côte d'Ivoire")</f>
        <v xml:space="preserve">   Côte d'Ivoire</v>
      </c>
      <c r="C4608">
        <v>61401231</v>
      </c>
      <c r="D4608">
        <v>37442</v>
      </c>
    </row>
    <row r="4609" spans="1:4" x14ac:dyDescent="0.25">
      <c r="A4609" t="str">
        <f>T("   CN")</f>
        <v xml:space="preserve">   CN</v>
      </c>
      <c r="B4609" t="str">
        <f>T("   Chine")</f>
        <v xml:space="preserve">   Chine</v>
      </c>
      <c r="C4609">
        <v>235511159</v>
      </c>
      <c r="D4609">
        <v>504782</v>
      </c>
    </row>
    <row r="4610" spans="1:4" x14ac:dyDescent="0.25">
      <c r="A4610" t="str">
        <f>T("   CY")</f>
        <v xml:space="preserve">   CY</v>
      </c>
      <c r="B4610" t="str">
        <f>T("   Chypre")</f>
        <v xml:space="preserve">   Chypre</v>
      </c>
      <c r="C4610">
        <v>299866</v>
      </c>
      <c r="D4610">
        <v>20</v>
      </c>
    </row>
    <row r="4611" spans="1:4" x14ac:dyDescent="0.25">
      <c r="A4611" t="str">
        <f>T("   DZ")</f>
        <v xml:space="preserve">   DZ</v>
      </c>
      <c r="B4611" t="str">
        <f>T("   Algérie")</f>
        <v xml:space="preserve">   Algérie</v>
      </c>
      <c r="C4611">
        <v>65596</v>
      </c>
      <c r="D4611">
        <v>72</v>
      </c>
    </row>
    <row r="4612" spans="1:4" x14ac:dyDescent="0.25">
      <c r="A4612" t="str">
        <f>T("   ES")</f>
        <v xml:space="preserve">   ES</v>
      </c>
      <c r="B4612" t="str">
        <f>T("   Espagne")</f>
        <v xml:space="preserve">   Espagne</v>
      </c>
      <c r="C4612">
        <v>35396</v>
      </c>
      <c r="D4612">
        <v>3064</v>
      </c>
    </row>
    <row r="4613" spans="1:4" x14ac:dyDescent="0.25">
      <c r="A4613" t="str">
        <f>T("   FR")</f>
        <v xml:space="preserve">   FR</v>
      </c>
      <c r="B4613" t="str">
        <f>T("   France")</f>
        <v xml:space="preserve">   France</v>
      </c>
      <c r="C4613">
        <v>16265447</v>
      </c>
      <c r="D4613">
        <v>28394</v>
      </c>
    </row>
    <row r="4614" spans="1:4" x14ac:dyDescent="0.25">
      <c r="A4614" t="str">
        <f>T("   GB")</f>
        <v xml:space="preserve">   GB</v>
      </c>
      <c r="B4614" t="str">
        <f>T("   Royaume-Uni")</f>
        <v xml:space="preserve">   Royaume-Uni</v>
      </c>
      <c r="C4614">
        <v>39358</v>
      </c>
      <c r="D4614">
        <v>1</v>
      </c>
    </row>
    <row r="4615" spans="1:4" x14ac:dyDescent="0.25">
      <c r="A4615" t="str">
        <f>T("   GH")</f>
        <v xml:space="preserve">   GH</v>
      </c>
      <c r="B4615" t="str">
        <f>T("   Ghana")</f>
        <v xml:space="preserve">   Ghana</v>
      </c>
      <c r="C4615">
        <v>176254953</v>
      </c>
      <c r="D4615">
        <v>374504.6</v>
      </c>
    </row>
    <row r="4616" spans="1:4" x14ac:dyDescent="0.25">
      <c r="A4616" t="str">
        <f>T("   HK")</f>
        <v xml:space="preserve">   HK</v>
      </c>
      <c r="B4616" t="str">
        <f>T("   Hong-Kong")</f>
        <v xml:space="preserve">   Hong-Kong</v>
      </c>
      <c r="C4616">
        <v>618</v>
      </c>
      <c r="D4616">
        <v>6</v>
      </c>
    </row>
    <row r="4617" spans="1:4" x14ac:dyDescent="0.25">
      <c r="A4617" t="str">
        <f>T("   IN")</f>
        <v xml:space="preserve">   IN</v>
      </c>
      <c r="B4617" t="str">
        <f>T("   Inde")</f>
        <v xml:space="preserve">   Inde</v>
      </c>
      <c r="C4617">
        <v>969205</v>
      </c>
      <c r="D4617">
        <v>3359</v>
      </c>
    </row>
    <row r="4618" spans="1:4" x14ac:dyDescent="0.25">
      <c r="A4618" t="str">
        <f>T("   MY")</f>
        <v xml:space="preserve">   MY</v>
      </c>
      <c r="B4618" t="str">
        <f>T("   Malaisie")</f>
        <v xml:space="preserve">   Malaisie</v>
      </c>
      <c r="C4618">
        <v>4703520</v>
      </c>
      <c r="D4618">
        <v>14385</v>
      </c>
    </row>
    <row r="4619" spans="1:4" x14ac:dyDescent="0.25">
      <c r="A4619" t="str">
        <f>T("   NG")</f>
        <v xml:space="preserve">   NG</v>
      </c>
      <c r="B4619" t="str">
        <f>T("   Nigéria")</f>
        <v xml:space="preserve">   Nigéria</v>
      </c>
      <c r="C4619">
        <v>15332800</v>
      </c>
      <c r="D4619">
        <v>76667</v>
      </c>
    </row>
    <row r="4620" spans="1:4" x14ac:dyDescent="0.25">
      <c r="A4620" t="str">
        <f>T("   NL")</f>
        <v xml:space="preserve">   NL</v>
      </c>
      <c r="B4620" t="str">
        <f>T("   Pays-bas")</f>
        <v xml:space="preserve">   Pays-bas</v>
      </c>
      <c r="C4620">
        <v>10637620</v>
      </c>
      <c r="D4620">
        <v>4469</v>
      </c>
    </row>
    <row r="4621" spans="1:4" x14ac:dyDescent="0.25">
      <c r="A4621" t="str">
        <f>T("   PK")</f>
        <v xml:space="preserve">   PK</v>
      </c>
      <c r="B4621" t="str">
        <f>T("   Pakistan")</f>
        <v xml:space="preserve">   Pakistan</v>
      </c>
      <c r="C4621">
        <v>479</v>
      </c>
      <c r="D4621">
        <v>50</v>
      </c>
    </row>
    <row r="4622" spans="1:4" x14ac:dyDescent="0.25">
      <c r="A4622" t="str">
        <f>T("   SN")</f>
        <v xml:space="preserve">   SN</v>
      </c>
      <c r="B4622" t="str">
        <f>T("   Sénégal")</f>
        <v xml:space="preserve">   Sénégal</v>
      </c>
      <c r="C4622">
        <v>15916</v>
      </c>
      <c r="D4622">
        <v>30</v>
      </c>
    </row>
    <row r="4623" spans="1:4" x14ac:dyDescent="0.25">
      <c r="A4623" t="str">
        <f>T("   TG")</f>
        <v xml:space="preserve">   TG</v>
      </c>
      <c r="B4623" t="str">
        <f>T("   Togo")</f>
        <v xml:space="preserve">   Togo</v>
      </c>
      <c r="C4623">
        <v>1276125416</v>
      </c>
      <c r="D4623">
        <v>7190439.2000000002</v>
      </c>
    </row>
    <row r="4624" spans="1:4" x14ac:dyDescent="0.25">
      <c r="A4624" t="str">
        <f>T("   TH")</f>
        <v xml:space="preserve">   TH</v>
      </c>
      <c r="B4624" t="str">
        <f>T("   Thaïlande")</f>
        <v xml:space="preserve">   Thaïlande</v>
      </c>
      <c r="C4624">
        <v>52528</v>
      </c>
      <c r="D4624">
        <v>710</v>
      </c>
    </row>
    <row r="4625" spans="1:4" x14ac:dyDescent="0.25">
      <c r="A4625" t="str">
        <f>T("   TR")</f>
        <v xml:space="preserve">   TR</v>
      </c>
      <c r="B4625" t="str">
        <f>T("   Turquie")</f>
        <v xml:space="preserve">   Turquie</v>
      </c>
      <c r="C4625">
        <v>1229227</v>
      </c>
      <c r="D4625">
        <v>338.5</v>
      </c>
    </row>
    <row r="4626" spans="1:4" x14ac:dyDescent="0.25">
      <c r="A4626" t="str">
        <f>T("392330")</f>
        <v>392330</v>
      </c>
      <c r="B4626" t="str">
        <f>T("Bonbonnes, bouteilles, flacons et articles simil. pour le transport ou l'emballage, en matières plastiques")</f>
        <v>Bonbonnes, bouteilles, flacons et articles simil. pour le transport ou l'emballage, en matières plastiques</v>
      </c>
    </row>
    <row r="4627" spans="1:4" x14ac:dyDescent="0.25">
      <c r="A4627" t="str">
        <f>T("   ZZZ_Monde")</f>
        <v xml:space="preserve">   ZZZ_Monde</v>
      </c>
      <c r="B4627" t="str">
        <f>T("   ZZZ_Monde")</f>
        <v xml:space="preserve">   ZZZ_Monde</v>
      </c>
      <c r="C4627">
        <v>773020357</v>
      </c>
      <c r="D4627">
        <v>535259</v>
      </c>
    </row>
    <row r="4628" spans="1:4" x14ac:dyDescent="0.25">
      <c r="A4628" t="str">
        <f>T("   BE")</f>
        <v xml:space="preserve">   BE</v>
      </c>
      <c r="B4628" t="str">
        <f>T("   Belgique")</f>
        <v xml:space="preserve">   Belgique</v>
      </c>
      <c r="C4628">
        <v>1088238</v>
      </c>
      <c r="D4628">
        <v>220</v>
      </c>
    </row>
    <row r="4629" spans="1:4" x14ac:dyDescent="0.25">
      <c r="A4629" t="str">
        <f>T("   CI")</f>
        <v xml:space="preserve">   CI</v>
      </c>
      <c r="B4629" t="str">
        <f>T("   Côte d'Ivoire")</f>
        <v xml:space="preserve">   Côte d'Ivoire</v>
      </c>
      <c r="C4629">
        <v>178337078</v>
      </c>
      <c r="D4629">
        <v>120215</v>
      </c>
    </row>
    <row r="4630" spans="1:4" x14ac:dyDescent="0.25">
      <c r="A4630" t="str">
        <f>T("   CN")</f>
        <v xml:space="preserve">   CN</v>
      </c>
      <c r="B4630" t="str">
        <f>T("   Chine")</f>
        <v xml:space="preserve">   Chine</v>
      </c>
      <c r="C4630">
        <v>9371572</v>
      </c>
      <c r="D4630">
        <v>10791</v>
      </c>
    </row>
    <row r="4631" spans="1:4" x14ac:dyDescent="0.25">
      <c r="A4631" t="str">
        <f>T("   FR")</f>
        <v xml:space="preserve">   FR</v>
      </c>
      <c r="B4631" t="str">
        <f>T("   France")</f>
        <v xml:space="preserve">   France</v>
      </c>
      <c r="C4631">
        <v>398909415</v>
      </c>
      <c r="D4631">
        <v>279102</v>
      </c>
    </row>
    <row r="4632" spans="1:4" x14ac:dyDescent="0.25">
      <c r="A4632" t="str">
        <f>T("   IT")</f>
        <v xml:space="preserve">   IT</v>
      </c>
      <c r="B4632" t="str">
        <f>T("   Italie")</f>
        <v xml:space="preserve">   Italie</v>
      </c>
      <c r="C4632">
        <v>36505485</v>
      </c>
      <c r="D4632">
        <v>16781</v>
      </c>
    </row>
    <row r="4633" spans="1:4" x14ac:dyDescent="0.25">
      <c r="A4633" t="str">
        <f>T("   LB")</f>
        <v xml:space="preserve">   LB</v>
      </c>
      <c r="B4633" t="str">
        <f>T("   Liban")</f>
        <v xml:space="preserve">   Liban</v>
      </c>
      <c r="C4633">
        <v>37300</v>
      </c>
      <c r="D4633">
        <v>10</v>
      </c>
    </row>
    <row r="4634" spans="1:4" x14ac:dyDescent="0.25">
      <c r="A4634" t="str">
        <f>T("   NG")</f>
        <v xml:space="preserve">   NG</v>
      </c>
      <c r="B4634" t="str">
        <f>T("   Nigéria")</f>
        <v xml:space="preserve">   Nigéria</v>
      </c>
      <c r="C4634">
        <v>3716310</v>
      </c>
      <c r="D4634">
        <v>6555</v>
      </c>
    </row>
    <row r="4635" spans="1:4" x14ac:dyDescent="0.25">
      <c r="A4635" t="str">
        <f>T("   NL")</f>
        <v xml:space="preserve">   NL</v>
      </c>
      <c r="B4635" t="str">
        <f>T("   Pays-bas")</f>
        <v xml:space="preserve">   Pays-bas</v>
      </c>
      <c r="C4635">
        <v>4895771</v>
      </c>
      <c r="D4635">
        <v>9667</v>
      </c>
    </row>
    <row r="4636" spans="1:4" x14ac:dyDescent="0.25">
      <c r="A4636" t="str">
        <f>T("   TG")</f>
        <v xml:space="preserve">   TG</v>
      </c>
      <c r="B4636" t="str">
        <f>T("   Togo")</f>
        <v xml:space="preserve">   Togo</v>
      </c>
      <c r="C4636">
        <v>140009188</v>
      </c>
      <c r="D4636">
        <v>91747</v>
      </c>
    </row>
    <row r="4637" spans="1:4" x14ac:dyDescent="0.25">
      <c r="A4637" t="str">
        <f>T("   US")</f>
        <v xml:space="preserve">   US</v>
      </c>
      <c r="B4637" t="str">
        <f>T("   Etats-Unis")</f>
        <v xml:space="preserve">   Etats-Unis</v>
      </c>
      <c r="C4637">
        <v>150000</v>
      </c>
      <c r="D4637">
        <v>171</v>
      </c>
    </row>
    <row r="4638" spans="1:4" x14ac:dyDescent="0.25">
      <c r="A4638" t="str">
        <f>T("392340")</f>
        <v>392340</v>
      </c>
      <c r="B4638" t="str">
        <f>T("Bobines, fusettes, canettes et supports simil., en matières plastiques")</f>
        <v>Bobines, fusettes, canettes et supports simil., en matières plastiques</v>
      </c>
    </row>
    <row r="4639" spans="1:4" x14ac:dyDescent="0.25">
      <c r="A4639" t="str">
        <f>T("   ZZZ_Monde")</f>
        <v xml:space="preserve">   ZZZ_Monde</v>
      </c>
      <c r="B4639" t="str">
        <f>T("   ZZZ_Monde")</f>
        <v xml:space="preserve">   ZZZ_Monde</v>
      </c>
      <c r="C4639">
        <v>5189970</v>
      </c>
      <c r="D4639">
        <v>4920</v>
      </c>
    </row>
    <row r="4640" spans="1:4" x14ac:dyDescent="0.25">
      <c r="A4640" t="str">
        <f>T("   CN")</f>
        <v xml:space="preserve">   CN</v>
      </c>
      <c r="B4640" t="str">
        <f>T("   Chine")</f>
        <v xml:space="preserve">   Chine</v>
      </c>
      <c r="C4640">
        <v>4971386</v>
      </c>
      <c r="D4640">
        <v>4820</v>
      </c>
    </row>
    <row r="4641" spans="1:4" x14ac:dyDescent="0.25">
      <c r="A4641" t="str">
        <f>T("   TR")</f>
        <v xml:space="preserve">   TR</v>
      </c>
      <c r="B4641" t="str">
        <f>T("   Turquie")</f>
        <v xml:space="preserve">   Turquie</v>
      </c>
      <c r="C4641">
        <v>218584</v>
      </c>
      <c r="D4641">
        <v>100</v>
      </c>
    </row>
    <row r="4642" spans="1:4" x14ac:dyDescent="0.25">
      <c r="A4642" t="str">
        <f>T("392350")</f>
        <v>392350</v>
      </c>
      <c r="B4642" t="str">
        <f>T("Bouchons, couvercles, capsules et autres dispositifs de fermeture, en matières plastiques")</f>
        <v>Bouchons, couvercles, capsules et autres dispositifs de fermeture, en matières plastiques</v>
      </c>
    </row>
    <row r="4643" spans="1:4" x14ac:dyDescent="0.25">
      <c r="A4643" t="str">
        <f>T("   ZZZ_Monde")</f>
        <v xml:space="preserve">   ZZZ_Monde</v>
      </c>
      <c r="B4643" t="str">
        <f>T("   ZZZ_Monde")</f>
        <v xml:space="preserve">   ZZZ_Monde</v>
      </c>
      <c r="C4643">
        <v>309017366</v>
      </c>
      <c r="D4643">
        <v>156272.4</v>
      </c>
    </row>
    <row r="4644" spans="1:4" x14ac:dyDescent="0.25">
      <c r="A4644" t="str">
        <f>T("   AU")</f>
        <v xml:space="preserve">   AU</v>
      </c>
      <c r="B4644" t="str">
        <f>T("   Australie")</f>
        <v xml:space="preserve">   Australie</v>
      </c>
      <c r="C4644">
        <v>3607800</v>
      </c>
      <c r="D4644">
        <v>7175</v>
      </c>
    </row>
    <row r="4645" spans="1:4" x14ac:dyDescent="0.25">
      <c r="A4645" t="str">
        <f>T("   BE")</f>
        <v xml:space="preserve">   BE</v>
      </c>
      <c r="B4645" t="str">
        <f>T("   Belgique")</f>
        <v xml:space="preserve">   Belgique</v>
      </c>
      <c r="C4645">
        <v>2713843</v>
      </c>
      <c r="D4645">
        <v>12463</v>
      </c>
    </row>
    <row r="4646" spans="1:4" x14ac:dyDescent="0.25">
      <c r="A4646" t="str">
        <f>T("   CH")</f>
        <v xml:space="preserve">   CH</v>
      </c>
      <c r="B4646" t="str">
        <f>T("   Suisse")</f>
        <v xml:space="preserve">   Suisse</v>
      </c>
      <c r="C4646">
        <v>9028922</v>
      </c>
      <c r="D4646">
        <v>425</v>
      </c>
    </row>
    <row r="4647" spans="1:4" x14ac:dyDescent="0.25">
      <c r="A4647" t="str">
        <f>T("   CN")</f>
        <v xml:space="preserve">   CN</v>
      </c>
      <c r="B4647" t="str">
        <f>T("   Chine")</f>
        <v xml:space="preserve">   Chine</v>
      </c>
      <c r="C4647">
        <v>1671330</v>
      </c>
      <c r="D4647">
        <v>8457</v>
      </c>
    </row>
    <row r="4648" spans="1:4" x14ac:dyDescent="0.25">
      <c r="A4648" t="str">
        <f>T("   ES")</f>
        <v xml:space="preserve">   ES</v>
      </c>
      <c r="B4648" t="str">
        <f>T("   Espagne")</f>
        <v xml:space="preserve">   Espagne</v>
      </c>
      <c r="C4648">
        <v>191065449</v>
      </c>
      <c r="D4648">
        <v>83378</v>
      </c>
    </row>
    <row r="4649" spans="1:4" x14ac:dyDescent="0.25">
      <c r="A4649" t="str">
        <f>T("   FR")</f>
        <v xml:space="preserve">   FR</v>
      </c>
      <c r="B4649" t="str">
        <f>T("   France")</f>
        <v xml:space="preserve">   France</v>
      </c>
      <c r="C4649">
        <v>47444894</v>
      </c>
      <c r="D4649">
        <v>17813</v>
      </c>
    </row>
    <row r="4650" spans="1:4" x14ac:dyDescent="0.25">
      <c r="A4650" t="str">
        <f>T("   IN")</f>
        <v xml:space="preserve">   IN</v>
      </c>
      <c r="B4650" t="str">
        <f>T("   Inde")</f>
        <v xml:space="preserve">   Inde</v>
      </c>
      <c r="C4650">
        <v>1065712</v>
      </c>
      <c r="D4650">
        <v>890</v>
      </c>
    </row>
    <row r="4651" spans="1:4" x14ac:dyDescent="0.25">
      <c r="A4651" t="str">
        <f>T("   IT")</f>
        <v xml:space="preserve">   IT</v>
      </c>
      <c r="B4651" t="str">
        <f>T("   Italie")</f>
        <v xml:space="preserve">   Italie</v>
      </c>
      <c r="C4651">
        <v>3676000</v>
      </c>
      <c r="D4651">
        <v>1665</v>
      </c>
    </row>
    <row r="4652" spans="1:4" x14ac:dyDescent="0.25">
      <c r="A4652" t="str">
        <f>T("   LB")</f>
        <v xml:space="preserve">   LB</v>
      </c>
      <c r="B4652" t="str">
        <f>T("   Liban")</f>
        <v xml:space="preserve">   Liban</v>
      </c>
      <c r="C4652">
        <v>999004</v>
      </c>
      <c r="D4652">
        <v>336</v>
      </c>
    </row>
    <row r="4653" spans="1:4" x14ac:dyDescent="0.25">
      <c r="A4653" t="str">
        <f>T("   SG")</f>
        <v xml:space="preserve">   SG</v>
      </c>
      <c r="B4653" t="str">
        <f>T("   Singapour")</f>
        <v xml:space="preserve">   Singapour</v>
      </c>
      <c r="C4653">
        <v>49806</v>
      </c>
      <c r="D4653">
        <v>23</v>
      </c>
    </row>
    <row r="4654" spans="1:4" x14ac:dyDescent="0.25">
      <c r="A4654" t="str">
        <f>T("   SN")</f>
        <v xml:space="preserve">   SN</v>
      </c>
      <c r="B4654" t="str">
        <f>T("   Sénégal")</f>
        <v xml:space="preserve">   Sénégal</v>
      </c>
      <c r="C4654">
        <v>13230345</v>
      </c>
      <c r="D4654">
        <v>1537</v>
      </c>
    </row>
    <row r="4655" spans="1:4" x14ac:dyDescent="0.25">
      <c r="A4655" t="str">
        <f>T("   TR")</f>
        <v xml:space="preserve">   TR</v>
      </c>
      <c r="B4655" t="str">
        <f>T("   Turquie")</f>
        <v xml:space="preserve">   Turquie</v>
      </c>
      <c r="C4655">
        <v>34450777</v>
      </c>
      <c r="D4655">
        <v>22097</v>
      </c>
    </row>
    <row r="4656" spans="1:4" x14ac:dyDescent="0.25">
      <c r="A4656" t="str">
        <f>T("   ZA")</f>
        <v xml:space="preserve">   ZA</v>
      </c>
      <c r="B4656" t="str">
        <f>T("   Afrique du Sud")</f>
        <v xml:space="preserve">   Afrique du Sud</v>
      </c>
      <c r="C4656">
        <v>13484</v>
      </c>
      <c r="D4656">
        <v>13.4</v>
      </c>
    </row>
    <row r="4657" spans="1:4" x14ac:dyDescent="0.25">
      <c r="A4657" t="str">
        <f>T("392390")</f>
        <v>392390</v>
      </c>
      <c r="B4657" t="str">
        <f>T("Articles de transport ou d'emballage, en matières plastiques (à l'excl. des boîtes, caisses, casiers et articles simil., des sacs, sachets, pochettes et cornets, des bonbonnes, bouteilles, flacons et articles simil., des bobines, fusettes, canettes et sup")</f>
        <v>Articles de transport ou d'emballage, en matières plastiques (à l'excl. des boîtes, caisses, casiers et articles simil., des sacs, sachets, pochettes et cornets, des bonbonnes, bouteilles, flacons et articles simil., des bobines, fusettes, canettes et sup</v>
      </c>
    </row>
    <row r="4658" spans="1:4" x14ac:dyDescent="0.25">
      <c r="A4658" t="str">
        <f>T("   ZZZ_Monde")</f>
        <v xml:space="preserve">   ZZZ_Monde</v>
      </c>
      <c r="B4658" t="str">
        <f>T("   ZZZ_Monde")</f>
        <v xml:space="preserve">   ZZZ_Monde</v>
      </c>
      <c r="C4658">
        <v>1080566904</v>
      </c>
      <c r="D4658">
        <v>847519.54</v>
      </c>
    </row>
    <row r="4659" spans="1:4" x14ac:dyDescent="0.25">
      <c r="A4659" t="str">
        <f>T("   BE")</f>
        <v xml:space="preserve">   BE</v>
      </c>
      <c r="B4659" t="str">
        <f>T("   Belgique")</f>
        <v xml:space="preserve">   Belgique</v>
      </c>
      <c r="C4659">
        <v>17244269</v>
      </c>
      <c r="D4659">
        <v>6350</v>
      </c>
    </row>
    <row r="4660" spans="1:4" x14ac:dyDescent="0.25">
      <c r="A4660" t="str">
        <f>T("   CN")</f>
        <v xml:space="preserve">   CN</v>
      </c>
      <c r="B4660" t="str">
        <f>T("   Chine")</f>
        <v xml:space="preserve">   Chine</v>
      </c>
      <c r="C4660">
        <v>136278445</v>
      </c>
      <c r="D4660">
        <v>118158</v>
      </c>
    </row>
    <row r="4661" spans="1:4" x14ac:dyDescent="0.25">
      <c r="A4661" t="str">
        <f>T("   FR")</f>
        <v xml:space="preserve">   FR</v>
      </c>
      <c r="B4661" t="str">
        <f>T("   France")</f>
        <v xml:space="preserve">   France</v>
      </c>
      <c r="C4661">
        <v>866067646</v>
      </c>
      <c r="D4661">
        <v>604843</v>
      </c>
    </row>
    <row r="4662" spans="1:4" x14ac:dyDescent="0.25">
      <c r="A4662" t="str">
        <f>T("   GH")</f>
        <v xml:space="preserve">   GH</v>
      </c>
      <c r="B4662" t="str">
        <f>T("   Ghana")</f>
        <v xml:space="preserve">   Ghana</v>
      </c>
      <c r="C4662">
        <v>1070000</v>
      </c>
      <c r="D4662">
        <v>9570</v>
      </c>
    </row>
    <row r="4663" spans="1:4" x14ac:dyDescent="0.25">
      <c r="A4663" t="str">
        <f>T("   MX")</f>
        <v xml:space="preserve">   MX</v>
      </c>
      <c r="B4663" t="str">
        <f>T("   Mexique")</f>
        <v xml:space="preserve">   Mexique</v>
      </c>
      <c r="C4663">
        <v>36426770</v>
      </c>
      <c r="D4663">
        <v>16514</v>
      </c>
    </row>
    <row r="4664" spans="1:4" x14ac:dyDescent="0.25">
      <c r="A4664" t="str">
        <f>T("   NL")</f>
        <v xml:space="preserve">   NL</v>
      </c>
      <c r="B4664" t="str">
        <f>T("   Pays-bas")</f>
        <v xml:space="preserve">   Pays-bas</v>
      </c>
      <c r="C4664">
        <v>16589</v>
      </c>
      <c r="D4664">
        <v>6</v>
      </c>
    </row>
    <row r="4665" spans="1:4" x14ac:dyDescent="0.25">
      <c r="A4665" t="str">
        <f>T("   SY")</f>
        <v xml:space="preserve">   SY</v>
      </c>
      <c r="B4665" t="str">
        <f>T("   Syrienne, République arabe")</f>
        <v xml:space="preserve">   Syrienne, République arabe</v>
      </c>
      <c r="C4665">
        <v>3103312</v>
      </c>
      <c r="D4665">
        <v>11000</v>
      </c>
    </row>
    <row r="4666" spans="1:4" x14ac:dyDescent="0.25">
      <c r="A4666" t="str">
        <f>T("   TG")</f>
        <v xml:space="preserve">   TG</v>
      </c>
      <c r="B4666" t="str">
        <f>T("   Togo")</f>
        <v xml:space="preserve">   Togo</v>
      </c>
      <c r="C4666">
        <v>8975872</v>
      </c>
      <c r="D4666">
        <v>73660</v>
      </c>
    </row>
    <row r="4667" spans="1:4" x14ac:dyDescent="0.25">
      <c r="A4667" t="str">
        <f>T("   TH")</f>
        <v xml:space="preserve">   TH</v>
      </c>
      <c r="B4667" t="str">
        <f>T("   Thaïlande")</f>
        <v xml:space="preserve">   Thaïlande</v>
      </c>
      <c r="C4667">
        <v>514420</v>
      </c>
      <c r="D4667">
        <v>567</v>
      </c>
    </row>
    <row r="4668" spans="1:4" x14ac:dyDescent="0.25">
      <c r="A4668" t="str">
        <f>T("   TW")</f>
        <v xml:space="preserve">   TW</v>
      </c>
      <c r="B4668" t="str">
        <f>T("   Taïwan, Province de Chine")</f>
        <v xml:space="preserve">   Taïwan, Province de Chine</v>
      </c>
      <c r="C4668">
        <v>10535826</v>
      </c>
      <c r="D4668">
        <v>6647</v>
      </c>
    </row>
    <row r="4669" spans="1:4" x14ac:dyDescent="0.25">
      <c r="A4669" t="str">
        <f>T("   ZA")</f>
        <v xml:space="preserve">   ZA</v>
      </c>
      <c r="B4669" t="str">
        <f>T("   Afrique du Sud")</f>
        <v xml:space="preserve">   Afrique du Sud</v>
      </c>
      <c r="C4669">
        <v>333755</v>
      </c>
      <c r="D4669">
        <v>204.54</v>
      </c>
    </row>
    <row r="4670" spans="1:4" x14ac:dyDescent="0.25">
      <c r="A4670" t="str">
        <f>T("392410")</f>
        <v>392410</v>
      </c>
      <c r="B4670" t="str">
        <f>T("Vaisselle et autres articles pour le service de la table ou de la cuisine, en matières plastiques")</f>
        <v>Vaisselle et autres articles pour le service de la table ou de la cuisine, en matières plastiques</v>
      </c>
    </row>
    <row r="4671" spans="1:4" x14ac:dyDescent="0.25">
      <c r="A4671" t="str">
        <f>T("   ZZZ_Monde")</f>
        <v xml:space="preserve">   ZZZ_Monde</v>
      </c>
      <c r="B4671" t="str">
        <f>T("   ZZZ_Monde")</f>
        <v xml:space="preserve">   ZZZ_Monde</v>
      </c>
      <c r="C4671">
        <v>1262493257</v>
      </c>
      <c r="D4671">
        <v>3702835.19</v>
      </c>
    </row>
    <row r="4672" spans="1:4" x14ac:dyDescent="0.25">
      <c r="A4672" t="str">
        <f>T("   AE")</f>
        <v xml:space="preserve">   AE</v>
      </c>
      <c r="B4672" t="str">
        <f>T("   Emirats Arabes Unis")</f>
        <v xml:space="preserve">   Emirats Arabes Unis</v>
      </c>
      <c r="C4672">
        <v>8247256</v>
      </c>
      <c r="D4672">
        <v>8992</v>
      </c>
    </row>
    <row r="4673" spans="1:4" x14ac:dyDescent="0.25">
      <c r="A4673" t="str">
        <f>T("   BE")</f>
        <v xml:space="preserve">   BE</v>
      </c>
      <c r="B4673" t="str">
        <f>T("   Belgique")</f>
        <v xml:space="preserve">   Belgique</v>
      </c>
      <c r="C4673">
        <v>2110880</v>
      </c>
      <c r="D4673">
        <v>388</v>
      </c>
    </row>
    <row r="4674" spans="1:4" x14ac:dyDescent="0.25">
      <c r="A4674" t="str">
        <f>T("   BR")</f>
        <v xml:space="preserve">   BR</v>
      </c>
      <c r="B4674" t="str">
        <f>T("   Brésil")</f>
        <v xml:space="preserve">   Brésil</v>
      </c>
      <c r="C4674">
        <v>409063</v>
      </c>
      <c r="D4674">
        <v>61.19</v>
      </c>
    </row>
    <row r="4675" spans="1:4" x14ac:dyDescent="0.25">
      <c r="A4675" t="str">
        <f>T("   CI")</f>
        <v xml:space="preserve">   CI</v>
      </c>
      <c r="B4675" t="str">
        <f>T("   Côte d'Ivoire")</f>
        <v xml:space="preserve">   Côte d'Ivoire</v>
      </c>
      <c r="C4675">
        <v>2437474</v>
      </c>
      <c r="D4675">
        <v>765</v>
      </c>
    </row>
    <row r="4676" spans="1:4" x14ac:dyDescent="0.25">
      <c r="A4676" t="str">
        <f>T("   CN")</f>
        <v xml:space="preserve">   CN</v>
      </c>
      <c r="B4676" t="str">
        <f>T("   Chine")</f>
        <v xml:space="preserve">   Chine</v>
      </c>
      <c r="C4676">
        <v>1096799091</v>
      </c>
      <c r="D4676">
        <v>3505809</v>
      </c>
    </row>
    <row r="4677" spans="1:4" x14ac:dyDescent="0.25">
      <c r="A4677" t="str">
        <f>T("   ES")</f>
        <v xml:space="preserve">   ES</v>
      </c>
      <c r="B4677" t="str">
        <f>T("   Espagne")</f>
        <v xml:space="preserve">   Espagne</v>
      </c>
      <c r="C4677">
        <v>2207961</v>
      </c>
      <c r="D4677">
        <v>1381</v>
      </c>
    </row>
    <row r="4678" spans="1:4" x14ac:dyDescent="0.25">
      <c r="A4678" t="str">
        <f>T("   FR")</f>
        <v xml:space="preserve">   FR</v>
      </c>
      <c r="B4678" t="str">
        <f>T("   France")</f>
        <v xml:space="preserve">   France</v>
      </c>
      <c r="C4678">
        <v>47742279</v>
      </c>
      <c r="D4678">
        <v>16711</v>
      </c>
    </row>
    <row r="4679" spans="1:4" x14ac:dyDescent="0.25">
      <c r="A4679" t="str">
        <f>T("   GB")</f>
        <v xml:space="preserve">   GB</v>
      </c>
      <c r="B4679" t="str">
        <f>T("   Royaume-Uni")</f>
        <v xml:space="preserve">   Royaume-Uni</v>
      </c>
      <c r="C4679">
        <v>676194</v>
      </c>
      <c r="D4679">
        <v>31</v>
      </c>
    </row>
    <row r="4680" spans="1:4" x14ac:dyDescent="0.25">
      <c r="A4680" t="str">
        <f>T("   GH")</f>
        <v xml:space="preserve">   GH</v>
      </c>
      <c r="B4680" t="str">
        <f>T("   Ghana")</f>
        <v xml:space="preserve">   Ghana</v>
      </c>
      <c r="C4680">
        <v>25366276</v>
      </c>
      <c r="D4680">
        <v>44578</v>
      </c>
    </row>
    <row r="4681" spans="1:4" x14ac:dyDescent="0.25">
      <c r="A4681" t="str">
        <f>T("   HK")</f>
        <v xml:space="preserve">   HK</v>
      </c>
      <c r="B4681" t="str">
        <f>T("   Hong-Kong")</f>
        <v xml:space="preserve">   Hong-Kong</v>
      </c>
      <c r="C4681">
        <v>4162685</v>
      </c>
      <c r="D4681">
        <v>4467</v>
      </c>
    </row>
    <row r="4682" spans="1:4" x14ac:dyDescent="0.25">
      <c r="A4682" t="str">
        <f>T("   IN")</f>
        <v xml:space="preserve">   IN</v>
      </c>
      <c r="B4682" t="str">
        <f>T("   Inde")</f>
        <v xml:space="preserve">   Inde</v>
      </c>
      <c r="C4682">
        <v>14318636</v>
      </c>
      <c r="D4682">
        <v>6668</v>
      </c>
    </row>
    <row r="4683" spans="1:4" x14ac:dyDescent="0.25">
      <c r="A4683" t="str">
        <f>T("   IR")</f>
        <v xml:space="preserve">   IR</v>
      </c>
      <c r="B4683" t="str">
        <f>T("   Iran, République Islqmique d'")</f>
        <v xml:space="preserve">   Iran, République Islqmique d'</v>
      </c>
      <c r="C4683">
        <v>1230817</v>
      </c>
      <c r="D4683">
        <v>1883</v>
      </c>
    </row>
    <row r="4684" spans="1:4" x14ac:dyDescent="0.25">
      <c r="A4684" t="str">
        <f>T("   IT")</f>
        <v xml:space="preserve">   IT</v>
      </c>
      <c r="B4684" t="str">
        <f>T("   Italie")</f>
        <v xml:space="preserve">   Italie</v>
      </c>
      <c r="C4684">
        <v>12545274</v>
      </c>
      <c r="D4684">
        <v>18004</v>
      </c>
    </row>
    <row r="4685" spans="1:4" x14ac:dyDescent="0.25">
      <c r="A4685" t="str">
        <f>T("   LB")</f>
        <v xml:space="preserve">   LB</v>
      </c>
      <c r="B4685" t="str">
        <f>T("   Liban")</f>
        <v xml:space="preserve">   Liban</v>
      </c>
      <c r="C4685">
        <v>4476014</v>
      </c>
      <c r="D4685">
        <v>5611</v>
      </c>
    </row>
    <row r="4686" spans="1:4" x14ac:dyDescent="0.25">
      <c r="A4686" t="str">
        <f>T("   TG")</f>
        <v xml:space="preserve">   TG</v>
      </c>
      <c r="B4686" t="str">
        <f>T("   Togo")</f>
        <v xml:space="preserve">   Togo</v>
      </c>
      <c r="C4686">
        <v>30954065</v>
      </c>
      <c r="D4686">
        <v>85624</v>
      </c>
    </row>
    <row r="4687" spans="1:4" x14ac:dyDescent="0.25">
      <c r="A4687" t="str">
        <f>T("   US")</f>
        <v xml:space="preserve">   US</v>
      </c>
      <c r="B4687" t="str">
        <f>T("   Etats-Unis")</f>
        <v xml:space="preserve">   Etats-Unis</v>
      </c>
      <c r="C4687">
        <v>8447142</v>
      </c>
      <c r="D4687">
        <v>1646</v>
      </c>
    </row>
    <row r="4688" spans="1:4" x14ac:dyDescent="0.25">
      <c r="A4688" t="str">
        <f>T("   ZA")</f>
        <v xml:space="preserve">   ZA</v>
      </c>
      <c r="B4688" t="str">
        <f>T("   Afrique du Sud")</f>
        <v xml:space="preserve">   Afrique du Sud</v>
      </c>
      <c r="C4688">
        <v>362150</v>
      </c>
      <c r="D4688">
        <v>216</v>
      </c>
    </row>
    <row r="4689" spans="1:4" x14ac:dyDescent="0.25">
      <c r="A4689" t="str">
        <f>T("392490")</f>
        <v>392490</v>
      </c>
      <c r="B4689" t="str">
        <f>T("Articles de ménage ou d'économie domestique et articles d'hygiène ou de toilette, en matières plastiques (à l'excl. de la vaisselle et des articles pour usages sanitaires ou hygiéniques tels que baignoires, douches, lavabos, bidets, réservoirs de chasse,")</f>
        <v>Articles de ménage ou d'économie domestique et articles d'hygiène ou de toilette, en matières plastiques (à l'excl. de la vaisselle et des articles pour usages sanitaires ou hygiéniques tels que baignoires, douches, lavabos, bidets, réservoirs de chasse,</v>
      </c>
    </row>
    <row r="4690" spans="1:4" x14ac:dyDescent="0.25">
      <c r="A4690" t="str">
        <f>T("   ZZZ_Monde")</f>
        <v xml:space="preserve">   ZZZ_Monde</v>
      </c>
      <c r="B4690" t="str">
        <f>T("   ZZZ_Monde")</f>
        <v xml:space="preserve">   ZZZ_Monde</v>
      </c>
      <c r="C4690">
        <v>841697250</v>
      </c>
      <c r="D4690">
        <v>1855754</v>
      </c>
    </row>
    <row r="4691" spans="1:4" x14ac:dyDescent="0.25">
      <c r="A4691" t="str">
        <f>T("   BE")</f>
        <v xml:space="preserve">   BE</v>
      </c>
      <c r="B4691" t="str">
        <f>T("   Belgique")</f>
        <v xml:space="preserve">   Belgique</v>
      </c>
      <c r="C4691">
        <v>47950930</v>
      </c>
      <c r="D4691">
        <v>75847</v>
      </c>
    </row>
    <row r="4692" spans="1:4" x14ac:dyDescent="0.25">
      <c r="A4692" t="str">
        <f>T("   CA")</f>
        <v xml:space="preserve">   CA</v>
      </c>
      <c r="B4692" t="str">
        <f>T("   Canada")</f>
        <v xml:space="preserve">   Canada</v>
      </c>
      <c r="C4692">
        <v>2131424</v>
      </c>
      <c r="D4692">
        <v>8000</v>
      </c>
    </row>
    <row r="4693" spans="1:4" x14ac:dyDescent="0.25">
      <c r="A4693" t="str">
        <f>T("   CI")</f>
        <v xml:space="preserve">   CI</v>
      </c>
      <c r="B4693" t="str">
        <f>T("   Côte d'Ivoire")</f>
        <v xml:space="preserve">   Côte d'Ivoire</v>
      </c>
      <c r="C4693">
        <v>77243047</v>
      </c>
      <c r="D4693">
        <v>47850</v>
      </c>
    </row>
    <row r="4694" spans="1:4" x14ac:dyDescent="0.25">
      <c r="A4694" t="str">
        <f>T("   CN")</f>
        <v xml:space="preserve">   CN</v>
      </c>
      <c r="B4694" t="str">
        <f>T("   Chine")</f>
        <v xml:space="preserve">   Chine</v>
      </c>
      <c r="C4694">
        <v>432808858</v>
      </c>
      <c r="D4694">
        <v>1426505</v>
      </c>
    </row>
    <row r="4695" spans="1:4" x14ac:dyDescent="0.25">
      <c r="A4695" t="str">
        <f>T("   DE")</f>
        <v xml:space="preserve">   DE</v>
      </c>
      <c r="B4695" t="str">
        <f>T("   Allemagne")</f>
        <v xml:space="preserve">   Allemagne</v>
      </c>
      <c r="C4695">
        <v>169894</v>
      </c>
      <c r="D4695">
        <v>568</v>
      </c>
    </row>
    <row r="4696" spans="1:4" x14ac:dyDescent="0.25">
      <c r="A4696" t="str">
        <f>T("   ES")</f>
        <v xml:space="preserve">   ES</v>
      </c>
      <c r="B4696" t="str">
        <f>T("   Espagne")</f>
        <v xml:space="preserve">   Espagne</v>
      </c>
      <c r="C4696">
        <v>1590629</v>
      </c>
      <c r="D4696">
        <v>2824</v>
      </c>
    </row>
    <row r="4697" spans="1:4" x14ac:dyDescent="0.25">
      <c r="A4697" t="str">
        <f>T("   FR")</f>
        <v xml:space="preserve">   FR</v>
      </c>
      <c r="B4697" t="str">
        <f>T("   France")</f>
        <v xml:space="preserve">   France</v>
      </c>
      <c r="C4697">
        <v>126867679</v>
      </c>
      <c r="D4697">
        <v>61481</v>
      </c>
    </row>
    <row r="4698" spans="1:4" x14ac:dyDescent="0.25">
      <c r="A4698" t="str">
        <f>T("   GB")</f>
        <v xml:space="preserve">   GB</v>
      </c>
      <c r="B4698" t="str">
        <f>T("   Royaume-Uni")</f>
        <v xml:space="preserve">   Royaume-Uni</v>
      </c>
      <c r="C4698">
        <v>12234670</v>
      </c>
      <c r="D4698">
        <v>24000</v>
      </c>
    </row>
    <row r="4699" spans="1:4" x14ac:dyDescent="0.25">
      <c r="A4699" t="str">
        <f>T("   GH")</f>
        <v xml:space="preserve">   GH</v>
      </c>
      <c r="B4699" t="str">
        <f>T("   Ghana")</f>
        <v xml:space="preserve">   Ghana</v>
      </c>
      <c r="C4699">
        <v>30625673</v>
      </c>
      <c r="D4699">
        <v>92552</v>
      </c>
    </row>
    <row r="4700" spans="1:4" x14ac:dyDescent="0.25">
      <c r="A4700" t="str">
        <f>T("   IN")</f>
        <v xml:space="preserve">   IN</v>
      </c>
      <c r="B4700" t="str">
        <f>T("   Inde")</f>
        <v xml:space="preserve">   Inde</v>
      </c>
      <c r="C4700">
        <v>6999999</v>
      </c>
      <c r="D4700">
        <v>10482</v>
      </c>
    </row>
    <row r="4701" spans="1:4" x14ac:dyDescent="0.25">
      <c r="A4701" t="str">
        <f>T("   IT")</f>
        <v xml:space="preserve">   IT</v>
      </c>
      <c r="B4701" t="str">
        <f>T("   Italie")</f>
        <v xml:space="preserve">   Italie</v>
      </c>
      <c r="C4701">
        <v>57500812</v>
      </c>
      <c r="D4701">
        <v>46579</v>
      </c>
    </row>
    <row r="4702" spans="1:4" x14ac:dyDescent="0.25">
      <c r="A4702" t="str">
        <f>T("   LB")</f>
        <v xml:space="preserve">   LB</v>
      </c>
      <c r="B4702" t="str">
        <f>T("   Liban")</f>
        <v xml:space="preserve">   Liban</v>
      </c>
      <c r="C4702">
        <v>4193390</v>
      </c>
      <c r="D4702">
        <v>2774</v>
      </c>
    </row>
    <row r="4703" spans="1:4" x14ac:dyDescent="0.25">
      <c r="A4703" t="str">
        <f>T("   NG")</f>
        <v xml:space="preserve">   NG</v>
      </c>
      <c r="B4703" t="str">
        <f>T("   Nigéria")</f>
        <v xml:space="preserve">   Nigéria</v>
      </c>
      <c r="C4703">
        <v>752985</v>
      </c>
      <c r="D4703">
        <v>2195</v>
      </c>
    </row>
    <row r="4704" spans="1:4" x14ac:dyDescent="0.25">
      <c r="A4704" t="str">
        <f>T("   TG")</f>
        <v xml:space="preserve">   TG</v>
      </c>
      <c r="B4704" t="str">
        <f>T("   Togo")</f>
        <v xml:space="preserve">   Togo</v>
      </c>
      <c r="C4704">
        <v>8802884</v>
      </c>
      <c r="D4704">
        <v>31039</v>
      </c>
    </row>
    <row r="4705" spans="1:4" x14ac:dyDescent="0.25">
      <c r="A4705" t="str">
        <f>T("   TH")</f>
        <v xml:space="preserve">   TH</v>
      </c>
      <c r="B4705" t="str">
        <f>T("   Thaïlande")</f>
        <v xml:space="preserve">   Thaïlande</v>
      </c>
      <c r="C4705">
        <v>5677170</v>
      </c>
      <c r="D4705">
        <v>2614</v>
      </c>
    </row>
    <row r="4706" spans="1:4" x14ac:dyDescent="0.25">
      <c r="A4706" t="str">
        <f>T("   TN")</f>
        <v xml:space="preserve">   TN</v>
      </c>
      <c r="B4706" t="str">
        <f>T("   Tunisie")</f>
        <v xml:space="preserve">   Tunisie</v>
      </c>
      <c r="C4706">
        <v>8860708</v>
      </c>
      <c r="D4706">
        <v>5801</v>
      </c>
    </row>
    <row r="4707" spans="1:4" x14ac:dyDescent="0.25">
      <c r="A4707" t="str">
        <f>T("   TR")</f>
        <v xml:space="preserve">   TR</v>
      </c>
      <c r="B4707" t="str">
        <f>T("   Turquie")</f>
        <v xml:space="preserve">   Turquie</v>
      </c>
      <c r="C4707">
        <v>6545720</v>
      </c>
      <c r="D4707">
        <v>3820</v>
      </c>
    </row>
    <row r="4708" spans="1:4" x14ac:dyDescent="0.25">
      <c r="A4708" t="str">
        <f>T("   US")</f>
        <v xml:space="preserve">   US</v>
      </c>
      <c r="B4708" t="str">
        <f>T("   Etats-Unis")</f>
        <v xml:space="preserve">   Etats-Unis</v>
      </c>
      <c r="C4708">
        <v>4477092</v>
      </c>
      <c r="D4708">
        <v>3475</v>
      </c>
    </row>
    <row r="4709" spans="1:4" x14ac:dyDescent="0.25">
      <c r="A4709" t="str">
        <f>T("   Z2")</f>
        <v xml:space="preserve">   Z2</v>
      </c>
      <c r="B4709" t="str">
        <f>T("   Pays non défini")</f>
        <v xml:space="preserve">   Pays non défini</v>
      </c>
      <c r="C4709">
        <v>5836000</v>
      </c>
      <c r="D4709">
        <v>6000</v>
      </c>
    </row>
    <row r="4710" spans="1:4" x14ac:dyDescent="0.25">
      <c r="A4710" t="str">
        <f>T("   ZA")</f>
        <v xml:space="preserve">   ZA</v>
      </c>
      <c r="B4710" t="str">
        <f>T("   Afrique du Sud")</f>
        <v xml:space="preserve">   Afrique du Sud</v>
      </c>
      <c r="C4710">
        <v>427686</v>
      </c>
      <c r="D4710">
        <v>1348</v>
      </c>
    </row>
    <row r="4711" spans="1:4" x14ac:dyDescent="0.25">
      <c r="A4711" t="str">
        <f>T("392510")</f>
        <v>392510</v>
      </c>
      <c r="B4711" t="str">
        <f>T("Réservoirs, foudres, cuves et récipients analogues, en matières plastiques, d'une contenance &gt; 300 l")</f>
        <v>Réservoirs, foudres, cuves et récipients analogues, en matières plastiques, d'une contenance &gt; 300 l</v>
      </c>
    </row>
    <row r="4712" spans="1:4" x14ac:dyDescent="0.25">
      <c r="A4712" t="str">
        <f>T("   ZZZ_Monde")</f>
        <v xml:space="preserve">   ZZZ_Monde</v>
      </c>
      <c r="B4712" t="str">
        <f>T("   ZZZ_Monde")</f>
        <v xml:space="preserve">   ZZZ_Monde</v>
      </c>
      <c r="C4712">
        <v>25486867</v>
      </c>
      <c r="D4712">
        <v>98466</v>
      </c>
    </row>
    <row r="4713" spans="1:4" x14ac:dyDescent="0.25">
      <c r="A4713" t="str">
        <f>T("   CN")</f>
        <v xml:space="preserve">   CN</v>
      </c>
      <c r="B4713" t="str">
        <f>T("   Chine")</f>
        <v xml:space="preserve">   Chine</v>
      </c>
      <c r="C4713">
        <v>2011252</v>
      </c>
      <c r="D4713">
        <v>4211</v>
      </c>
    </row>
    <row r="4714" spans="1:4" x14ac:dyDescent="0.25">
      <c r="A4714" t="str">
        <f>T("   DE")</f>
        <v xml:space="preserve">   DE</v>
      </c>
      <c r="B4714" t="str">
        <f>T("   Allemagne")</f>
        <v xml:space="preserve">   Allemagne</v>
      </c>
      <c r="C4714">
        <v>811423</v>
      </c>
      <c r="D4714">
        <v>3547</v>
      </c>
    </row>
    <row r="4715" spans="1:4" x14ac:dyDescent="0.25">
      <c r="A4715" t="str">
        <f>T("   ES")</f>
        <v xml:space="preserve">   ES</v>
      </c>
      <c r="B4715" t="str">
        <f>T("   Espagne")</f>
        <v xml:space="preserve">   Espagne</v>
      </c>
      <c r="C4715">
        <v>396968</v>
      </c>
      <c r="D4715">
        <v>198</v>
      </c>
    </row>
    <row r="4716" spans="1:4" x14ac:dyDescent="0.25">
      <c r="A4716" t="str">
        <f>T("   FR")</f>
        <v xml:space="preserve">   FR</v>
      </c>
      <c r="B4716" t="str">
        <f>T("   France")</f>
        <v xml:space="preserve">   France</v>
      </c>
      <c r="C4716">
        <v>1565121</v>
      </c>
      <c r="D4716">
        <v>420</v>
      </c>
    </row>
    <row r="4717" spans="1:4" x14ac:dyDescent="0.25">
      <c r="A4717" t="str">
        <f>T("   GA")</f>
        <v xml:space="preserve">   GA</v>
      </c>
      <c r="B4717" t="str">
        <f>T("   Gabon")</f>
        <v xml:space="preserve">   Gabon</v>
      </c>
      <c r="C4717">
        <v>50000</v>
      </c>
      <c r="D4717">
        <v>250</v>
      </c>
    </row>
    <row r="4718" spans="1:4" x14ac:dyDescent="0.25">
      <c r="A4718" t="str">
        <f>T("   NG")</f>
        <v xml:space="preserve">   NG</v>
      </c>
      <c r="B4718" t="str">
        <f>T("   Nigéria")</f>
        <v xml:space="preserve">   Nigéria</v>
      </c>
      <c r="C4718">
        <v>15950000</v>
      </c>
      <c r="D4718">
        <v>84370</v>
      </c>
    </row>
    <row r="4719" spans="1:4" x14ac:dyDescent="0.25">
      <c r="A4719" t="str">
        <f>T("   TG")</f>
        <v xml:space="preserve">   TG</v>
      </c>
      <c r="B4719" t="str">
        <f>T("   Togo")</f>
        <v xml:space="preserve">   Togo</v>
      </c>
      <c r="C4719">
        <v>4702103</v>
      </c>
      <c r="D4719">
        <v>5470</v>
      </c>
    </row>
    <row r="4720" spans="1:4" x14ac:dyDescent="0.25">
      <c r="A4720" t="str">
        <f>T("392520")</f>
        <v>392520</v>
      </c>
      <c r="B4720" t="str">
        <f>T("Portes, fenêtres et leurs cadres, chambranles et seuils, en matières plastiques")</f>
        <v>Portes, fenêtres et leurs cadres, chambranles et seuils, en matières plastiques</v>
      </c>
    </row>
    <row r="4721" spans="1:4" x14ac:dyDescent="0.25">
      <c r="A4721" t="str">
        <f>T("   ZZZ_Monde")</f>
        <v xml:space="preserve">   ZZZ_Monde</v>
      </c>
      <c r="B4721" t="str">
        <f>T("   ZZZ_Monde")</f>
        <v xml:space="preserve">   ZZZ_Monde</v>
      </c>
      <c r="C4721">
        <v>12583028</v>
      </c>
      <c r="D4721">
        <v>22911</v>
      </c>
    </row>
    <row r="4722" spans="1:4" x14ac:dyDescent="0.25">
      <c r="A4722" t="str">
        <f>T("   CN")</f>
        <v xml:space="preserve">   CN</v>
      </c>
      <c r="B4722" t="str">
        <f>T("   Chine")</f>
        <v xml:space="preserve">   Chine</v>
      </c>
      <c r="C4722">
        <v>12158621</v>
      </c>
      <c r="D4722">
        <v>22816</v>
      </c>
    </row>
    <row r="4723" spans="1:4" x14ac:dyDescent="0.25">
      <c r="A4723" t="str">
        <f>T("   FR")</f>
        <v xml:space="preserve">   FR</v>
      </c>
      <c r="B4723" t="str">
        <f>T("   France")</f>
        <v xml:space="preserve">   France</v>
      </c>
      <c r="C4723">
        <v>424407</v>
      </c>
      <c r="D4723">
        <v>95</v>
      </c>
    </row>
    <row r="4724" spans="1:4" x14ac:dyDescent="0.25">
      <c r="A4724" t="str">
        <f>T("392590")</f>
        <v>392590</v>
      </c>
      <c r="B4724" t="str">
        <f>T("ÉLÉMENTS STRUCTURAUX UTILISÉS NOTAMMENT POUR LA CONSTRUCTION DES SOLS, DES MURS, DES CLOISONS, DES PLAFONDS OU DES TOITS, EN MATIÈRES PLASTIQUES: GOUTTIÈRES ET ACCESSOIRES; RAMBARDES, BALUSTRADES, RAMPES ET BARRIÈRES SIMIL.; RAYONNAGES DE GRANDES DIMENSIO")</f>
        <v>ÉLÉMENTS STRUCTURAUX UTILISÉS NOTAMMENT POUR LA CONSTRUCTION DES SOLS, DES MURS, DES CLOISONS, DES PLAFONDS OU DES TOITS, EN MATIÈRES PLASTIQUES: GOUTTIÈRES ET ACCESSOIRES; RAMBARDES, BALUSTRADES, RAMPES ET BARRIÈRES SIMIL.; RAYONNAGES DE GRANDES DIMENSIO</v>
      </c>
    </row>
    <row r="4725" spans="1:4" x14ac:dyDescent="0.25">
      <c r="A4725" t="str">
        <f>T("   ZZZ_Monde")</f>
        <v xml:space="preserve">   ZZZ_Monde</v>
      </c>
      <c r="B4725" t="str">
        <f>T("   ZZZ_Monde")</f>
        <v xml:space="preserve">   ZZZ_Monde</v>
      </c>
      <c r="C4725">
        <v>73985804</v>
      </c>
      <c r="D4725">
        <v>60134.04</v>
      </c>
    </row>
    <row r="4726" spans="1:4" x14ac:dyDescent="0.25">
      <c r="A4726" t="str">
        <f>T("   BE")</f>
        <v xml:space="preserve">   BE</v>
      </c>
      <c r="B4726" t="str">
        <f>T("   Belgique")</f>
        <v xml:space="preserve">   Belgique</v>
      </c>
      <c r="C4726">
        <v>4588290</v>
      </c>
      <c r="D4726">
        <v>1773</v>
      </c>
    </row>
    <row r="4727" spans="1:4" x14ac:dyDescent="0.25">
      <c r="A4727" t="str">
        <f>T("   CH")</f>
        <v xml:space="preserve">   CH</v>
      </c>
      <c r="B4727" t="str">
        <f>T("   Suisse")</f>
        <v xml:space="preserve">   Suisse</v>
      </c>
      <c r="C4727">
        <v>501744</v>
      </c>
      <c r="D4727">
        <v>81</v>
      </c>
    </row>
    <row r="4728" spans="1:4" x14ac:dyDescent="0.25">
      <c r="A4728" t="str">
        <f>T("   CN")</f>
        <v xml:space="preserve">   CN</v>
      </c>
      <c r="B4728" t="str">
        <f>T("   Chine")</f>
        <v xml:space="preserve">   Chine</v>
      </c>
      <c r="C4728">
        <v>9661852</v>
      </c>
      <c r="D4728">
        <v>28200</v>
      </c>
    </row>
    <row r="4729" spans="1:4" x14ac:dyDescent="0.25">
      <c r="A4729" t="str">
        <f>T("   DE")</f>
        <v xml:space="preserve">   DE</v>
      </c>
      <c r="B4729" t="str">
        <f>T("   Allemagne")</f>
        <v xml:space="preserve">   Allemagne</v>
      </c>
      <c r="C4729">
        <v>55101</v>
      </c>
      <c r="D4729">
        <v>4</v>
      </c>
    </row>
    <row r="4730" spans="1:4" x14ac:dyDescent="0.25">
      <c r="A4730" t="str">
        <f>T("   ES")</f>
        <v xml:space="preserve">   ES</v>
      </c>
      <c r="B4730" t="str">
        <f>T("   Espagne")</f>
        <v xml:space="preserve">   Espagne</v>
      </c>
      <c r="C4730">
        <v>760684</v>
      </c>
      <c r="D4730">
        <v>273.13</v>
      </c>
    </row>
    <row r="4731" spans="1:4" x14ac:dyDescent="0.25">
      <c r="A4731" t="str">
        <f>T("   FR")</f>
        <v xml:space="preserve">   FR</v>
      </c>
      <c r="B4731" t="str">
        <f>T("   France")</f>
        <v xml:space="preserve">   France</v>
      </c>
      <c r="C4731">
        <v>20535357</v>
      </c>
      <c r="D4731">
        <v>10153.91</v>
      </c>
    </row>
    <row r="4732" spans="1:4" x14ac:dyDescent="0.25">
      <c r="A4732" t="str">
        <f>T("   GH")</f>
        <v xml:space="preserve">   GH</v>
      </c>
      <c r="B4732" t="str">
        <f>T("   Ghana")</f>
        <v xml:space="preserve">   Ghana</v>
      </c>
      <c r="C4732">
        <v>664495</v>
      </c>
      <c r="D4732">
        <v>200</v>
      </c>
    </row>
    <row r="4733" spans="1:4" x14ac:dyDescent="0.25">
      <c r="A4733" t="str">
        <f>T("   LB")</f>
        <v xml:space="preserve">   LB</v>
      </c>
      <c r="B4733" t="str">
        <f>T("   Liban")</f>
        <v xml:space="preserve">   Liban</v>
      </c>
      <c r="C4733">
        <v>4120575</v>
      </c>
      <c r="D4733">
        <v>5000</v>
      </c>
    </row>
    <row r="4734" spans="1:4" x14ac:dyDescent="0.25">
      <c r="A4734" t="str">
        <f>T("   MA")</f>
        <v xml:space="preserve">   MA</v>
      </c>
      <c r="B4734" t="str">
        <f>T("   Maroc")</f>
        <v xml:space="preserve">   Maroc</v>
      </c>
      <c r="C4734">
        <v>789776</v>
      </c>
      <c r="D4734">
        <v>799</v>
      </c>
    </row>
    <row r="4735" spans="1:4" x14ac:dyDescent="0.25">
      <c r="A4735" t="str">
        <f>T("   NG")</f>
        <v xml:space="preserve">   NG</v>
      </c>
      <c r="B4735" t="str">
        <f>T("   Nigéria")</f>
        <v xml:space="preserve">   Nigéria</v>
      </c>
      <c r="C4735">
        <v>236000</v>
      </c>
      <c r="D4735">
        <v>220</v>
      </c>
    </row>
    <row r="4736" spans="1:4" x14ac:dyDescent="0.25">
      <c r="A4736" t="str">
        <f>T("   SE")</f>
        <v xml:space="preserve">   SE</v>
      </c>
      <c r="B4736" t="str">
        <f>T("   Suède")</f>
        <v xml:space="preserve">   Suède</v>
      </c>
      <c r="C4736">
        <v>772065</v>
      </c>
      <c r="D4736">
        <v>277</v>
      </c>
    </row>
    <row r="4737" spans="1:4" x14ac:dyDescent="0.25">
      <c r="A4737" t="str">
        <f>T("   TG")</f>
        <v xml:space="preserve">   TG</v>
      </c>
      <c r="B4737" t="str">
        <f>T("   Togo")</f>
        <v xml:space="preserve">   Togo</v>
      </c>
      <c r="C4737">
        <v>31299865</v>
      </c>
      <c r="D4737">
        <v>13153</v>
      </c>
    </row>
    <row r="4738" spans="1:4" x14ac:dyDescent="0.25">
      <c r="A4738" t="str">
        <f>T("392610")</f>
        <v>392610</v>
      </c>
      <c r="B4738" t="str">
        <f>T("Articles de bureau et articles scolaires, en matières plastiques, n.d.a.")</f>
        <v>Articles de bureau et articles scolaires, en matières plastiques, n.d.a.</v>
      </c>
    </row>
    <row r="4739" spans="1:4" x14ac:dyDescent="0.25">
      <c r="A4739" t="str">
        <f>T("   ZZZ_Monde")</f>
        <v xml:space="preserve">   ZZZ_Monde</v>
      </c>
      <c r="B4739" t="str">
        <f>T("   ZZZ_Monde")</f>
        <v xml:space="preserve">   ZZZ_Monde</v>
      </c>
      <c r="C4739">
        <v>137663446</v>
      </c>
      <c r="D4739">
        <v>226747.6</v>
      </c>
    </row>
    <row r="4740" spans="1:4" x14ac:dyDescent="0.25">
      <c r="A4740" t="str">
        <f>T("   CN")</f>
        <v xml:space="preserve">   CN</v>
      </c>
      <c r="B4740" t="str">
        <f>T("   Chine")</f>
        <v xml:space="preserve">   Chine</v>
      </c>
      <c r="C4740">
        <v>57092535</v>
      </c>
      <c r="D4740">
        <v>94394</v>
      </c>
    </row>
    <row r="4741" spans="1:4" x14ac:dyDescent="0.25">
      <c r="A4741" t="str">
        <f>T("   ES")</f>
        <v xml:space="preserve">   ES</v>
      </c>
      <c r="B4741" t="str">
        <f>T("   Espagne")</f>
        <v xml:space="preserve">   Espagne</v>
      </c>
      <c r="C4741">
        <v>70000</v>
      </c>
      <c r="D4741">
        <v>1500</v>
      </c>
    </row>
    <row r="4742" spans="1:4" x14ac:dyDescent="0.25">
      <c r="A4742" t="str">
        <f>T("   FR")</f>
        <v xml:space="preserve">   FR</v>
      </c>
      <c r="B4742" t="str">
        <f>T("   France")</f>
        <v xml:space="preserve">   France</v>
      </c>
      <c r="C4742">
        <v>36789632</v>
      </c>
      <c r="D4742">
        <v>43394</v>
      </c>
    </row>
    <row r="4743" spans="1:4" x14ac:dyDescent="0.25">
      <c r="A4743" t="str">
        <f>T("   IT")</f>
        <v xml:space="preserve">   IT</v>
      </c>
      <c r="B4743" t="str">
        <f>T("   Italie")</f>
        <v xml:space="preserve">   Italie</v>
      </c>
      <c r="C4743">
        <v>320568</v>
      </c>
      <c r="D4743">
        <v>2380</v>
      </c>
    </row>
    <row r="4744" spans="1:4" x14ac:dyDescent="0.25">
      <c r="A4744" t="str">
        <f>T("   SG")</f>
        <v xml:space="preserve">   SG</v>
      </c>
      <c r="B4744" t="str">
        <f>T("   Singapour")</f>
        <v xml:space="preserve">   Singapour</v>
      </c>
      <c r="C4744">
        <v>31422117</v>
      </c>
      <c r="D4744">
        <v>31647</v>
      </c>
    </row>
    <row r="4745" spans="1:4" x14ac:dyDescent="0.25">
      <c r="A4745" t="str">
        <f>T("   TG")</f>
        <v xml:space="preserve">   TG</v>
      </c>
      <c r="B4745" t="str">
        <f>T("   Togo")</f>
        <v xml:space="preserve">   Togo</v>
      </c>
      <c r="C4745">
        <v>3941925</v>
      </c>
      <c r="D4745">
        <v>46218</v>
      </c>
    </row>
    <row r="4746" spans="1:4" x14ac:dyDescent="0.25">
      <c r="A4746" t="str">
        <f>T("   TR")</f>
        <v xml:space="preserve">   TR</v>
      </c>
      <c r="B4746" t="str">
        <f>T("   Turquie")</f>
        <v xml:space="preserve">   Turquie</v>
      </c>
      <c r="C4746">
        <v>5000000</v>
      </c>
      <c r="D4746">
        <v>6544</v>
      </c>
    </row>
    <row r="4747" spans="1:4" x14ac:dyDescent="0.25">
      <c r="A4747" t="str">
        <f>T("   US")</f>
        <v xml:space="preserve">   US</v>
      </c>
      <c r="B4747" t="str">
        <f>T("   Etats-Unis")</f>
        <v xml:space="preserve">   Etats-Unis</v>
      </c>
      <c r="C4747">
        <v>28241</v>
      </c>
      <c r="D4747">
        <v>3</v>
      </c>
    </row>
    <row r="4748" spans="1:4" x14ac:dyDescent="0.25">
      <c r="A4748" t="str">
        <f>T("   ZA")</f>
        <v xml:space="preserve">   ZA</v>
      </c>
      <c r="B4748" t="str">
        <f>T("   Afrique du Sud")</f>
        <v xml:space="preserve">   Afrique du Sud</v>
      </c>
      <c r="C4748">
        <v>2998428</v>
      </c>
      <c r="D4748">
        <v>667.6</v>
      </c>
    </row>
    <row r="4749" spans="1:4" x14ac:dyDescent="0.25">
      <c r="A4749" t="str">
        <f>T("392620")</f>
        <v>392620</v>
      </c>
      <c r="B4749" t="str">
        <f>T("Vêtements et accessoires du vêtement, y.c. les gants, mitaines et moufles, fabriqués par couture ou collage à partir de feuilles en matières plastiques")</f>
        <v>Vêtements et accessoires du vêtement, y.c. les gants, mitaines et moufles, fabriqués par couture ou collage à partir de feuilles en matières plastiques</v>
      </c>
    </row>
    <row r="4750" spans="1:4" x14ac:dyDescent="0.25">
      <c r="A4750" t="str">
        <f>T("   ZZZ_Monde")</f>
        <v xml:space="preserve">   ZZZ_Monde</v>
      </c>
      <c r="B4750" t="str">
        <f>T("   ZZZ_Monde")</f>
        <v xml:space="preserve">   ZZZ_Monde</v>
      </c>
      <c r="C4750">
        <v>44157264</v>
      </c>
      <c r="D4750">
        <v>87043.76</v>
      </c>
    </row>
    <row r="4751" spans="1:4" x14ac:dyDescent="0.25">
      <c r="A4751" t="str">
        <f>T("   AE")</f>
        <v xml:space="preserve">   AE</v>
      </c>
      <c r="B4751" t="str">
        <f>T("   Emirats Arabes Unis")</f>
        <v xml:space="preserve">   Emirats Arabes Unis</v>
      </c>
      <c r="C4751">
        <v>5823546</v>
      </c>
      <c r="D4751">
        <v>972</v>
      </c>
    </row>
    <row r="4752" spans="1:4" x14ac:dyDescent="0.25">
      <c r="A4752" t="str">
        <f>T("   CN")</f>
        <v xml:space="preserve">   CN</v>
      </c>
      <c r="B4752" t="str">
        <f>T("   Chine")</f>
        <v xml:space="preserve">   Chine</v>
      </c>
      <c r="C4752">
        <v>24706088</v>
      </c>
      <c r="D4752">
        <v>80667</v>
      </c>
    </row>
    <row r="4753" spans="1:4" x14ac:dyDescent="0.25">
      <c r="A4753" t="str">
        <f>T("   DE")</f>
        <v xml:space="preserve">   DE</v>
      </c>
      <c r="B4753" t="str">
        <f>T("   Allemagne")</f>
        <v xml:space="preserve">   Allemagne</v>
      </c>
      <c r="C4753">
        <v>620682</v>
      </c>
      <c r="D4753">
        <v>37</v>
      </c>
    </row>
    <row r="4754" spans="1:4" x14ac:dyDescent="0.25">
      <c r="A4754" t="str">
        <f>T("   FR")</f>
        <v xml:space="preserve">   FR</v>
      </c>
      <c r="B4754" t="str">
        <f>T("   France")</f>
        <v xml:space="preserve">   France</v>
      </c>
      <c r="C4754">
        <v>13006948</v>
      </c>
      <c r="D4754">
        <v>5367.76</v>
      </c>
    </row>
    <row r="4755" spans="1:4" x14ac:dyDescent="0.25">
      <c r="A4755" t="str">
        <f>T("392630")</f>
        <v>392630</v>
      </c>
      <c r="B4755" t="str">
        <f>T("Garnitures pour meubles, carrosseries ou simil., en matières plastiques (à l'excl. des articles d'équipement pour la construction destinés à être fixés à demeure sur des parties de bâtiments)")</f>
        <v>Garnitures pour meubles, carrosseries ou simil., en matières plastiques (à l'excl. des articles d'équipement pour la construction destinés à être fixés à demeure sur des parties de bâtiments)</v>
      </c>
    </row>
    <row r="4756" spans="1:4" x14ac:dyDescent="0.25">
      <c r="A4756" t="str">
        <f>T("   ZZZ_Monde")</f>
        <v xml:space="preserve">   ZZZ_Monde</v>
      </c>
      <c r="B4756" t="str">
        <f>T("   ZZZ_Monde")</f>
        <v xml:space="preserve">   ZZZ_Monde</v>
      </c>
      <c r="C4756">
        <v>1315741</v>
      </c>
      <c r="D4756">
        <v>5776</v>
      </c>
    </row>
    <row r="4757" spans="1:4" x14ac:dyDescent="0.25">
      <c r="A4757" t="str">
        <f>T("   CN")</f>
        <v xml:space="preserve">   CN</v>
      </c>
      <c r="B4757" t="str">
        <f>T("   Chine")</f>
        <v xml:space="preserve">   Chine</v>
      </c>
      <c r="C4757">
        <v>1285567</v>
      </c>
      <c r="D4757">
        <v>5663</v>
      </c>
    </row>
    <row r="4758" spans="1:4" x14ac:dyDescent="0.25">
      <c r="A4758" t="str">
        <f>T("   FR")</f>
        <v xml:space="preserve">   FR</v>
      </c>
      <c r="B4758" t="str">
        <f>T("   France")</f>
        <v xml:space="preserve">   France</v>
      </c>
      <c r="C4758">
        <v>30174</v>
      </c>
      <c r="D4758">
        <v>113</v>
      </c>
    </row>
    <row r="4759" spans="1:4" x14ac:dyDescent="0.25">
      <c r="A4759" t="str">
        <f>T("392640")</f>
        <v>392640</v>
      </c>
      <c r="B4759" t="str">
        <f>T("Statuettes et autres objets d'ornementation, en matières plastiques")</f>
        <v>Statuettes et autres objets d'ornementation, en matières plastiques</v>
      </c>
    </row>
    <row r="4760" spans="1:4" x14ac:dyDescent="0.25">
      <c r="A4760" t="str">
        <f>T("   ZZZ_Monde")</f>
        <v xml:space="preserve">   ZZZ_Monde</v>
      </c>
      <c r="B4760" t="str">
        <f>T("   ZZZ_Monde")</f>
        <v xml:space="preserve">   ZZZ_Monde</v>
      </c>
      <c r="C4760">
        <v>18532788</v>
      </c>
      <c r="D4760">
        <v>41618.730000000003</v>
      </c>
    </row>
    <row r="4761" spans="1:4" x14ac:dyDescent="0.25">
      <c r="A4761" t="str">
        <f>T("   CN")</f>
        <v xml:space="preserve">   CN</v>
      </c>
      <c r="B4761" t="str">
        <f>T("   Chine")</f>
        <v xml:space="preserve">   Chine</v>
      </c>
      <c r="C4761">
        <v>16099806</v>
      </c>
      <c r="D4761">
        <v>34398.730000000003</v>
      </c>
    </row>
    <row r="4762" spans="1:4" x14ac:dyDescent="0.25">
      <c r="A4762" t="str">
        <f>T("   DE")</f>
        <v xml:space="preserve">   DE</v>
      </c>
      <c r="B4762" t="str">
        <f>T("   Allemagne")</f>
        <v xml:space="preserve">   Allemagne</v>
      </c>
      <c r="C4762">
        <v>495250</v>
      </c>
      <c r="D4762">
        <v>670</v>
      </c>
    </row>
    <row r="4763" spans="1:4" x14ac:dyDescent="0.25">
      <c r="A4763" t="str">
        <f>T("   FR")</f>
        <v xml:space="preserve">   FR</v>
      </c>
      <c r="B4763" t="str">
        <f>T("   France")</f>
        <v xml:space="preserve">   France</v>
      </c>
      <c r="C4763">
        <v>962950</v>
      </c>
      <c r="D4763">
        <v>189</v>
      </c>
    </row>
    <row r="4764" spans="1:4" x14ac:dyDescent="0.25">
      <c r="A4764" t="str">
        <f>T("   IT")</f>
        <v xml:space="preserve">   IT</v>
      </c>
      <c r="B4764" t="str">
        <f>T("   Italie")</f>
        <v xml:space="preserve">   Italie</v>
      </c>
      <c r="C4764">
        <v>39718</v>
      </c>
      <c r="D4764">
        <v>80</v>
      </c>
    </row>
    <row r="4765" spans="1:4" x14ac:dyDescent="0.25">
      <c r="A4765" t="str">
        <f>T("   NG")</f>
        <v xml:space="preserve">   NG</v>
      </c>
      <c r="B4765" t="str">
        <f>T("   Nigéria")</f>
        <v xml:space="preserve">   Nigéria</v>
      </c>
      <c r="C4765">
        <v>368100</v>
      </c>
      <c r="D4765">
        <v>1047</v>
      </c>
    </row>
    <row r="4766" spans="1:4" x14ac:dyDescent="0.25">
      <c r="A4766" t="str">
        <f>T("   TG")</f>
        <v xml:space="preserve">   TG</v>
      </c>
      <c r="B4766" t="str">
        <f>T("   Togo")</f>
        <v xml:space="preserve">   Togo</v>
      </c>
      <c r="C4766">
        <v>566964</v>
      </c>
      <c r="D4766">
        <v>5234</v>
      </c>
    </row>
    <row r="4767" spans="1:4" x14ac:dyDescent="0.25">
      <c r="A4767" t="str">
        <f>T("392690")</f>
        <v>392690</v>
      </c>
      <c r="B4767" t="str">
        <f>T("Ouvrages en matières plastiques et ouvrages en autres matières du n° 3901 à 3914, n.d.a.")</f>
        <v>Ouvrages en matières plastiques et ouvrages en autres matières du n° 3901 à 3914, n.d.a.</v>
      </c>
    </row>
    <row r="4768" spans="1:4" x14ac:dyDescent="0.25">
      <c r="A4768" t="str">
        <f>T("   ZZZ_Monde")</f>
        <v xml:space="preserve">   ZZZ_Monde</v>
      </c>
      <c r="B4768" t="str">
        <f>T("   ZZZ_Monde")</f>
        <v xml:space="preserve">   ZZZ_Monde</v>
      </c>
      <c r="C4768">
        <v>742988802</v>
      </c>
      <c r="D4768">
        <v>1392400</v>
      </c>
    </row>
    <row r="4769" spans="1:4" x14ac:dyDescent="0.25">
      <c r="A4769" t="str">
        <f>T("   AE")</f>
        <v xml:space="preserve">   AE</v>
      </c>
      <c r="B4769" t="str">
        <f>T("   Emirats Arabes Unis")</f>
        <v xml:space="preserve">   Emirats Arabes Unis</v>
      </c>
      <c r="C4769">
        <v>8049883</v>
      </c>
      <c r="D4769">
        <v>10760</v>
      </c>
    </row>
    <row r="4770" spans="1:4" x14ac:dyDescent="0.25">
      <c r="A4770" t="str">
        <f>T("   AT")</f>
        <v xml:space="preserve">   AT</v>
      </c>
      <c r="B4770" t="str">
        <f>T("   Autriche")</f>
        <v xml:space="preserve">   Autriche</v>
      </c>
      <c r="C4770">
        <v>3020230</v>
      </c>
      <c r="D4770">
        <v>7291</v>
      </c>
    </row>
    <row r="4771" spans="1:4" x14ac:dyDescent="0.25">
      <c r="A4771" t="str">
        <f>T("   BE")</f>
        <v xml:space="preserve">   BE</v>
      </c>
      <c r="B4771" t="str">
        <f>T("   Belgique")</f>
        <v xml:space="preserve">   Belgique</v>
      </c>
      <c r="C4771">
        <v>12752857</v>
      </c>
      <c r="D4771">
        <v>6058.1</v>
      </c>
    </row>
    <row r="4772" spans="1:4" x14ac:dyDescent="0.25">
      <c r="A4772" t="str">
        <f>T("   BH")</f>
        <v xml:space="preserve">   BH</v>
      </c>
      <c r="B4772" t="str">
        <f>T("   Bahreïn")</f>
        <v xml:space="preserve">   Bahreïn</v>
      </c>
      <c r="C4772">
        <v>799284</v>
      </c>
      <c r="D4772">
        <v>3591</v>
      </c>
    </row>
    <row r="4773" spans="1:4" x14ac:dyDescent="0.25">
      <c r="A4773" t="str">
        <f>T("   BY")</f>
        <v xml:space="preserve">   BY</v>
      </c>
      <c r="B4773" t="str">
        <f>T("   Bélarus")</f>
        <v xml:space="preserve">   Bélarus</v>
      </c>
      <c r="C4773">
        <v>81752</v>
      </c>
      <c r="D4773">
        <v>5</v>
      </c>
    </row>
    <row r="4774" spans="1:4" x14ac:dyDescent="0.25">
      <c r="A4774" t="str">
        <f>T("   CA")</f>
        <v xml:space="preserve">   CA</v>
      </c>
      <c r="B4774" t="str">
        <f>T("   Canada")</f>
        <v xml:space="preserve">   Canada</v>
      </c>
      <c r="C4774">
        <v>42638</v>
      </c>
      <c r="D4774">
        <v>43</v>
      </c>
    </row>
    <row r="4775" spans="1:4" x14ac:dyDescent="0.25">
      <c r="A4775" t="str">
        <f>T("   CH")</f>
        <v xml:space="preserve">   CH</v>
      </c>
      <c r="B4775" t="str">
        <f>T("   Suisse")</f>
        <v xml:space="preserve">   Suisse</v>
      </c>
      <c r="C4775">
        <v>1575518</v>
      </c>
      <c r="D4775">
        <v>111</v>
      </c>
    </row>
    <row r="4776" spans="1:4" x14ac:dyDescent="0.25">
      <c r="A4776" t="str">
        <f>T("   CI")</f>
        <v xml:space="preserve">   CI</v>
      </c>
      <c r="B4776" t="str">
        <f>T("   Côte d'Ivoire")</f>
        <v xml:space="preserve">   Côte d'Ivoire</v>
      </c>
      <c r="C4776">
        <v>3751526</v>
      </c>
      <c r="D4776">
        <v>515</v>
      </c>
    </row>
    <row r="4777" spans="1:4" x14ac:dyDescent="0.25">
      <c r="A4777" t="str">
        <f>T("   CN")</f>
        <v xml:space="preserve">   CN</v>
      </c>
      <c r="B4777" t="str">
        <f>T("   Chine")</f>
        <v xml:space="preserve">   Chine</v>
      </c>
      <c r="C4777">
        <v>316815649</v>
      </c>
      <c r="D4777">
        <v>681531</v>
      </c>
    </row>
    <row r="4778" spans="1:4" x14ac:dyDescent="0.25">
      <c r="A4778" t="str">
        <f>T("   DE")</f>
        <v xml:space="preserve">   DE</v>
      </c>
      <c r="B4778" t="str">
        <f>T("   Allemagne")</f>
        <v xml:space="preserve">   Allemagne</v>
      </c>
      <c r="C4778">
        <v>2574204</v>
      </c>
      <c r="D4778">
        <v>46.4</v>
      </c>
    </row>
    <row r="4779" spans="1:4" x14ac:dyDescent="0.25">
      <c r="A4779" t="str">
        <f>T("   DZ")</f>
        <v xml:space="preserve">   DZ</v>
      </c>
      <c r="B4779" t="str">
        <f>T("   Algérie")</f>
        <v xml:space="preserve">   Algérie</v>
      </c>
      <c r="C4779">
        <v>633002</v>
      </c>
      <c r="D4779">
        <v>698</v>
      </c>
    </row>
    <row r="4780" spans="1:4" x14ac:dyDescent="0.25">
      <c r="A4780" t="str">
        <f>T("   ES")</f>
        <v xml:space="preserve">   ES</v>
      </c>
      <c r="B4780" t="str">
        <f>T("   Espagne")</f>
        <v xml:space="preserve">   Espagne</v>
      </c>
      <c r="C4780">
        <v>2164386</v>
      </c>
      <c r="D4780">
        <v>8567</v>
      </c>
    </row>
    <row r="4781" spans="1:4" x14ac:dyDescent="0.25">
      <c r="A4781" t="str">
        <f>T("   FR")</f>
        <v xml:space="preserve">   FR</v>
      </c>
      <c r="B4781" t="str">
        <f>T("   France")</f>
        <v xml:space="preserve">   France</v>
      </c>
      <c r="C4781">
        <v>103795054</v>
      </c>
      <c r="D4781">
        <v>30793</v>
      </c>
    </row>
    <row r="4782" spans="1:4" x14ac:dyDescent="0.25">
      <c r="A4782" t="str">
        <f>T("   GB")</f>
        <v xml:space="preserve">   GB</v>
      </c>
      <c r="B4782" t="str">
        <f>T("   Royaume-Uni")</f>
        <v xml:space="preserve">   Royaume-Uni</v>
      </c>
      <c r="C4782">
        <v>5458769</v>
      </c>
      <c r="D4782">
        <v>15807</v>
      </c>
    </row>
    <row r="4783" spans="1:4" x14ac:dyDescent="0.25">
      <c r="A4783" t="str">
        <f>T("   GH")</f>
        <v xml:space="preserve">   GH</v>
      </c>
      <c r="B4783" t="str">
        <f>T("   Ghana")</f>
        <v xml:space="preserve">   Ghana</v>
      </c>
      <c r="C4783">
        <v>629582</v>
      </c>
      <c r="D4783">
        <v>1281</v>
      </c>
    </row>
    <row r="4784" spans="1:4" x14ac:dyDescent="0.25">
      <c r="A4784" t="str">
        <f>T("   HK")</f>
        <v xml:space="preserve">   HK</v>
      </c>
      <c r="B4784" t="str">
        <f>T("   Hong-Kong")</f>
        <v xml:space="preserve">   Hong-Kong</v>
      </c>
      <c r="C4784">
        <v>1778181</v>
      </c>
      <c r="D4784">
        <v>3714</v>
      </c>
    </row>
    <row r="4785" spans="1:4" x14ac:dyDescent="0.25">
      <c r="A4785" t="str">
        <f>T("   IE")</f>
        <v xml:space="preserve">   IE</v>
      </c>
      <c r="B4785" t="str">
        <f>T("   Irlande")</f>
        <v xml:space="preserve">   Irlande</v>
      </c>
      <c r="C4785">
        <v>449274</v>
      </c>
      <c r="D4785">
        <v>11</v>
      </c>
    </row>
    <row r="4786" spans="1:4" x14ac:dyDescent="0.25">
      <c r="A4786" t="str">
        <f>T("   IN")</f>
        <v xml:space="preserve">   IN</v>
      </c>
      <c r="B4786" t="str">
        <f>T("   Inde")</f>
        <v xml:space="preserve">   Inde</v>
      </c>
      <c r="C4786">
        <v>284255</v>
      </c>
      <c r="D4786">
        <v>700</v>
      </c>
    </row>
    <row r="4787" spans="1:4" x14ac:dyDescent="0.25">
      <c r="A4787" t="str">
        <f>T("   IT")</f>
        <v xml:space="preserve">   IT</v>
      </c>
      <c r="B4787" t="str">
        <f>T("   Italie")</f>
        <v xml:space="preserve">   Italie</v>
      </c>
      <c r="C4787">
        <v>21517350</v>
      </c>
      <c r="D4787">
        <v>19092</v>
      </c>
    </row>
    <row r="4788" spans="1:4" x14ac:dyDescent="0.25">
      <c r="A4788" t="str">
        <f>T("   LB")</f>
        <v xml:space="preserve">   LB</v>
      </c>
      <c r="B4788" t="str">
        <f>T("   Liban")</f>
        <v xml:space="preserve">   Liban</v>
      </c>
      <c r="C4788">
        <v>903584</v>
      </c>
      <c r="D4788">
        <v>2241</v>
      </c>
    </row>
    <row r="4789" spans="1:4" x14ac:dyDescent="0.25">
      <c r="A4789" t="str">
        <f>T("   MA")</f>
        <v xml:space="preserve">   MA</v>
      </c>
      <c r="B4789" t="str">
        <f>T("   Maroc")</f>
        <v xml:space="preserve">   Maroc</v>
      </c>
      <c r="C4789">
        <v>4574010</v>
      </c>
      <c r="D4789">
        <v>4508</v>
      </c>
    </row>
    <row r="4790" spans="1:4" x14ac:dyDescent="0.25">
      <c r="A4790" t="str">
        <f>T("   NG")</f>
        <v xml:space="preserve">   NG</v>
      </c>
      <c r="B4790" t="str">
        <f>T("   Nigéria")</f>
        <v xml:space="preserve">   Nigéria</v>
      </c>
      <c r="C4790">
        <v>55145200</v>
      </c>
      <c r="D4790">
        <v>183366</v>
      </c>
    </row>
    <row r="4791" spans="1:4" x14ac:dyDescent="0.25">
      <c r="A4791" t="str">
        <f>T("   NO")</f>
        <v xml:space="preserve">   NO</v>
      </c>
      <c r="B4791" t="str">
        <f>T("   Norvège")</f>
        <v xml:space="preserve">   Norvège</v>
      </c>
      <c r="C4791">
        <v>407614</v>
      </c>
      <c r="D4791">
        <v>100</v>
      </c>
    </row>
    <row r="4792" spans="1:4" x14ac:dyDescent="0.25">
      <c r="A4792" t="str">
        <f>T("   PT")</f>
        <v xml:space="preserve">   PT</v>
      </c>
      <c r="B4792" t="str">
        <f>T("   Portugal")</f>
        <v xml:space="preserve">   Portugal</v>
      </c>
      <c r="C4792">
        <v>83963</v>
      </c>
      <c r="D4792">
        <v>16</v>
      </c>
    </row>
    <row r="4793" spans="1:4" x14ac:dyDescent="0.25">
      <c r="A4793" t="str">
        <f>T("   SG")</f>
        <v xml:space="preserve">   SG</v>
      </c>
      <c r="B4793" t="str">
        <f>T("   Singapour")</f>
        <v xml:space="preserve">   Singapour</v>
      </c>
      <c r="C4793">
        <v>25366231</v>
      </c>
      <c r="D4793">
        <v>32413</v>
      </c>
    </row>
    <row r="4794" spans="1:4" x14ac:dyDescent="0.25">
      <c r="A4794" t="str">
        <f>T("   SN")</f>
        <v xml:space="preserve">   SN</v>
      </c>
      <c r="B4794" t="str">
        <f>T("   Sénégal")</f>
        <v xml:space="preserve">   Sénégal</v>
      </c>
      <c r="C4794">
        <v>68614728</v>
      </c>
      <c r="D4794">
        <v>16504</v>
      </c>
    </row>
    <row r="4795" spans="1:4" x14ac:dyDescent="0.25">
      <c r="A4795" t="str">
        <f>T("   TG")</f>
        <v xml:space="preserve">   TG</v>
      </c>
      <c r="B4795" t="str">
        <f>T("   Togo")</f>
        <v xml:space="preserve">   Togo</v>
      </c>
      <c r="C4795">
        <v>100658425</v>
      </c>
      <c r="D4795">
        <v>358396</v>
      </c>
    </row>
    <row r="4796" spans="1:4" x14ac:dyDescent="0.25">
      <c r="A4796" t="str">
        <f>T("   TH")</f>
        <v xml:space="preserve">   TH</v>
      </c>
      <c r="B4796" t="str">
        <f>T("   Thaïlande")</f>
        <v xml:space="preserve">   Thaïlande</v>
      </c>
      <c r="C4796">
        <v>2507</v>
      </c>
      <c r="D4796">
        <v>1475</v>
      </c>
    </row>
    <row r="4797" spans="1:4" x14ac:dyDescent="0.25">
      <c r="A4797" t="str">
        <f>T("   TR")</f>
        <v xml:space="preserve">   TR</v>
      </c>
      <c r="B4797" t="str">
        <f>T("   Turquie")</f>
        <v xml:space="preserve">   Turquie</v>
      </c>
      <c r="C4797">
        <v>35166</v>
      </c>
      <c r="D4797">
        <v>10.5</v>
      </c>
    </row>
    <row r="4798" spans="1:4" x14ac:dyDescent="0.25">
      <c r="A4798" t="str">
        <f>T("   US")</f>
        <v xml:space="preserve">   US</v>
      </c>
      <c r="B4798" t="str">
        <f>T("   Etats-Unis")</f>
        <v xml:space="preserve">   Etats-Unis</v>
      </c>
      <c r="C4798">
        <v>1023980</v>
      </c>
      <c r="D4798">
        <v>2756</v>
      </c>
    </row>
    <row r="4799" spans="1:4" x14ac:dyDescent="0.25">
      <c r="A4799" t="str">
        <f>T("400211")</f>
        <v>400211</v>
      </c>
      <c r="B4799" t="str">
        <f>T("Latex de caoutchouc styrène-butadiène [SBR] ou de caoutchouc styrène-butadiène carboxylé [XSBR]")</f>
        <v>Latex de caoutchouc styrène-butadiène [SBR] ou de caoutchouc styrène-butadiène carboxylé [XSBR]</v>
      </c>
    </row>
    <row r="4800" spans="1:4" x14ac:dyDescent="0.25">
      <c r="A4800" t="str">
        <f>T("   ZZZ_Monde")</f>
        <v xml:space="preserve">   ZZZ_Monde</v>
      </c>
      <c r="B4800" t="str">
        <f>T("   ZZZ_Monde")</f>
        <v xml:space="preserve">   ZZZ_Monde</v>
      </c>
      <c r="C4800">
        <v>44634338</v>
      </c>
      <c r="D4800">
        <v>34767</v>
      </c>
    </row>
    <row r="4801" spans="1:4" x14ac:dyDescent="0.25">
      <c r="A4801" t="str">
        <f>T("   FR")</f>
        <v xml:space="preserve">   FR</v>
      </c>
      <c r="B4801" t="str">
        <f>T("   France")</f>
        <v xml:space="preserve">   France</v>
      </c>
      <c r="C4801">
        <v>44634338</v>
      </c>
      <c r="D4801">
        <v>34767</v>
      </c>
    </row>
    <row r="4802" spans="1:4" x14ac:dyDescent="0.25">
      <c r="A4802" t="str">
        <f>T("400249")</f>
        <v>400249</v>
      </c>
      <c r="B4802" t="str">
        <f>T("CAOUTCHOUC CHLOROPRÈNE 'CHLOROBUTADIÈNE' [CR], SOUS FORMES PRIMAIRES OU EN PLAQUES, FEUILLES OU BANDES (À L'EXCL. DU LATEX)")</f>
        <v>CAOUTCHOUC CHLOROPRÈNE 'CHLOROBUTADIÈNE' [CR], SOUS FORMES PRIMAIRES OU EN PLAQUES, FEUILLES OU BANDES (À L'EXCL. DU LATEX)</v>
      </c>
    </row>
    <row r="4803" spans="1:4" x14ac:dyDescent="0.25">
      <c r="A4803" t="str">
        <f>T("   ZZZ_Monde")</f>
        <v xml:space="preserve">   ZZZ_Monde</v>
      </c>
      <c r="B4803" t="str">
        <f>T("   ZZZ_Monde")</f>
        <v xml:space="preserve">   ZZZ_Monde</v>
      </c>
      <c r="C4803">
        <v>3288327</v>
      </c>
      <c r="D4803">
        <v>1028</v>
      </c>
    </row>
    <row r="4804" spans="1:4" x14ac:dyDescent="0.25">
      <c r="A4804" t="str">
        <f>T("   DE")</f>
        <v xml:space="preserve">   DE</v>
      </c>
      <c r="B4804" t="str">
        <f>T("   Allemagne")</f>
        <v xml:space="preserve">   Allemagne</v>
      </c>
      <c r="C4804">
        <v>3288327</v>
      </c>
      <c r="D4804">
        <v>1028</v>
      </c>
    </row>
    <row r="4805" spans="1:4" x14ac:dyDescent="0.25">
      <c r="A4805" t="str">
        <f>T("400251")</f>
        <v>400251</v>
      </c>
      <c r="B4805" t="str">
        <f>T("Latex de caoutchouc acrylonitrile-butadiène [NBR]")</f>
        <v>Latex de caoutchouc acrylonitrile-butadiène [NBR]</v>
      </c>
    </row>
    <row r="4806" spans="1:4" x14ac:dyDescent="0.25">
      <c r="A4806" t="str">
        <f>T("   ZZZ_Monde")</f>
        <v xml:space="preserve">   ZZZ_Monde</v>
      </c>
      <c r="B4806" t="str">
        <f>T("   ZZZ_Monde")</f>
        <v xml:space="preserve">   ZZZ_Monde</v>
      </c>
      <c r="C4806">
        <v>1758231</v>
      </c>
      <c r="D4806">
        <v>39</v>
      </c>
    </row>
    <row r="4807" spans="1:4" x14ac:dyDescent="0.25">
      <c r="A4807" t="str">
        <f>T("   FR")</f>
        <v xml:space="preserve">   FR</v>
      </c>
      <c r="B4807" t="str">
        <f>T("   France")</f>
        <v xml:space="preserve">   France</v>
      </c>
      <c r="C4807">
        <v>1758231</v>
      </c>
      <c r="D4807">
        <v>39</v>
      </c>
    </row>
    <row r="4808" spans="1:4" x14ac:dyDescent="0.25">
      <c r="A4808" t="str">
        <f>T("400299")</f>
        <v>400299</v>
      </c>
      <c r="B4808" t="str">
        <f>T("Caoutchouc synthétique et factice pour caoutchouc dérivé des huiles, sous formes primaires ou en plaques, feuilles ou bandes (sauf latex et caoutchoucs styrène-butadiène, styrène-butadiène carboxylé, butadiène, isobutène-isoprène [butyle], isobutène-isopr")</f>
        <v>Caoutchouc synthétique et factice pour caoutchouc dérivé des huiles, sous formes primaires ou en plaques, feuilles ou bandes (sauf latex et caoutchoucs styrène-butadiène, styrène-butadiène carboxylé, butadiène, isobutène-isoprène [butyle], isobutène-isopr</v>
      </c>
    </row>
    <row r="4809" spans="1:4" x14ac:dyDescent="0.25">
      <c r="A4809" t="str">
        <f>T("   ZZZ_Monde")</f>
        <v xml:space="preserve">   ZZZ_Monde</v>
      </c>
      <c r="B4809" t="str">
        <f>T("   ZZZ_Monde")</f>
        <v xml:space="preserve">   ZZZ_Monde</v>
      </c>
      <c r="C4809">
        <v>4832929</v>
      </c>
      <c r="D4809">
        <v>1099</v>
      </c>
    </row>
    <row r="4810" spans="1:4" x14ac:dyDescent="0.25">
      <c r="A4810" t="str">
        <f>T("   BE")</f>
        <v xml:space="preserve">   BE</v>
      </c>
      <c r="B4810" t="str">
        <f>T("   Belgique")</f>
        <v xml:space="preserve">   Belgique</v>
      </c>
      <c r="C4810">
        <v>3040374</v>
      </c>
      <c r="D4810">
        <v>715</v>
      </c>
    </row>
    <row r="4811" spans="1:4" x14ac:dyDescent="0.25">
      <c r="A4811" t="str">
        <f>T("   FR")</f>
        <v xml:space="preserve">   FR</v>
      </c>
      <c r="B4811" t="str">
        <f>T("   France")</f>
        <v xml:space="preserve">   France</v>
      </c>
      <c r="C4811">
        <v>1792555</v>
      </c>
      <c r="D4811">
        <v>384</v>
      </c>
    </row>
    <row r="4812" spans="1:4" x14ac:dyDescent="0.25">
      <c r="A4812" t="str">
        <f>T("400400")</f>
        <v>400400</v>
      </c>
      <c r="B4812" t="str">
        <f>T("Déchets, débris et rognures de caoutchouc non durci, même réduits en poudre ou en granulés")</f>
        <v>Déchets, débris et rognures de caoutchouc non durci, même réduits en poudre ou en granulés</v>
      </c>
    </row>
    <row r="4813" spans="1:4" x14ac:dyDescent="0.25">
      <c r="A4813" t="str">
        <f>T("   ZZZ_Monde")</f>
        <v xml:space="preserve">   ZZZ_Monde</v>
      </c>
      <c r="B4813" t="str">
        <f>T("   ZZZ_Monde")</f>
        <v xml:space="preserve">   ZZZ_Monde</v>
      </c>
      <c r="C4813">
        <v>19018249</v>
      </c>
      <c r="D4813">
        <v>31000</v>
      </c>
    </row>
    <row r="4814" spans="1:4" x14ac:dyDescent="0.25">
      <c r="A4814" t="str">
        <f>T("   FR")</f>
        <v xml:space="preserve">   FR</v>
      </c>
      <c r="B4814" t="str">
        <f>T("   France")</f>
        <v xml:space="preserve">   France</v>
      </c>
      <c r="C4814">
        <v>19018249</v>
      </c>
      <c r="D4814">
        <v>31000</v>
      </c>
    </row>
    <row r="4815" spans="1:4" x14ac:dyDescent="0.25">
      <c r="A4815" t="str">
        <f>T("400520")</f>
        <v>400520</v>
      </c>
      <c r="B4815" t="str">
        <f>T("Caoutchouc mélangé, non vulcanisé, en solutions ou en dispersions (à l'excl. du caoutchouc additionné de noir de carbone ou de silice ainsi que des mélanges de caoutchouc naturel, de balata, de gutta-percha, de guayule, de chicle ou de gommes naturelles a")</f>
        <v>Caoutchouc mélangé, non vulcanisé, en solutions ou en dispersions (à l'excl. du caoutchouc additionné de noir de carbone ou de silice ainsi que des mélanges de caoutchouc naturel, de balata, de gutta-percha, de guayule, de chicle ou de gommes naturelles a</v>
      </c>
    </row>
    <row r="4816" spans="1:4" x14ac:dyDescent="0.25">
      <c r="A4816" t="str">
        <f>T("   ZZZ_Monde")</f>
        <v xml:space="preserve">   ZZZ_Monde</v>
      </c>
      <c r="B4816" t="str">
        <f>T("   ZZZ_Monde")</f>
        <v xml:space="preserve">   ZZZ_Monde</v>
      </c>
      <c r="C4816">
        <v>11807</v>
      </c>
      <c r="D4816">
        <v>1</v>
      </c>
    </row>
    <row r="4817" spans="1:4" x14ac:dyDescent="0.25">
      <c r="A4817" t="str">
        <f>T("   FR")</f>
        <v xml:space="preserve">   FR</v>
      </c>
      <c r="B4817" t="str">
        <f>T("   France")</f>
        <v xml:space="preserve">   France</v>
      </c>
      <c r="C4817">
        <v>11807</v>
      </c>
      <c r="D4817">
        <v>1</v>
      </c>
    </row>
    <row r="4818" spans="1:4" x14ac:dyDescent="0.25">
      <c r="A4818" t="str">
        <f>T("400591")</f>
        <v>400591</v>
      </c>
      <c r="B4818" t="str">
        <f>T("Caoutchouc mélangé, non vulcanisé, en plaques, feuilles ou bandes (à l'excl. du caoutchouc additionné de noir de carbone ou de silice ainsi que des mélanges de caoutchouc naturel, de balata, de gutta-percha, de guayule, de chicle ou de gommes naturelles a")</f>
        <v>Caoutchouc mélangé, non vulcanisé, en plaques, feuilles ou bandes (à l'excl. du caoutchouc additionné de noir de carbone ou de silice ainsi que des mélanges de caoutchouc naturel, de balata, de gutta-percha, de guayule, de chicle ou de gommes naturelles a</v>
      </c>
    </row>
    <row r="4819" spans="1:4" x14ac:dyDescent="0.25">
      <c r="A4819" t="str">
        <f>T("   ZZZ_Monde")</f>
        <v xml:space="preserve">   ZZZ_Monde</v>
      </c>
      <c r="B4819" t="str">
        <f>T("   ZZZ_Monde")</f>
        <v xml:space="preserve">   ZZZ_Monde</v>
      </c>
      <c r="C4819">
        <v>45180</v>
      </c>
      <c r="D4819">
        <v>378</v>
      </c>
    </row>
    <row r="4820" spans="1:4" x14ac:dyDescent="0.25">
      <c r="A4820" t="str">
        <f>T("   DE")</f>
        <v xml:space="preserve">   DE</v>
      </c>
      <c r="B4820" t="str">
        <f>T("   Allemagne")</f>
        <v xml:space="preserve">   Allemagne</v>
      </c>
      <c r="C4820">
        <v>10000</v>
      </c>
      <c r="D4820">
        <v>278</v>
      </c>
    </row>
    <row r="4821" spans="1:4" x14ac:dyDescent="0.25">
      <c r="A4821" t="str">
        <f>T("   TG")</f>
        <v xml:space="preserve">   TG</v>
      </c>
      <c r="B4821" t="str">
        <f>T("   Togo")</f>
        <v xml:space="preserve">   Togo</v>
      </c>
      <c r="C4821">
        <v>35180</v>
      </c>
      <c r="D4821">
        <v>100</v>
      </c>
    </row>
    <row r="4822" spans="1:4" x14ac:dyDescent="0.25">
      <c r="A4822" t="str">
        <f>T("400599")</f>
        <v>400599</v>
      </c>
      <c r="B4822" t="str">
        <f>T("Caoutchouc mélangé, non vulcanisé, sous formes primaires (à l'excl. des solutions, des dispersions, des produits en plaques, feuilles ou bandes, du caoutchouc additionné de noir de carbone ou de silice ainsi que des mélanges de caoutchouc naturel, de bala")</f>
        <v>Caoutchouc mélangé, non vulcanisé, sous formes primaires (à l'excl. des solutions, des dispersions, des produits en plaques, feuilles ou bandes, du caoutchouc additionné de noir de carbone ou de silice ainsi que des mélanges de caoutchouc naturel, de bala</v>
      </c>
    </row>
    <row r="4823" spans="1:4" x14ac:dyDescent="0.25">
      <c r="A4823" t="str">
        <f>T("   ZZZ_Monde")</f>
        <v xml:space="preserve">   ZZZ_Monde</v>
      </c>
      <c r="B4823" t="str">
        <f>T("   ZZZ_Monde")</f>
        <v xml:space="preserve">   ZZZ_Monde</v>
      </c>
      <c r="C4823">
        <v>1413500</v>
      </c>
      <c r="D4823">
        <v>26030</v>
      </c>
    </row>
    <row r="4824" spans="1:4" x14ac:dyDescent="0.25">
      <c r="A4824" t="str">
        <f>T("   FR")</f>
        <v xml:space="preserve">   FR</v>
      </c>
      <c r="B4824" t="str">
        <f>T("   France")</f>
        <v xml:space="preserve">   France</v>
      </c>
      <c r="C4824">
        <v>36000</v>
      </c>
      <c r="D4824">
        <v>30</v>
      </c>
    </row>
    <row r="4825" spans="1:4" x14ac:dyDescent="0.25">
      <c r="A4825" t="str">
        <f>T("   Z2")</f>
        <v xml:space="preserve">   Z2</v>
      </c>
      <c r="B4825" t="str">
        <f>T("   Pays non défini")</f>
        <v xml:space="preserve">   Pays non défini</v>
      </c>
      <c r="C4825">
        <v>1377500</v>
      </c>
      <c r="D4825">
        <v>26000</v>
      </c>
    </row>
    <row r="4826" spans="1:4" x14ac:dyDescent="0.25">
      <c r="A4826" t="str">
        <f>T("400690")</f>
        <v>400690</v>
      </c>
      <c r="B4826" t="str">
        <f>T("Baguettes, tubes, profilés et formes simil., disques, rondelles et articles simil., en caoutchouc non vulcanisé, même mélangé (à l'excl. des profilés pour le rechapage ainsi que des plaques, feuilles ou bandes qui n'ont pas subi d'autres ouvraisons qu'un")</f>
        <v>Baguettes, tubes, profilés et formes simil., disques, rondelles et articles simil., en caoutchouc non vulcanisé, même mélangé (à l'excl. des profilés pour le rechapage ainsi que des plaques, feuilles ou bandes qui n'ont pas subi d'autres ouvraisons qu'un</v>
      </c>
    </row>
    <row r="4827" spans="1:4" x14ac:dyDescent="0.25">
      <c r="A4827" t="str">
        <f>T("   ZZZ_Monde")</f>
        <v xml:space="preserve">   ZZZ_Monde</v>
      </c>
      <c r="B4827" t="str">
        <f>T("   ZZZ_Monde")</f>
        <v xml:space="preserve">   ZZZ_Monde</v>
      </c>
      <c r="C4827">
        <v>211219</v>
      </c>
      <c r="D4827">
        <v>40</v>
      </c>
    </row>
    <row r="4828" spans="1:4" x14ac:dyDescent="0.25">
      <c r="A4828" t="str">
        <f>T("   DE")</f>
        <v xml:space="preserve">   DE</v>
      </c>
      <c r="B4828" t="str">
        <f>T("   Allemagne")</f>
        <v xml:space="preserve">   Allemagne</v>
      </c>
      <c r="C4828">
        <v>211219</v>
      </c>
      <c r="D4828">
        <v>40</v>
      </c>
    </row>
    <row r="4829" spans="1:4" x14ac:dyDescent="0.25">
      <c r="A4829" t="str">
        <f>T("400700")</f>
        <v>400700</v>
      </c>
      <c r="B4829" t="str">
        <f>T("Fils et cordes de caoutchouc vulcanisé (à l'excl. des fils nus simples dont la plus grande dimension de la coupe transversale excède 5 mm ainsi que des matières textiles associées à des fils de caoutchouc [p.ex. fils et cordes de caoutchouc recouverts de")</f>
        <v>Fils et cordes de caoutchouc vulcanisé (à l'excl. des fils nus simples dont la plus grande dimension de la coupe transversale excède 5 mm ainsi que des matières textiles associées à des fils de caoutchouc [p.ex. fils et cordes de caoutchouc recouverts de</v>
      </c>
    </row>
    <row r="4830" spans="1:4" x14ac:dyDescent="0.25">
      <c r="A4830" t="str">
        <f>T("   ZZZ_Monde")</f>
        <v xml:space="preserve">   ZZZ_Monde</v>
      </c>
      <c r="B4830" t="str">
        <f>T("   ZZZ_Monde")</f>
        <v xml:space="preserve">   ZZZ_Monde</v>
      </c>
      <c r="C4830">
        <v>7475044</v>
      </c>
      <c r="D4830">
        <v>23220</v>
      </c>
    </row>
    <row r="4831" spans="1:4" x14ac:dyDescent="0.25">
      <c r="A4831" t="str">
        <f>T("   CN")</f>
        <v xml:space="preserve">   CN</v>
      </c>
      <c r="B4831" t="str">
        <f>T("   Chine")</f>
        <v xml:space="preserve">   Chine</v>
      </c>
      <c r="C4831">
        <v>3998743</v>
      </c>
      <c r="D4831">
        <v>15322</v>
      </c>
    </row>
    <row r="4832" spans="1:4" x14ac:dyDescent="0.25">
      <c r="A4832" t="str">
        <f>T("   FR")</f>
        <v xml:space="preserve">   FR</v>
      </c>
      <c r="B4832" t="str">
        <f>T("   France")</f>
        <v xml:space="preserve">   France</v>
      </c>
      <c r="C4832">
        <v>361434</v>
      </c>
      <c r="D4832">
        <v>119</v>
      </c>
    </row>
    <row r="4833" spans="1:4" x14ac:dyDescent="0.25">
      <c r="A4833" t="str">
        <f>T("   SG")</f>
        <v xml:space="preserve">   SG</v>
      </c>
      <c r="B4833" t="str">
        <f>T("   Singapour")</f>
        <v xml:space="preserve">   Singapour</v>
      </c>
      <c r="C4833">
        <v>3079958</v>
      </c>
      <c r="D4833">
        <v>7709</v>
      </c>
    </row>
    <row r="4834" spans="1:4" x14ac:dyDescent="0.25">
      <c r="A4834" t="str">
        <f>T("   TG")</f>
        <v xml:space="preserve">   TG</v>
      </c>
      <c r="B4834" t="str">
        <f>T("   Togo")</f>
        <v xml:space="preserve">   Togo</v>
      </c>
      <c r="C4834">
        <v>34909</v>
      </c>
      <c r="D4834">
        <v>70</v>
      </c>
    </row>
    <row r="4835" spans="1:4" x14ac:dyDescent="0.25">
      <c r="A4835" t="str">
        <f>T("400819")</f>
        <v>400819</v>
      </c>
      <c r="B4835" t="str">
        <f>T("Baguettes et profilés, en caoutchouc alvéolaire non durci")</f>
        <v>Baguettes et profilés, en caoutchouc alvéolaire non durci</v>
      </c>
    </row>
    <row r="4836" spans="1:4" x14ac:dyDescent="0.25">
      <c r="A4836" t="str">
        <f>T("   ZZZ_Monde")</f>
        <v xml:space="preserve">   ZZZ_Monde</v>
      </c>
      <c r="B4836" t="str">
        <f>T("   ZZZ_Monde")</f>
        <v xml:space="preserve">   ZZZ_Monde</v>
      </c>
      <c r="C4836">
        <v>3496266</v>
      </c>
      <c r="D4836">
        <v>520</v>
      </c>
    </row>
    <row r="4837" spans="1:4" x14ac:dyDescent="0.25">
      <c r="A4837" t="str">
        <f>T("   FR")</f>
        <v xml:space="preserve">   FR</v>
      </c>
      <c r="B4837" t="str">
        <f>T("   France")</f>
        <v xml:space="preserve">   France</v>
      </c>
      <c r="C4837">
        <v>3496266</v>
      </c>
      <c r="D4837">
        <v>520</v>
      </c>
    </row>
    <row r="4838" spans="1:4" x14ac:dyDescent="0.25">
      <c r="A4838" t="str">
        <f>T("400821")</f>
        <v>400821</v>
      </c>
      <c r="B4838" t="str">
        <f>T("PLAQUES, FEUILLES ET BANDES, EN CAOUTCHOUC NON-ALVÉOLAIRE NON-DURCI")</f>
        <v>PLAQUES, FEUILLES ET BANDES, EN CAOUTCHOUC NON-ALVÉOLAIRE NON-DURCI</v>
      </c>
    </row>
    <row r="4839" spans="1:4" x14ac:dyDescent="0.25">
      <c r="A4839" t="str">
        <f>T("   ZZZ_Monde")</f>
        <v xml:space="preserve">   ZZZ_Monde</v>
      </c>
      <c r="B4839" t="str">
        <f>T("   ZZZ_Monde")</f>
        <v xml:space="preserve">   ZZZ_Monde</v>
      </c>
      <c r="C4839">
        <v>1703564</v>
      </c>
      <c r="D4839">
        <v>697</v>
      </c>
    </row>
    <row r="4840" spans="1:4" x14ac:dyDescent="0.25">
      <c r="A4840" t="str">
        <f>T("   FR")</f>
        <v xml:space="preserve">   FR</v>
      </c>
      <c r="B4840" t="str">
        <f>T("   France")</f>
        <v xml:space="preserve">   France</v>
      </c>
      <c r="C4840">
        <v>1315200</v>
      </c>
      <c r="D4840">
        <v>236</v>
      </c>
    </row>
    <row r="4841" spans="1:4" x14ac:dyDescent="0.25">
      <c r="A4841" t="str">
        <f>T("   NG")</f>
        <v xml:space="preserve">   NG</v>
      </c>
      <c r="B4841" t="str">
        <f>T("   Nigéria")</f>
        <v xml:space="preserve">   Nigéria</v>
      </c>
      <c r="C4841">
        <v>272000</v>
      </c>
      <c r="D4841">
        <v>272</v>
      </c>
    </row>
    <row r="4842" spans="1:4" x14ac:dyDescent="0.25">
      <c r="A4842" t="str">
        <f>T("   TG")</f>
        <v xml:space="preserve">   TG</v>
      </c>
      <c r="B4842" t="str">
        <f>T("   Togo")</f>
        <v xml:space="preserve">   Togo</v>
      </c>
      <c r="C4842">
        <v>116364</v>
      </c>
      <c r="D4842">
        <v>189</v>
      </c>
    </row>
    <row r="4843" spans="1:4" x14ac:dyDescent="0.25">
      <c r="A4843" t="str">
        <f>T("400829")</f>
        <v>400829</v>
      </c>
      <c r="B4843" t="str">
        <f>T("Baguettes et profilés, en caoutchouc non alvéolaire non durci")</f>
        <v>Baguettes et profilés, en caoutchouc non alvéolaire non durci</v>
      </c>
    </row>
    <row r="4844" spans="1:4" x14ac:dyDescent="0.25">
      <c r="A4844" t="str">
        <f>T("   ZZZ_Monde")</f>
        <v xml:space="preserve">   ZZZ_Monde</v>
      </c>
      <c r="B4844" t="str">
        <f>T("   ZZZ_Monde")</f>
        <v xml:space="preserve">   ZZZ_Monde</v>
      </c>
      <c r="C4844">
        <v>2254295</v>
      </c>
      <c r="D4844">
        <v>819</v>
      </c>
    </row>
    <row r="4845" spans="1:4" x14ac:dyDescent="0.25">
      <c r="A4845" t="str">
        <f>T("   CN")</f>
        <v xml:space="preserve">   CN</v>
      </c>
      <c r="B4845" t="str">
        <f>T("   Chine")</f>
        <v xml:space="preserve">   Chine</v>
      </c>
      <c r="C4845">
        <v>495834</v>
      </c>
      <c r="D4845">
        <v>487</v>
      </c>
    </row>
    <row r="4846" spans="1:4" x14ac:dyDescent="0.25">
      <c r="A4846" t="str">
        <f>T("   FR")</f>
        <v xml:space="preserve">   FR</v>
      </c>
      <c r="B4846" t="str">
        <f>T("   France")</f>
        <v xml:space="preserve">   France</v>
      </c>
      <c r="C4846">
        <v>1443063</v>
      </c>
      <c r="D4846">
        <v>101</v>
      </c>
    </row>
    <row r="4847" spans="1:4" x14ac:dyDescent="0.25">
      <c r="A4847" t="str">
        <f>T("   NG")</f>
        <v xml:space="preserve">   NG</v>
      </c>
      <c r="B4847" t="str">
        <f>T("   Nigéria")</f>
        <v xml:space="preserve">   Nigéria</v>
      </c>
      <c r="C4847">
        <v>225000</v>
      </c>
      <c r="D4847">
        <v>225</v>
      </c>
    </row>
    <row r="4848" spans="1:4" x14ac:dyDescent="0.25">
      <c r="A4848" t="str">
        <f>T("   US")</f>
        <v xml:space="preserve">   US</v>
      </c>
      <c r="B4848" t="str">
        <f>T("   Etats-Unis")</f>
        <v xml:space="preserve">   Etats-Unis</v>
      </c>
      <c r="C4848">
        <v>90398</v>
      </c>
      <c r="D4848">
        <v>6</v>
      </c>
    </row>
    <row r="4849" spans="1:4" x14ac:dyDescent="0.25">
      <c r="A4849" t="str">
        <f>T("400911")</f>
        <v>400911</v>
      </c>
      <c r="B4849" t="str">
        <f>T("Tubes et tuyaux en caoutchouc vulcanisé non durci, non renforcés à l'aide d'autres matières ni autrement associés à d'autres matières, sans accessoires")</f>
        <v>Tubes et tuyaux en caoutchouc vulcanisé non durci, non renforcés à l'aide d'autres matières ni autrement associés à d'autres matières, sans accessoires</v>
      </c>
    </row>
    <row r="4850" spans="1:4" x14ac:dyDescent="0.25">
      <c r="A4850" t="str">
        <f>T("   ZZZ_Monde")</f>
        <v xml:space="preserve">   ZZZ_Monde</v>
      </c>
      <c r="B4850" t="str">
        <f>T("   ZZZ_Monde")</f>
        <v xml:space="preserve">   ZZZ_Monde</v>
      </c>
      <c r="C4850">
        <v>52704717</v>
      </c>
      <c r="D4850">
        <v>5300.65</v>
      </c>
    </row>
    <row r="4851" spans="1:4" x14ac:dyDescent="0.25">
      <c r="A4851" t="str">
        <f>T("   AT")</f>
        <v xml:space="preserve">   AT</v>
      </c>
      <c r="B4851" t="str">
        <f>T("   Autriche")</f>
        <v xml:space="preserve">   Autriche</v>
      </c>
      <c r="C4851">
        <v>4420928</v>
      </c>
      <c r="D4851">
        <v>159</v>
      </c>
    </row>
    <row r="4852" spans="1:4" x14ac:dyDescent="0.25">
      <c r="A4852" t="str">
        <f>T("   AU")</f>
        <v xml:space="preserve">   AU</v>
      </c>
      <c r="B4852" t="str">
        <f>T("   Australie")</f>
        <v xml:space="preserve">   Australie</v>
      </c>
      <c r="C4852">
        <v>2533842</v>
      </c>
      <c r="D4852">
        <v>25</v>
      </c>
    </row>
    <row r="4853" spans="1:4" x14ac:dyDescent="0.25">
      <c r="A4853" t="str">
        <f>T("   BE")</f>
        <v xml:space="preserve">   BE</v>
      </c>
      <c r="B4853" t="str">
        <f>T("   Belgique")</f>
        <v xml:space="preserve">   Belgique</v>
      </c>
      <c r="C4853">
        <v>1582373</v>
      </c>
      <c r="D4853">
        <v>77</v>
      </c>
    </row>
    <row r="4854" spans="1:4" x14ac:dyDescent="0.25">
      <c r="A4854" t="str">
        <f>T("   CN")</f>
        <v xml:space="preserve">   CN</v>
      </c>
      <c r="B4854" t="str">
        <f>T("   Chine")</f>
        <v xml:space="preserve">   Chine</v>
      </c>
      <c r="C4854">
        <v>84366</v>
      </c>
      <c r="D4854">
        <v>98</v>
      </c>
    </row>
    <row r="4855" spans="1:4" x14ac:dyDescent="0.25">
      <c r="A4855" t="str">
        <f>T("   DE")</f>
        <v xml:space="preserve">   DE</v>
      </c>
      <c r="B4855" t="str">
        <f>T("   Allemagne")</f>
        <v xml:space="preserve">   Allemagne</v>
      </c>
      <c r="C4855">
        <v>416685</v>
      </c>
      <c r="D4855">
        <v>5</v>
      </c>
    </row>
    <row r="4856" spans="1:4" x14ac:dyDescent="0.25">
      <c r="A4856" t="str">
        <f>T("   FR")</f>
        <v xml:space="preserve">   FR</v>
      </c>
      <c r="B4856" t="str">
        <f>T("   France")</f>
        <v xml:space="preserve">   France</v>
      </c>
      <c r="C4856">
        <v>40521714</v>
      </c>
      <c r="D4856">
        <v>4728.6499999999996</v>
      </c>
    </row>
    <row r="4857" spans="1:4" x14ac:dyDescent="0.25">
      <c r="A4857" t="str">
        <f>T("   GB")</f>
        <v xml:space="preserve">   GB</v>
      </c>
      <c r="B4857" t="str">
        <f>T("   Royaume-Uni")</f>
        <v xml:space="preserve">   Royaume-Uni</v>
      </c>
      <c r="C4857">
        <v>196289</v>
      </c>
      <c r="D4857">
        <v>21</v>
      </c>
    </row>
    <row r="4858" spans="1:4" x14ac:dyDescent="0.25">
      <c r="A4858" t="str">
        <f>T("   GH")</f>
        <v xml:space="preserve">   GH</v>
      </c>
      <c r="B4858" t="str">
        <f>T("   Ghana")</f>
        <v xml:space="preserve">   Ghana</v>
      </c>
      <c r="C4858">
        <v>123320</v>
      </c>
      <c r="D4858">
        <v>20</v>
      </c>
    </row>
    <row r="4859" spans="1:4" x14ac:dyDescent="0.25">
      <c r="A4859" t="str">
        <f>T("   JP")</f>
        <v xml:space="preserve">   JP</v>
      </c>
      <c r="B4859" t="str">
        <f>T("   Japon")</f>
        <v xml:space="preserve">   Japon</v>
      </c>
      <c r="C4859">
        <v>153718</v>
      </c>
      <c r="D4859">
        <v>4</v>
      </c>
    </row>
    <row r="4860" spans="1:4" x14ac:dyDescent="0.25">
      <c r="A4860" t="str">
        <f>T("   US")</f>
        <v xml:space="preserve">   US</v>
      </c>
      <c r="B4860" t="str">
        <f>T("   Etats-Unis")</f>
        <v xml:space="preserve">   Etats-Unis</v>
      </c>
      <c r="C4860">
        <v>2671482</v>
      </c>
      <c r="D4860">
        <v>163</v>
      </c>
    </row>
    <row r="4861" spans="1:4" x14ac:dyDescent="0.25">
      <c r="A4861" t="str">
        <f>T("400912")</f>
        <v>400912</v>
      </c>
      <c r="B4861" t="str">
        <f>T("TUBES ET TUYAUX EN CAOUTCHOUC VULCANISÉ NON DURCI, NON RENFORCÉS À L'AIDE D'AUTRES MATIÈRES NI AUTREMENT ASSOCIÉS À D'AUTRES MATIÈRES, AVEC ACCESSOIRES [JOINTS, COUDES, RACCORDS, PAR EXEMPLE]")</f>
        <v>TUBES ET TUYAUX EN CAOUTCHOUC VULCANISÉ NON DURCI, NON RENFORCÉS À L'AIDE D'AUTRES MATIÈRES NI AUTREMENT ASSOCIÉS À D'AUTRES MATIÈRES, AVEC ACCESSOIRES [JOINTS, COUDES, RACCORDS, PAR EXEMPLE]</v>
      </c>
    </row>
    <row r="4862" spans="1:4" x14ac:dyDescent="0.25">
      <c r="A4862" t="str">
        <f>T("   ZZZ_Monde")</f>
        <v xml:space="preserve">   ZZZ_Monde</v>
      </c>
      <c r="B4862" t="str">
        <f>T("   ZZZ_Monde")</f>
        <v xml:space="preserve">   ZZZ_Monde</v>
      </c>
      <c r="C4862">
        <v>4303812</v>
      </c>
      <c r="D4862">
        <v>372.8</v>
      </c>
    </row>
    <row r="4863" spans="1:4" x14ac:dyDescent="0.25">
      <c r="A4863" t="str">
        <f>T("   BE")</f>
        <v xml:space="preserve">   BE</v>
      </c>
      <c r="B4863" t="str">
        <f>T("   Belgique")</f>
        <v xml:space="preserve">   Belgique</v>
      </c>
      <c r="C4863">
        <v>753416</v>
      </c>
      <c r="D4863">
        <v>23.8</v>
      </c>
    </row>
    <row r="4864" spans="1:4" x14ac:dyDescent="0.25">
      <c r="A4864" t="str">
        <f>T("   FI")</f>
        <v xml:space="preserve">   FI</v>
      </c>
      <c r="B4864" t="str">
        <f>T("   Finlande")</f>
        <v xml:space="preserve">   Finlande</v>
      </c>
      <c r="C4864">
        <v>297622</v>
      </c>
      <c r="D4864">
        <v>10</v>
      </c>
    </row>
    <row r="4865" spans="1:4" x14ac:dyDescent="0.25">
      <c r="A4865" t="str">
        <f>T("   FR")</f>
        <v xml:space="preserve">   FR</v>
      </c>
      <c r="B4865" t="str">
        <f>T("   France")</f>
        <v xml:space="preserve">   France</v>
      </c>
      <c r="C4865">
        <v>2478420</v>
      </c>
      <c r="D4865">
        <v>234</v>
      </c>
    </row>
    <row r="4866" spans="1:4" x14ac:dyDescent="0.25">
      <c r="A4866" t="str">
        <f>T("   NL")</f>
        <v xml:space="preserve">   NL</v>
      </c>
      <c r="B4866" t="str">
        <f>T("   Pays-bas")</f>
        <v xml:space="preserve">   Pays-bas</v>
      </c>
      <c r="C4866">
        <v>628062</v>
      </c>
      <c r="D4866">
        <v>52</v>
      </c>
    </row>
    <row r="4867" spans="1:4" x14ac:dyDescent="0.25">
      <c r="A4867" t="str">
        <f>T("   TR")</f>
        <v xml:space="preserve">   TR</v>
      </c>
      <c r="B4867" t="str">
        <f>T("   Turquie")</f>
        <v xml:space="preserve">   Turquie</v>
      </c>
      <c r="C4867">
        <v>146292</v>
      </c>
      <c r="D4867">
        <v>53</v>
      </c>
    </row>
    <row r="4868" spans="1:4" x14ac:dyDescent="0.25">
      <c r="A4868" t="str">
        <f>T("400921")</f>
        <v>400921</v>
      </c>
      <c r="B4868" t="str">
        <f>T("Tubes et tuyaux en caoutchouc vulcanisé non durci, renforcés seulement à l'aide de métal ou autrement associés seulement à du métal, sans accessoires")</f>
        <v>Tubes et tuyaux en caoutchouc vulcanisé non durci, renforcés seulement à l'aide de métal ou autrement associés seulement à du métal, sans accessoires</v>
      </c>
    </row>
    <row r="4869" spans="1:4" x14ac:dyDescent="0.25">
      <c r="A4869" t="str">
        <f>T("   ZZZ_Monde")</f>
        <v xml:space="preserve">   ZZZ_Monde</v>
      </c>
      <c r="B4869" t="str">
        <f>T("   ZZZ_Monde")</f>
        <v xml:space="preserve">   ZZZ_Monde</v>
      </c>
      <c r="C4869">
        <v>12572975</v>
      </c>
      <c r="D4869">
        <v>1566.27</v>
      </c>
    </row>
    <row r="4870" spans="1:4" x14ac:dyDescent="0.25">
      <c r="A4870" t="str">
        <f>T("   BE")</f>
        <v xml:space="preserve">   BE</v>
      </c>
      <c r="B4870" t="str">
        <f>T("   Belgique")</f>
        <v xml:space="preserve">   Belgique</v>
      </c>
      <c r="C4870">
        <v>81962</v>
      </c>
      <c r="D4870">
        <v>6.27</v>
      </c>
    </row>
    <row r="4871" spans="1:4" x14ac:dyDescent="0.25">
      <c r="A4871" t="str">
        <f>T("   FR")</f>
        <v xml:space="preserve">   FR</v>
      </c>
      <c r="B4871" t="str">
        <f>T("   France")</f>
        <v xml:space="preserve">   France</v>
      </c>
      <c r="C4871">
        <v>12491013</v>
      </c>
      <c r="D4871">
        <v>1560</v>
      </c>
    </row>
    <row r="4872" spans="1:4" x14ac:dyDescent="0.25">
      <c r="A4872" t="str">
        <f>T("400922")</f>
        <v>400922</v>
      </c>
      <c r="B4872" t="str">
        <f>T("TUBES ET TUYAUX EN CAOUTCHOUC VULCANISÉ NON DURCI, RENFORCÉS SEULEMENT À L'AIDE DE MÉTAL OU AUTREMENT ASSOCIÉS SEULEMENT À DU MÉTAL, AVEC ACCESSOIRES [JOINTS, COUDES, RACCORDS, PAR EXEMPLE]")</f>
        <v>TUBES ET TUYAUX EN CAOUTCHOUC VULCANISÉ NON DURCI, RENFORCÉS SEULEMENT À L'AIDE DE MÉTAL OU AUTREMENT ASSOCIÉS SEULEMENT À DU MÉTAL, AVEC ACCESSOIRES [JOINTS, COUDES, RACCORDS, PAR EXEMPLE]</v>
      </c>
    </row>
    <row r="4873" spans="1:4" x14ac:dyDescent="0.25">
      <c r="A4873" t="str">
        <f>T("   ZZZ_Monde")</f>
        <v xml:space="preserve">   ZZZ_Monde</v>
      </c>
      <c r="B4873" t="str">
        <f>T("   ZZZ_Monde")</f>
        <v xml:space="preserve">   ZZZ_Monde</v>
      </c>
      <c r="C4873">
        <v>3082304</v>
      </c>
      <c r="D4873">
        <v>3069</v>
      </c>
    </row>
    <row r="4874" spans="1:4" x14ac:dyDescent="0.25">
      <c r="A4874" t="str">
        <f>T("   FR")</f>
        <v xml:space="preserve">   FR</v>
      </c>
      <c r="B4874" t="str">
        <f>T("   France")</f>
        <v xml:space="preserve">   France</v>
      </c>
      <c r="C4874">
        <v>512003</v>
      </c>
      <c r="D4874">
        <v>300</v>
      </c>
    </row>
    <row r="4875" spans="1:4" x14ac:dyDescent="0.25">
      <c r="A4875" t="str">
        <f>T("   SE")</f>
        <v xml:space="preserve">   SE</v>
      </c>
      <c r="B4875" t="str">
        <f>T("   Suède")</f>
        <v xml:space="preserve">   Suède</v>
      </c>
      <c r="C4875">
        <v>94708</v>
      </c>
      <c r="D4875">
        <v>3</v>
      </c>
    </row>
    <row r="4876" spans="1:4" x14ac:dyDescent="0.25">
      <c r="A4876" t="str">
        <f>T("   TR")</f>
        <v xml:space="preserve">   TR</v>
      </c>
      <c r="B4876" t="str">
        <f>T("   Turquie")</f>
        <v xml:space="preserve">   Turquie</v>
      </c>
      <c r="C4876">
        <v>2475593</v>
      </c>
      <c r="D4876">
        <v>2766</v>
      </c>
    </row>
    <row r="4877" spans="1:4" x14ac:dyDescent="0.25">
      <c r="A4877" t="str">
        <f>T("400931")</f>
        <v>400931</v>
      </c>
      <c r="B4877" t="str">
        <f>T("Tubes et tuyaux en caoutchouc vulcanisé non durci, renforcés seulement à l'aide de matières textiles ou autrement associés seulement à des matières textiles, sans accessoires")</f>
        <v>Tubes et tuyaux en caoutchouc vulcanisé non durci, renforcés seulement à l'aide de matières textiles ou autrement associés seulement à des matières textiles, sans accessoires</v>
      </c>
    </row>
    <row r="4878" spans="1:4" x14ac:dyDescent="0.25">
      <c r="A4878" t="str">
        <f>T("   ZZZ_Monde")</f>
        <v xml:space="preserve">   ZZZ_Monde</v>
      </c>
      <c r="B4878" t="str">
        <f>T("   ZZZ_Monde")</f>
        <v xml:space="preserve">   ZZZ_Monde</v>
      </c>
      <c r="C4878">
        <v>2670415</v>
      </c>
      <c r="D4878">
        <v>142</v>
      </c>
    </row>
    <row r="4879" spans="1:4" x14ac:dyDescent="0.25">
      <c r="A4879" t="str">
        <f>T("   BE")</f>
        <v xml:space="preserve">   BE</v>
      </c>
      <c r="B4879" t="str">
        <f>T("   Belgique")</f>
        <v xml:space="preserve">   Belgique</v>
      </c>
      <c r="C4879">
        <v>496562</v>
      </c>
      <c r="D4879">
        <v>12</v>
      </c>
    </row>
    <row r="4880" spans="1:4" x14ac:dyDescent="0.25">
      <c r="A4880" t="str">
        <f>T("   FR")</f>
        <v xml:space="preserve">   FR</v>
      </c>
      <c r="B4880" t="str">
        <f>T("   France")</f>
        <v xml:space="preserve">   France</v>
      </c>
      <c r="C4880">
        <v>2173853</v>
      </c>
      <c r="D4880">
        <v>130</v>
      </c>
    </row>
    <row r="4881" spans="1:4" x14ac:dyDescent="0.25">
      <c r="A4881" t="str">
        <f>T("400932")</f>
        <v>400932</v>
      </c>
      <c r="B4881" t="str">
        <f>T("TUBES ET TUYAUX EN CAOUTCHOUC VULCANISÉ NON DURCI, RENFORCÉS SEULEMENT À L'AIDE DE MATIÈRES TEXTILES OU AUTREMENT ASSOCIÉS SEULEMENT À DES MATIÈRES TEXTILES, AVEC ACCESSOIRES [JOINTS, COUDES, RACCORDS, PAR EXEMPLE]")</f>
        <v>TUBES ET TUYAUX EN CAOUTCHOUC VULCANISÉ NON DURCI, RENFORCÉS SEULEMENT À L'AIDE DE MATIÈRES TEXTILES OU AUTREMENT ASSOCIÉS SEULEMENT À DES MATIÈRES TEXTILES, AVEC ACCESSOIRES [JOINTS, COUDES, RACCORDS, PAR EXEMPLE]</v>
      </c>
    </row>
    <row r="4882" spans="1:4" x14ac:dyDescent="0.25">
      <c r="A4882" t="str">
        <f>T("   ZZZ_Monde")</f>
        <v xml:space="preserve">   ZZZ_Monde</v>
      </c>
      <c r="B4882" t="str">
        <f>T("   ZZZ_Monde")</f>
        <v xml:space="preserve">   ZZZ_Monde</v>
      </c>
      <c r="C4882">
        <v>9934081</v>
      </c>
      <c r="D4882">
        <v>739</v>
      </c>
    </row>
    <row r="4883" spans="1:4" x14ac:dyDescent="0.25">
      <c r="A4883" t="str">
        <f>T("   BE")</f>
        <v xml:space="preserve">   BE</v>
      </c>
      <c r="B4883" t="str">
        <f>T("   Belgique")</f>
        <v xml:space="preserve">   Belgique</v>
      </c>
      <c r="C4883">
        <v>725636</v>
      </c>
      <c r="D4883">
        <v>19</v>
      </c>
    </row>
    <row r="4884" spans="1:4" x14ac:dyDescent="0.25">
      <c r="A4884" t="str">
        <f>T("   FR")</f>
        <v xml:space="preserve">   FR</v>
      </c>
      <c r="B4884" t="str">
        <f>T("   France")</f>
        <v xml:space="preserve">   France</v>
      </c>
      <c r="C4884">
        <v>8525512</v>
      </c>
      <c r="D4884">
        <v>683</v>
      </c>
    </row>
    <row r="4885" spans="1:4" x14ac:dyDescent="0.25">
      <c r="A4885" t="str">
        <f>T("   NL")</f>
        <v xml:space="preserve">   NL</v>
      </c>
      <c r="B4885" t="str">
        <f>T("   Pays-bas")</f>
        <v xml:space="preserve">   Pays-bas</v>
      </c>
      <c r="C4885">
        <v>682933</v>
      </c>
      <c r="D4885">
        <v>37</v>
      </c>
    </row>
    <row r="4886" spans="1:4" x14ac:dyDescent="0.25">
      <c r="A4886" t="str">
        <f>T("400941")</f>
        <v>400941</v>
      </c>
      <c r="B4886" t="str">
        <f>T("Tubes et tuyaux en caoutchouc vulcanisé non durci, renforcés à l'aide d'autres matières que le métal ou les matières textiles ou autrement associés à d'autres matières que le métal ou les matières textiles, sans accessoires")</f>
        <v>Tubes et tuyaux en caoutchouc vulcanisé non durci, renforcés à l'aide d'autres matières que le métal ou les matières textiles ou autrement associés à d'autres matières que le métal ou les matières textiles, sans accessoires</v>
      </c>
    </row>
    <row r="4887" spans="1:4" x14ac:dyDescent="0.25">
      <c r="A4887" t="str">
        <f>T("   ZZZ_Monde")</f>
        <v xml:space="preserve">   ZZZ_Monde</v>
      </c>
      <c r="B4887" t="str">
        <f>T("   ZZZ_Monde")</f>
        <v xml:space="preserve">   ZZZ_Monde</v>
      </c>
      <c r="C4887">
        <v>4603020</v>
      </c>
      <c r="D4887">
        <v>1939.98</v>
      </c>
    </row>
    <row r="4888" spans="1:4" x14ac:dyDescent="0.25">
      <c r="A4888" t="str">
        <f>T("   CN")</f>
        <v xml:space="preserve">   CN</v>
      </c>
      <c r="B4888" t="str">
        <f>T("   Chine")</f>
        <v xml:space="preserve">   Chine</v>
      </c>
      <c r="C4888">
        <v>1823447</v>
      </c>
      <c r="D4888">
        <v>1700</v>
      </c>
    </row>
    <row r="4889" spans="1:4" x14ac:dyDescent="0.25">
      <c r="A4889" t="str">
        <f>T("   FI")</f>
        <v xml:space="preserve">   FI</v>
      </c>
      <c r="B4889" t="str">
        <f>T("   Finlande")</f>
        <v xml:space="preserve">   Finlande</v>
      </c>
      <c r="C4889">
        <v>935688</v>
      </c>
      <c r="D4889">
        <v>36.979999999999997</v>
      </c>
    </row>
    <row r="4890" spans="1:4" x14ac:dyDescent="0.25">
      <c r="A4890" t="str">
        <f>T("   FR")</f>
        <v xml:space="preserve">   FR</v>
      </c>
      <c r="B4890" t="str">
        <f>T("   France")</f>
        <v xml:space="preserve">   France</v>
      </c>
      <c r="C4890">
        <v>1593426</v>
      </c>
      <c r="D4890">
        <v>169</v>
      </c>
    </row>
    <row r="4891" spans="1:4" x14ac:dyDescent="0.25">
      <c r="A4891" t="str">
        <f>T("   GB")</f>
        <v xml:space="preserve">   GB</v>
      </c>
      <c r="B4891" t="str">
        <f>T("   Royaume-Uni")</f>
        <v xml:space="preserve">   Royaume-Uni</v>
      </c>
      <c r="C4891">
        <v>250459</v>
      </c>
      <c r="D4891">
        <v>34</v>
      </c>
    </row>
    <row r="4892" spans="1:4" x14ac:dyDescent="0.25">
      <c r="A4892" t="str">
        <f>T("400942")</f>
        <v>400942</v>
      </c>
      <c r="B4892" t="str">
        <f>T("TUBES ET TUYAUX EN CAOUTCHOUC VULCANISÉ NON DURCI, RENFORCÉS À L'AIDE D'AUTRES MATIÈRES QUE LE MÉTAL OU LES MATIÈRES TEXTILES OU AUTREMENT ASSOCIÉS À D'AUTRES MATIÈRES QUE LE MÉTAL OU LES MATIÈRES TEXTILES, AVEC ACCESSOIRES [JOINTS, COUDES, RACCORDS, PAR")</f>
        <v>TUBES ET TUYAUX EN CAOUTCHOUC VULCANISÉ NON DURCI, RENFORCÉS À L'AIDE D'AUTRES MATIÈRES QUE LE MÉTAL OU LES MATIÈRES TEXTILES OU AUTREMENT ASSOCIÉS À D'AUTRES MATIÈRES QUE LE MÉTAL OU LES MATIÈRES TEXTILES, AVEC ACCESSOIRES [JOINTS, COUDES, RACCORDS, PAR</v>
      </c>
    </row>
    <row r="4893" spans="1:4" x14ac:dyDescent="0.25">
      <c r="A4893" t="str">
        <f>T("   ZZZ_Monde")</f>
        <v xml:space="preserve">   ZZZ_Monde</v>
      </c>
      <c r="B4893" t="str">
        <f>T("   ZZZ_Monde")</f>
        <v xml:space="preserve">   ZZZ_Monde</v>
      </c>
      <c r="C4893">
        <v>7893651</v>
      </c>
      <c r="D4893">
        <v>1644</v>
      </c>
    </row>
    <row r="4894" spans="1:4" x14ac:dyDescent="0.25">
      <c r="A4894" t="str">
        <f>T("   BE")</f>
        <v xml:space="preserve">   BE</v>
      </c>
      <c r="B4894" t="str">
        <f>T("   Belgique")</f>
        <v xml:space="preserve">   Belgique</v>
      </c>
      <c r="C4894">
        <v>1298689</v>
      </c>
      <c r="D4894">
        <v>63</v>
      </c>
    </row>
    <row r="4895" spans="1:4" x14ac:dyDescent="0.25">
      <c r="A4895" t="str">
        <f>T("   CH")</f>
        <v xml:space="preserve">   CH</v>
      </c>
      <c r="B4895" t="str">
        <f>T("   Suisse")</f>
        <v xml:space="preserve">   Suisse</v>
      </c>
      <c r="C4895">
        <v>1884599</v>
      </c>
      <c r="D4895">
        <v>305</v>
      </c>
    </row>
    <row r="4896" spans="1:4" x14ac:dyDescent="0.25">
      <c r="A4896" t="str">
        <f>T("   DE")</f>
        <v xml:space="preserve">   DE</v>
      </c>
      <c r="B4896" t="str">
        <f>T("   Allemagne")</f>
        <v xml:space="preserve">   Allemagne</v>
      </c>
      <c r="C4896">
        <v>665583</v>
      </c>
      <c r="D4896">
        <v>19</v>
      </c>
    </row>
    <row r="4897" spans="1:4" x14ac:dyDescent="0.25">
      <c r="A4897" t="str">
        <f>T("   FR")</f>
        <v xml:space="preserve">   FR</v>
      </c>
      <c r="B4897" t="str">
        <f>T("   France")</f>
        <v xml:space="preserve">   France</v>
      </c>
      <c r="C4897">
        <v>3282804</v>
      </c>
      <c r="D4897">
        <v>49</v>
      </c>
    </row>
    <row r="4898" spans="1:4" x14ac:dyDescent="0.25">
      <c r="A4898" t="str">
        <f>T("   LB")</f>
        <v xml:space="preserve">   LB</v>
      </c>
      <c r="B4898" t="str">
        <f>T("   Liban")</f>
        <v xml:space="preserve">   Liban</v>
      </c>
      <c r="C4898">
        <v>30293</v>
      </c>
      <c r="D4898">
        <v>78</v>
      </c>
    </row>
    <row r="4899" spans="1:4" x14ac:dyDescent="0.25">
      <c r="A4899" t="str">
        <f>T("   NG")</f>
        <v xml:space="preserve">   NG</v>
      </c>
      <c r="B4899" t="str">
        <f>T("   Nigéria")</f>
        <v xml:space="preserve">   Nigéria</v>
      </c>
      <c r="C4899">
        <v>206121</v>
      </c>
      <c r="D4899">
        <v>1100</v>
      </c>
    </row>
    <row r="4900" spans="1:4" x14ac:dyDescent="0.25">
      <c r="A4900" t="str">
        <f>T("   NL")</f>
        <v xml:space="preserve">   NL</v>
      </c>
      <c r="B4900" t="str">
        <f>T("   Pays-bas")</f>
        <v xml:space="preserve">   Pays-bas</v>
      </c>
      <c r="C4900">
        <v>525562</v>
      </c>
      <c r="D4900">
        <v>30</v>
      </c>
    </row>
    <row r="4901" spans="1:4" x14ac:dyDescent="0.25">
      <c r="A4901" t="str">
        <f>T("401012")</f>
        <v>401012</v>
      </c>
      <c r="B4901" t="str">
        <f>T("Courroies transporteuses, en caoutchouc vulcanisé, renforcées seulement de matières textiles")</f>
        <v>Courroies transporteuses, en caoutchouc vulcanisé, renforcées seulement de matières textiles</v>
      </c>
    </row>
    <row r="4902" spans="1:4" x14ac:dyDescent="0.25">
      <c r="A4902" t="str">
        <f>T("   ZZZ_Monde")</f>
        <v xml:space="preserve">   ZZZ_Monde</v>
      </c>
      <c r="B4902" t="str">
        <f>T("   ZZZ_Monde")</f>
        <v xml:space="preserve">   ZZZ_Monde</v>
      </c>
      <c r="C4902">
        <v>95659912</v>
      </c>
      <c r="D4902">
        <v>25656</v>
      </c>
    </row>
    <row r="4903" spans="1:4" x14ac:dyDescent="0.25">
      <c r="A4903" t="str">
        <f>T("   BE")</f>
        <v xml:space="preserve">   BE</v>
      </c>
      <c r="B4903" t="str">
        <f>T("   Belgique")</f>
        <v xml:space="preserve">   Belgique</v>
      </c>
      <c r="C4903">
        <v>54299056</v>
      </c>
      <c r="D4903">
        <v>9235</v>
      </c>
    </row>
    <row r="4904" spans="1:4" x14ac:dyDescent="0.25">
      <c r="A4904" t="str">
        <f>T("   FR")</f>
        <v xml:space="preserve">   FR</v>
      </c>
      <c r="B4904" t="str">
        <f>T("   France")</f>
        <v xml:space="preserve">   France</v>
      </c>
      <c r="C4904">
        <v>27352627</v>
      </c>
      <c r="D4904">
        <v>11251</v>
      </c>
    </row>
    <row r="4905" spans="1:4" x14ac:dyDescent="0.25">
      <c r="A4905" t="str">
        <f>T("   NO")</f>
        <v xml:space="preserve">   NO</v>
      </c>
      <c r="B4905" t="str">
        <f>T("   Norvège")</f>
        <v xml:space="preserve">   Norvège</v>
      </c>
      <c r="C4905">
        <v>14008229</v>
      </c>
      <c r="D4905">
        <v>5170</v>
      </c>
    </row>
    <row r="4906" spans="1:4" x14ac:dyDescent="0.25">
      <c r="A4906" t="str">
        <f>T("401019")</f>
        <v>401019</v>
      </c>
      <c r="B4906" t="str">
        <f>T("Courroies transporteuses, en caoutchouc vulcanisé (à l'excl. des produits renforcés seulement de métal, de matières textiles ou de matières plastiques)")</f>
        <v>Courroies transporteuses, en caoutchouc vulcanisé (à l'excl. des produits renforcés seulement de métal, de matières textiles ou de matières plastiques)</v>
      </c>
    </row>
    <row r="4907" spans="1:4" x14ac:dyDescent="0.25">
      <c r="A4907" t="str">
        <f>T("   ZZZ_Monde")</f>
        <v xml:space="preserve">   ZZZ_Monde</v>
      </c>
      <c r="B4907" t="str">
        <f>T("   ZZZ_Monde")</f>
        <v xml:space="preserve">   ZZZ_Monde</v>
      </c>
      <c r="C4907">
        <v>16336251</v>
      </c>
      <c r="D4907">
        <v>3367</v>
      </c>
    </row>
    <row r="4908" spans="1:4" x14ac:dyDescent="0.25">
      <c r="A4908" t="str">
        <f>T("   DE")</f>
        <v xml:space="preserve">   DE</v>
      </c>
      <c r="B4908" t="str">
        <f>T("   Allemagne")</f>
        <v xml:space="preserve">   Allemagne</v>
      </c>
      <c r="C4908">
        <v>4214182</v>
      </c>
      <c r="D4908">
        <v>11</v>
      </c>
    </row>
    <row r="4909" spans="1:4" x14ac:dyDescent="0.25">
      <c r="A4909" t="str">
        <f>T("   FR")</f>
        <v xml:space="preserve">   FR</v>
      </c>
      <c r="B4909" t="str">
        <f>T("   France")</f>
        <v xml:space="preserve">   France</v>
      </c>
      <c r="C4909">
        <v>9481337</v>
      </c>
      <c r="D4909">
        <v>2970</v>
      </c>
    </row>
    <row r="4910" spans="1:4" x14ac:dyDescent="0.25">
      <c r="A4910" t="str">
        <f>T("   IT")</f>
        <v xml:space="preserve">   IT</v>
      </c>
      <c r="B4910" t="str">
        <f>T("   Italie")</f>
        <v xml:space="preserve">   Italie</v>
      </c>
      <c r="C4910">
        <v>1498869</v>
      </c>
      <c r="D4910">
        <v>279</v>
      </c>
    </row>
    <row r="4911" spans="1:4" x14ac:dyDescent="0.25">
      <c r="A4911" t="str">
        <f>T("   NO")</f>
        <v xml:space="preserve">   NO</v>
      </c>
      <c r="B4911" t="str">
        <f>T("   Norvège")</f>
        <v xml:space="preserve">   Norvège</v>
      </c>
      <c r="C4911">
        <v>1048356</v>
      </c>
      <c r="D4911">
        <v>100</v>
      </c>
    </row>
    <row r="4912" spans="1:4" x14ac:dyDescent="0.25">
      <c r="A4912" t="str">
        <f>T("   NZ")</f>
        <v xml:space="preserve">   NZ</v>
      </c>
      <c r="B4912" t="str">
        <f>T("   Nouvelle-Zélande")</f>
        <v xml:space="preserve">   Nouvelle-Zélande</v>
      </c>
      <c r="C4912">
        <v>93507</v>
      </c>
      <c r="D4912">
        <v>7</v>
      </c>
    </row>
    <row r="4913" spans="1:4" x14ac:dyDescent="0.25">
      <c r="A4913" t="str">
        <f>T("401031")</f>
        <v>401031</v>
      </c>
      <c r="B4913" t="str">
        <f>T("Courroies de transmission sans fin de section trapézoïdale, en caoutchouc vulcanisé, striées, d'une circonférence extérieure &gt; 60 cm mais &lt;= 180 cm")</f>
        <v>Courroies de transmission sans fin de section trapézoïdale, en caoutchouc vulcanisé, striées, d'une circonférence extérieure &gt; 60 cm mais &lt;= 180 cm</v>
      </c>
    </row>
    <row r="4914" spans="1:4" x14ac:dyDescent="0.25">
      <c r="A4914" t="str">
        <f>T("   ZZZ_Monde")</f>
        <v xml:space="preserve">   ZZZ_Monde</v>
      </c>
      <c r="B4914" t="str">
        <f>T("   ZZZ_Monde")</f>
        <v xml:space="preserve">   ZZZ_Monde</v>
      </c>
      <c r="C4914">
        <v>1402443</v>
      </c>
      <c r="D4914">
        <v>67</v>
      </c>
    </row>
    <row r="4915" spans="1:4" x14ac:dyDescent="0.25">
      <c r="A4915" t="str">
        <f>T("   FR")</f>
        <v xml:space="preserve">   FR</v>
      </c>
      <c r="B4915" t="str">
        <f>T("   France")</f>
        <v xml:space="preserve">   France</v>
      </c>
      <c r="C4915">
        <v>1402443</v>
      </c>
      <c r="D4915">
        <v>67</v>
      </c>
    </row>
    <row r="4916" spans="1:4" x14ac:dyDescent="0.25">
      <c r="A4916" t="str">
        <f>T("401032")</f>
        <v>401032</v>
      </c>
      <c r="B4916" t="str">
        <f>T("Courroies de transmission sans fin de section trapézoïdale, en caoutchouc vulcanisé, d'une circonférence extérieure &gt; 60 cm mais &lt;= 180 cm (sauf striées)")</f>
        <v>Courroies de transmission sans fin de section trapézoïdale, en caoutchouc vulcanisé, d'une circonférence extérieure &gt; 60 cm mais &lt;= 180 cm (sauf striées)</v>
      </c>
    </row>
    <row r="4917" spans="1:4" x14ac:dyDescent="0.25">
      <c r="A4917" t="str">
        <f>T("   ZZZ_Monde")</f>
        <v xml:space="preserve">   ZZZ_Monde</v>
      </c>
      <c r="B4917" t="str">
        <f>T("   ZZZ_Monde")</f>
        <v xml:space="preserve">   ZZZ_Monde</v>
      </c>
      <c r="C4917">
        <v>567631</v>
      </c>
      <c r="D4917">
        <v>60.42</v>
      </c>
    </row>
    <row r="4918" spans="1:4" x14ac:dyDescent="0.25">
      <c r="A4918" t="str">
        <f>T("   DE")</f>
        <v xml:space="preserve">   DE</v>
      </c>
      <c r="B4918" t="str">
        <f>T("   Allemagne")</f>
        <v xml:space="preserve">   Allemagne</v>
      </c>
      <c r="C4918">
        <v>25808</v>
      </c>
      <c r="D4918">
        <v>6.42</v>
      </c>
    </row>
    <row r="4919" spans="1:4" x14ac:dyDescent="0.25">
      <c r="A4919" t="str">
        <f>T("   FR")</f>
        <v xml:space="preserve">   FR</v>
      </c>
      <c r="B4919" t="str">
        <f>T("   France")</f>
        <v xml:space="preserve">   France</v>
      </c>
      <c r="C4919">
        <v>541823</v>
      </c>
      <c r="D4919">
        <v>54</v>
      </c>
    </row>
    <row r="4920" spans="1:4" x14ac:dyDescent="0.25">
      <c r="A4920" t="str">
        <f>T("401033")</f>
        <v>401033</v>
      </c>
      <c r="B4920" t="str">
        <f>T("Courroies de transmission sans fin de section trapézoïdale, en caoutchouc vulcanisé, striées, d'une circonférence extérieure &gt; 180 cm mais &lt;= 240 cm")</f>
        <v>Courroies de transmission sans fin de section trapézoïdale, en caoutchouc vulcanisé, striées, d'une circonférence extérieure &gt; 180 cm mais &lt;= 240 cm</v>
      </c>
    </row>
    <row r="4921" spans="1:4" x14ac:dyDescent="0.25">
      <c r="A4921" t="str">
        <f>T("   ZZZ_Monde")</f>
        <v xml:space="preserve">   ZZZ_Monde</v>
      </c>
      <c r="B4921" t="str">
        <f>T("   ZZZ_Monde")</f>
        <v xml:space="preserve">   ZZZ_Monde</v>
      </c>
      <c r="C4921">
        <v>1631373</v>
      </c>
      <c r="D4921">
        <v>222</v>
      </c>
    </row>
    <row r="4922" spans="1:4" x14ac:dyDescent="0.25">
      <c r="A4922" t="str">
        <f>T("   DE")</f>
        <v xml:space="preserve">   DE</v>
      </c>
      <c r="B4922" t="str">
        <f>T("   Allemagne")</f>
        <v xml:space="preserve">   Allemagne</v>
      </c>
      <c r="C4922">
        <v>1631373</v>
      </c>
      <c r="D4922">
        <v>222</v>
      </c>
    </row>
    <row r="4923" spans="1:4" x14ac:dyDescent="0.25">
      <c r="A4923" t="str">
        <f>T("401034")</f>
        <v>401034</v>
      </c>
      <c r="B4923" t="str">
        <f>T("Courroies de transmission sans fin de section trapézoïdale, en caoutchouc vulcanisé, d'une circonférence extérieure &gt; 180 cm mais &lt;= 240 cm (sauf striées)")</f>
        <v>Courroies de transmission sans fin de section trapézoïdale, en caoutchouc vulcanisé, d'une circonférence extérieure &gt; 180 cm mais &lt;= 240 cm (sauf striées)</v>
      </c>
    </row>
    <row r="4924" spans="1:4" x14ac:dyDescent="0.25">
      <c r="A4924" t="str">
        <f>T("   ZZZ_Monde")</f>
        <v xml:space="preserve">   ZZZ_Monde</v>
      </c>
      <c r="B4924" t="str">
        <f>T("   ZZZ_Monde")</f>
        <v xml:space="preserve">   ZZZ_Monde</v>
      </c>
      <c r="C4924">
        <v>155463</v>
      </c>
      <c r="D4924">
        <v>2</v>
      </c>
    </row>
    <row r="4925" spans="1:4" x14ac:dyDescent="0.25">
      <c r="A4925" t="str">
        <f>T("   FR")</f>
        <v xml:space="preserve">   FR</v>
      </c>
      <c r="B4925" t="str">
        <f>T("   France")</f>
        <v xml:space="preserve">   France</v>
      </c>
      <c r="C4925">
        <v>155463</v>
      </c>
      <c r="D4925">
        <v>2</v>
      </c>
    </row>
    <row r="4926" spans="1:4" x14ac:dyDescent="0.25">
      <c r="A4926" t="str">
        <f>T("401039")</f>
        <v>401039</v>
      </c>
      <c r="B4926" t="str">
        <f>T("COURROIES DE TRANSMISSION, EN CAOUTCHOUC VULCANISÉ (À L'EXCL. DE COURROIES DE TRANSMISSION SANS FIN DE SECTION TRAPÉZOÏDALE, STRIÉES, D'UNE CIRCONFÉRENCE EXTÉRIEURE &gt; 60 CM MAIS &lt;= 240 CM ET DES COURROIES DE TRANSMISSION SANS FIN, CRANTÉES 'SYNCHRONES', D")</f>
        <v>COURROIES DE TRANSMISSION, EN CAOUTCHOUC VULCANISÉ (À L'EXCL. DE COURROIES DE TRANSMISSION SANS FIN DE SECTION TRAPÉZOÏDALE, STRIÉES, D'UNE CIRCONFÉRENCE EXTÉRIEURE &gt; 60 CM MAIS &lt;= 240 CM ET DES COURROIES DE TRANSMISSION SANS FIN, CRANTÉES 'SYNCHRONES', D</v>
      </c>
    </row>
    <row r="4927" spans="1:4" x14ac:dyDescent="0.25">
      <c r="A4927" t="str">
        <f>T("   ZZZ_Monde")</f>
        <v xml:space="preserve">   ZZZ_Monde</v>
      </c>
      <c r="B4927" t="str">
        <f>T("   ZZZ_Monde")</f>
        <v xml:space="preserve">   ZZZ_Monde</v>
      </c>
      <c r="C4927">
        <v>42256366</v>
      </c>
      <c r="D4927">
        <v>2921.3</v>
      </c>
    </row>
    <row r="4928" spans="1:4" x14ac:dyDescent="0.25">
      <c r="A4928" t="str">
        <f>T("   BE")</f>
        <v xml:space="preserve">   BE</v>
      </c>
      <c r="B4928" t="str">
        <f>T("   Belgique")</f>
        <v xml:space="preserve">   Belgique</v>
      </c>
      <c r="C4928">
        <v>2349391</v>
      </c>
      <c r="D4928">
        <v>86.8</v>
      </c>
    </row>
    <row r="4929" spans="1:4" x14ac:dyDescent="0.25">
      <c r="A4929" t="str">
        <f>T("   CH")</f>
        <v xml:space="preserve">   CH</v>
      </c>
      <c r="B4929" t="str">
        <f>T("   Suisse")</f>
        <v xml:space="preserve">   Suisse</v>
      </c>
      <c r="C4929">
        <v>59535</v>
      </c>
      <c r="D4929">
        <v>2</v>
      </c>
    </row>
    <row r="4930" spans="1:4" x14ac:dyDescent="0.25">
      <c r="A4930" t="str">
        <f>T("   DE")</f>
        <v xml:space="preserve">   DE</v>
      </c>
      <c r="B4930" t="str">
        <f>T("   Allemagne")</f>
        <v xml:space="preserve">   Allemagne</v>
      </c>
      <c r="C4930">
        <v>8819966</v>
      </c>
      <c r="D4930">
        <v>327</v>
      </c>
    </row>
    <row r="4931" spans="1:4" x14ac:dyDescent="0.25">
      <c r="A4931" t="str">
        <f>T("   FI")</f>
        <v xml:space="preserve">   FI</v>
      </c>
      <c r="B4931" t="str">
        <f>T("   Finlande")</f>
        <v xml:space="preserve">   Finlande</v>
      </c>
      <c r="C4931">
        <v>1336840</v>
      </c>
      <c r="D4931">
        <v>135</v>
      </c>
    </row>
    <row r="4932" spans="1:4" x14ac:dyDescent="0.25">
      <c r="A4932" t="str">
        <f>T("   FR")</f>
        <v xml:space="preserve">   FR</v>
      </c>
      <c r="B4932" t="str">
        <f>T("   France")</f>
        <v xml:space="preserve">   France</v>
      </c>
      <c r="C4932">
        <v>23477608</v>
      </c>
      <c r="D4932">
        <v>1743</v>
      </c>
    </row>
    <row r="4933" spans="1:4" x14ac:dyDescent="0.25">
      <c r="A4933" t="str">
        <f>T("   GB")</f>
        <v xml:space="preserve">   GB</v>
      </c>
      <c r="B4933" t="str">
        <f>T("   Royaume-Uni")</f>
        <v xml:space="preserve">   Royaume-Uni</v>
      </c>
      <c r="C4933">
        <v>13960</v>
      </c>
      <c r="D4933">
        <v>0.5</v>
      </c>
    </row>
    <row r="4934" spans="1:4" x14ac:dyDescent="0.25">
      <c r="A4934" t="str">
        <f>T("   GR")</f>
        <v xml:space="preserve">   GR</v>
      </c>
      <c r="B4934" t="str">
        <f>T("   Grèce")</f>
        <v xml:space="preserve">   Grèce</v>
      </c>
      <c r="C4934">
        <v>1091452</v>
      </c>
      <c r="D4934">
        <v>225</v>
      </c>
    </row>
    <row r="4935" spans="1:4" x14ac:dyDescent="0.25">
      <c r="A4935" t="str">
        <f>T("   IT")</f>
        <v xml:space="preserve">   IT</v>
      </c>
      <c r="B4935" t="str">
        <f>T("   Italie")</f>
        <v xml:space="preserve">   Italie</v>
      </c>
      <c r="C4935">
        <v>223650</v>
      </c>
      <c r="D4935">
        <v>1</v>
      </c>
    </row>
    <row r="4936" spans="1:4" x14ac:dyDescent="0.25">
      <c r="A4936" t="str">
        <f>T("   JP")</f>
        <v xml:space="preserve">   JP</v>
      </c>
      <c r="B4936" t="str">
        <f>T("   Japon")</f>
        <v xml:space="preserve">   Japon</v>
      </c>
      <c r="C4936">
        <v>2640322</v>
      </c>
      <c r="D4936">
        <v>146</v>
      </c>
    </row>
    <row r="4937" spans="1:4" x14ac:dyDescent="0.25">
      <c r="A4937" t="str">
        <f>T("   NO")</f>
        <v xml:space="preserve">   NO</v>
      </c>
      <c r="B4937" t="str">
        <f>T("   Norvège")</f>
        <v xml:space="preserve">   Norvège</v>
      </c>
      <c r="C4937">
        <v>1081816</v>
      </c>
      <c r="D4937">
        <v>201</v>
      </c>
    </row>
    <row r="4938" spans="1:4" x14ac:dyDescent="0.25">
      <c r="A4938" t="str">
        <f>T("   SE")</f>
        <v xml:space="preserve">   SE</v>
      </c>
      <c r="B4938" t="str">
        <f>T("   Suède")</f>
        <v xml:space="preserve">   Suède</v>
      </c>
      <c r="C4938">
        <v>183013</v>
      </c>
      <c r="D4938">
        <v>5</v>
      </c>
    </row>
    <row r="4939" spans="1:4" x14ac:dyDescent="0.25">
      <c r="A4939" t="str">
        <f>T("   US")</f>
        <v xml:space="preserve">   US</v>
      </c>
      <c r="B4939" t="str">
        <f>T("   Etats-Unis")</f>
        <v xml:space="preserve">   Etats-Unis</v>
      </c>
      <c r="C4939">
        <v>978813</v>
      </c>
      <c r="D4939">
        <v>49</v>
      </c>
    </row>
    <row r="4940" spans="1:4" x14ac:dyDescent="0.25">
      <c r="A4940" t="str">
        <f>T("401110")</f>
        <v>401110</v>
      </c>
      <c r="B4940" t="str">
        <f>T("Pneumatiques neufs, en caoutchouc, des types utilisés pour les voitures de tourisme, y.c. les voitures du type 'break' et les voitures de course")</f>
        <v>Pneumatiques neufs, en caoutchouc, des types utilisés pour les voitures de tourisme, y.c. les voitures du type 'break' et les voitures de course</v>
      </c>
    </row>
    <row r="4941" spans="1:4" x14ac:dyDescent="0.25">
      <c r="A4941" t="str">
        <f>T("   ZZZ_Monde")</f>
        <v xml:space="preserve">   ZZZ_Monde</v>
      </c>
      <c r="B4941" t="str">
        <f>T("   ZZZ_Monde")</f>
        <v xml:space="preserve">   ZZZ_Monde</v>
      </c>
      <c r="C4941">
        <v>1039454267</v>
      </c>
      <c r="D4941">
        <v>819321</v>
      </c>
    </row>
    <row r="4942" spans="1:4" x14ac:dyDescent="0.25">
      <c r="A4942" t="str">
        <f>T("   AE")</f>
        <v xml:space="preserve">   AE</v>
      </c>
      <c r="B4942" t="str">
        <f>T("   Emirats Arabes Unis")</f>
        <v xml:space="preserve">   Emirats Arabes Unis</v>
      </c>
      <c r="C4942">
        <v>45970989</v>
      </c>
      <c r="D4942">
        <v>23166</v>
      </c>
    </row>
    <row r="4943" spans="1:4" x14ac:dyDescent="0.25">
      <c r="A4943" t="str">
        <f>T("   BE")</f>
        <v xml:space="preserve">   BE</v>
      </c>
      <c r="B4943" t="str">
        <f>T("   Belgique")</f>
        <v xml:space="preserve">   Belgique</v>
      </c>
      <c r="C4943">
        <v>1261436</v>
      </c>
      <c r="D4943">
        <v>3190</v>
      </c>
    </row>
    <row r="4944" spans="1:4" x14ac:dyDescent="0.25">
      <c r="A4944" t="str">
        <f>T("   BR")</f>
        <v xml:space="preserve">   BR</v>
      </c>
      <c r="B4944" t="str">
        <f>T("   Brésil")</f>
        <v xml:space="preserve">   Brésil</v>
      </c>
      <c r="C4944">
        <v>13447836</v>
      </c>
      <c r="D4944">
        <v>4231</v>
      </c>
    </row>
    <row r="4945" spans="1:4" x14ac:dyDescent="0.25">
      <c r="A4945" t="str">
        <f>T("   CH")</f>
        <v xml:space="preserve">   CH</v>
      </c>
      <c r="B4945" t="str">
        <f>T("   Suisse")</f>
        <v xml:space="preserve">   Suisse</v>
      </c>
      <c r="C4945">
        <v>67911526</v>
      </c>
      <c r="D4945">
        <v>13159</v>
      </c>
    </row>
    <row r="4946" spans="1:4" x14ac:dyDescent="0.25">
      <c r="A4946" t="str">
        <f>T("   CN")</f>
        <v xml:space="preserve">   CN</v>
      </c>
      <c r="B4946" t="str">
        <f>T("   Chine")</f>
        <v xml:space="preserve">   Chine</v>
      </c>
      <c r="C4946">
        <v>549194685</v>
      </c>
      <c r="D4946">
        <v>506341</v>
      </c>
    </row>
    <row r="4947" spans="1:4" x14ac:dyDescent="0.25">
      <c r="A4947" t="str">
        <f>T("   DE")</f>
        <v xml:space="preserve">   DE</v>
      </c>
      <c r="B4947" t="str">
        <f>T("   Allemagne")</f>
        <v xml:space="preserve">   Allemagne</v>
      </c>
      <c r="C4947">
        <v>7081745</v>
      </c>
      <c r="D4947">
        <v>2177</v>
      </c>
    </row>
    <row r="4948" spans="1:4" x14ac:dyDescent="0.25">
      <c r="A4948" t="str">
        <f>T("   FR")</f>
        <v xml:space="preserve">   FR</v>
      </c>
      <c r="B4948" t="str">
        <f>T("   France")</f>
        <v xml:space="preserve">   France</v>
      </c>
      <c r="C4948">
        <v>4474959</v>
      </c>
      <c r="D4948">
        <v>870</v>
      </c>
    </row>
    <row r="4949" spans="1:4" x14ac:dyDescent="0.25">
      <c r="A4949" t="str">
        <f>T("   GH")</f>
        <v xml:space="preserve">   GH</v>
      </c>
      <c r="B4949" t="str">
        <f>T("   Ghana")</f>
        <v xml:space="preserve">   Ghana</v>
      </c>
      <c r="C4949">
        <v>200000</v>
      </c>
      <c r="D4949">
        <v>585</v>
      </c>
    </row>
    <row r="4950" spans="1:4" x14ac:dyDescent="0.25">
      <c r="A4950" t="str">
        <f>T("   JP")</f>
        <v xml:space="preserve">   JP</v>
      </c>
      <c r="B4950" t="str">
        <f>T("   Japon")</f>
        <v xml:space="preserve">   Japon</v>
      </c>
      <c r="C4950">
        <v>24740350</v>
      </c>
      <c r="D4950">
        <v>6455</v>
      </c>
    </row>
    <row r="4951" spans="1:4" x14ac:dyDescent="0.25">
      <c r="A4951" t="str">
        <f>T("   KR")</f>
        <v xml:space="preserve">   KR</v>
      </c>
      <c r="B4951" t="str">
        <f>T("   Corée, République de")</f>
        <v xml:space="preserve">   Corée, République de</v>
      </c>
      <c r="C4951">
        <v>66358255</v>
      </c>
      <c r="D4951">
        <v>23854</v>
      </c>
    </row>
    <row r="4952" spans="1:4" x14ac:dyDescent="0.25">
      <c r="A4952" t="str">
        <f>T("   NG")</f>
        <v xml:space="preserve">   NG</v>
      </c>
      <c r="B4952" t="str">
        <f>T("   Nigéria")</f>
        <v xml:space="preserve">   Nigéria</v>
      </c>
      <c r="C4952">
        <v>9980000</v>
      </c>
      <c r="D4952">
        <v>13880</v>
      </c>
    </row>
    <row r="4953" spans="1:4" x14ac:dyDescent="0.25">
      <c r="A4953" t="str">
        <f>T("   RO")</f>
        <v xml:space="preserve">   RO</v>
      </c>
      <c r="B4953" t="str">
        <f>T("   Roumanie")</f>
        <v xml:space="preserve">   Roumanie</v>
      </c>
      <c r="C4953">
        <v>12002756</v>
      </c>
      <c r="D4953">
        <v>3523</v>
      </c>
    </row>
    <row r="4954" spans="1:4" x14ac:dyDescent="0.25">
      <c r="A4954" t="str">
        <f>T("   TG")</f>
        <v xml:space="preserve">   TG</v>
      </c>
      <c r="B4954" t="str">
        <f>T("   Togo")</f>
        <v xml:space="preserve">   Togo</v>
      </c>
      <c r="C4954">
        <v>53972382</v>
      </c>
      <c r="D4954">
        <v>92020</v>
      </c>
    </row>
    <row r="4955" spans="1:4" x14ac:dyDescent="0.25">
      <c r="A4955" t="str">
        <f>T("   TR")</f>
        <v xml:space="preserve">   TR</v>
      </c>
      <c r="B4955" t="str">
        <f>T("   Turquie")</f>
        <v xml:space="preserve">   Turquie</v>
      </c>
      <c r="C4955">
        <v>14700000</v>
      </c>
      <c r="D4955">
        <v>4071</v>
      </c>
    </row>
    <row r="4956" spans="1:4" x14ac:dyDescent="0.25">
      <c r="A4956" t="str">
        <f>T("   TW")</f>
        <v xml:space="preserve">   TW</v>
      </c>
      <c r="B4956" t="str">
        <f>T("   Taïwan, Province de Chine")</f>
        <v xml:space="preserve">   Taïwan, Province de Chine</v>
      </c>
      <c r="C4956">
        <v>81316779</v>
      </c>
      <c r="D4956">
        <v>53588</v>
      </c>
    </row>
    <row r="4957" spans="1:4" x14ac:dyDescent="0.25">
      <c r="A4957" t="str">
        <f>T("   US")</f>
        <v xml:space="preserve">   US</v>
      </c>
      <c r="B4957" t="str">
        <f>T("   Etats-Unis")</f>
        <v xml:space="preserve">   Etats-Unis</v>
      </c>
      <c r="C4957">
        <v>55644130</v>
      </c>
      <c r="D4957">
        <v>14596</v>
      </c>
    </row>
    <row r="4958" spans="1:4" x14ac:dyDescent="0.25">
      <c r="A4958" t="str">
        <f>T("   Z2")</f>
        <v xml:space="preserve">   Z2</v>
      </c>
      <c r="B4958" t="str">
        <f>T("   Pays non défini")</f>
        <v xml:space="preserve">   Pays non défini</v>
      </c>
      <c r="C4958">
        <v>9180000</v>
      </c>
      <c r="D4958">
        <v>47580</v>
      </c>
    </row>
    <row r="4959" spans="1:4" x14ac:dyDescent="0.25">
      <c r="A4959" t="str">
        <f>T("   ZA")</f>
        <v xml:space="preserve">   ZA</v>
      </c>
      <c r="B4959" t="str">
        <f>T("   Afrique du Sud")</f>
        <v xml:space="preserve">   Afrique du Sud</v>
      </c>
      <c r="C4959">
        <v>22016439</v>
      </c>
      <c r="D4959">
        <v>6035</v>
      </c>
    </row>
    <row r="4960" spans="1:4" x14ac:dyDescent="0.25">
      <c r="A4960" t="str">
        <f>T("401120")</f>
        <v>401120</v>
      </c>
      <c r="B4960" t="str">
        <f>T("Pneumatiques neufs, en caoutchouc, des types utilisés pour les autobus ou les camions (à l'excl. des pneumatiques à crampons, à chevrons ou simil.)")</f>
        <v>Pneumatiques neufs, en caoutchouc, des types utilisés pour les autobus ou les camions (à l'excl. des pneumatiques à crampons, à chevrons ou simil.)</v>
      </c>
    </row>
    <row r="4961" spans="1:4" x14ac:dyDescent="0.25">
      <c r="A4961" t="str">
        <f>T("   ZZZ_Monde")</f>
        <v xml:space="preserve">   ZZZ_Monde</v>
      </c>
      <c r="B4961" t="str">
        <f>T("   ZZZ_Monde")</f>
        <v xml:space="preserve">   ZZZ_Monde</v>
      </c>
      <c r="C4961">
        <v>1859104112</v>
      </c>
      <c r="D4961">
        <v>1911474</v>
      </c>
    </row>
    <row r="4962" spans="1:4" x14ac:dyDescent="0.25">
      <c r="A4962" t="str">
        <f>T("   AE")</f>
        <v xml:space="preserve">   AE</v>
      </c>
      <c r="B4962" t="str">
        <f>T("   Emirats Arabes Unis")</f>
        <v xml:space="preserve">   Emirats Arabes Unis</v>
      </c>
      <c r="C4962">
        <v>33181365</v>
      </c>
      <c r="D4962">
        <v>30844</v>
      </c>
    </row>
    <row r="4963" spans="1:4" x14ac:dyDescent="0.25">
      <c r="A4963" t="str">
        <f>T("   BE")</f>
        <v xml:space="preserve">   BE</v>
      </c>
      <c r="B4963" t="str">
        <f>T("   Belgique")</f>
        <v xml:space="preserve">   Belgique</v>
      </c>
      <c r="C4963">
        <v>3079424</v>
      </c>
      <c r="D4963">
        <v>2120</v>
      </c>
    </row>
    <row r="4964" spans="1:4" x14ac:dyDescent="0.25">
      <c r="A4964" t="str">
        <f>T("   BR")</f>
        <v xml:space="preserve">   BR</v>
      </c>
      <c r="B4964" t="str">
        <f>T("   Brésil")</f>
        <v xml:space="preserve">   Brésil</v>
      </c>
      <c r="C4964">
        <v>35802862</v>
      </c>
      <c r="D4964">
        <v>40000</v>
      </c>
    </row>
    <row r="4965" spans="1:4" x14ac:dyDescent="0.25">
      <c r="A4965" t="str">
        <f>T("   CH")</f>
        <v xml:space="preserve">   CH</v>
      </c>
      <c r="B4965" t="str">
        <f>T("   Suisse")</f>
        <v xml:space="preserve">   Suisse</v>
      </c>
      <c r="C4965">
        <v>17300289</v>
      </c>
      <c r="D4965">
        <v>5562</v>
      </c>
    </row>
    <row r="4966" spans="1:4" x14ac:dyDescent="0.25">
      <c r="A4966" t="str">
        <f>T("   CN")</f>
        <v xml:space="preserve">   CN</v>
      </c>
      <c r="B4966" t="str">
        <f>T("   Chine")</f>
        <v xml:space="preserve">   Chine</v>
      </c>
      <c r="C4966">
        <v>1509537055</v>
      </c>
      <c r="D4966">
        <v>1555257</v>
      </c>
    </row>
    <row r="4967" spans="1:4" x14ac:dyDescent="0.25">
      <c r="A4967" t="str">
        <f>T("   DE")</f>
        <v xml:space="preserve">   DE</v>
      </c>
      <c r="B4967" t="str">
        <f>T("   Allemagne")</f>
        <v xml:space="preserve">   Allemagne</v>
      </c>
      <c r="C4967">
        <v>10651981</v>
      </c>
      <c r="D4967">
        <v>3667</v>
      </c>
    </row>
    <row r="4968" spans="1:4" x14ac:dyDescent="0.25">
      <c r="A4968" t="str">
        <f>T("   FR")</f>
        <v xml:space="preserve">   FR</v>
      </c>
      <c r="B4968" t="str">
        <f>T("   France")</f>
        <v xml:space="preserve">   France</v>
      </c>
      <c r="C4968">
        <v>15319499</v>
      </c>
      <c r="D4968">
        <v>7015</v>
      </c>
    </row>
    <row r="4969" spans="1:4" x14ac:dyDescent="0.25">
      <c r="A4969" t="str">
        <f>T("   HK")</f>
        <v xml:space="preserve">   HK</v>
      </c>
      <c r="B4969" t="str">
        <f>T("   Hong-Kong")</f>
        <v xml:space="preserve">   Hong-Kong</v>
      </c>
      <c r="C4969">
        <v>16660072</v>
      </c>
      <c r="D4969">
        <v>15220</v>
      </c>
    </row>
    <row r="4970" spans="1:4" x14ac:dyDescent="0.25">
      <c r="A4970" t="str">
        <f>T("   IN")</f>
        <v xml:space="preserve">   IN</v>
      </c>
      <c r="B4970" t="str">
        <f>T("   Inde")</f>
        <v xml:space="preserve">   Inde</v>
      </c>
      <c r="C4970">
        <v>2337311</v>
      </c>
      <c r="D4970">
        <v>1360</v>
      </c>
    </row>
    <row r="4971" spans="1:4" x14ac:dyDescent="0.25">
      <c r="A4971" t="str">
        <f>T("   JP")</f>
        <v xml:space="preserve">   JP</v>
      </c>
      <c r="B4971" t="str">
        <f>T("   Japon")</f>
        <v xml:space="preserve">   Japon</v>
      </c>
      <c r="C4971">
        <v>11717758</v>
      </c>
      <c r="D4971">
        <v>757</v>
      </c>
    </row>
    <row r="4972" spans="1:4" x14ac:dyDescent="0.25">
      <c r="A4972" t="str">
        <f>T("   LB")</f>
        <v xml:space="preserve">   LB</v>
      </c>
      <c r="B4972" t="str">
        <f>T("   Liban")</f>
        <v xml:space="preserve">   Liban</v>
      </c>
      <c r="C4972">
        <v>998371</v>
      </c>
      <c r="D4972">
        <v>365</v>
      </c>
    </row>
    <row r="4973" spans="1:4" x14ac:dyDescent="0.25">
      <c r="A4973" t="str">
        <f>T("   NG")</f>
        <v xml:space="preserve">   NG</v>
      </c>
      <c r="B4973" t="str">
        <f>T("   Nigéria")</f>
        <v xml:space="preserve">   Nigéria</v>
      </c>
      <c r="C4973">
        <v>7469875</v>
      </c>
      <c r="D4973">
        <v>11100</v>
      </c>
    </row>
    <row r="4974" spans="1:4" x14ac:dyDescent="0.25">
      <c r="A4974" t="str">
        <f>T("   NO")</f>
        <v xml:space="preserve">   NO</v>
      </c>
      <c r="B4974" t="str">
        <f>T("   Norvège")</f>
        <v xml:space="preserve">   Norvège</v>
      </c>
      <c r="C4974">
        <v>1000250</v>
      </c>
      <c r="D4974">
        <v>3600</v>
      </c>
    </row>
    <row r="4975" spans="1:4" x14ac:dyDescent="0.25">
      <c r="A4975" t="str">
        <f>T("   SG")</f>
        <v xml:space="preserve">   SG</v>
      </c>
      <c r="B4975" t="str">
        <f>T("   Singapour")</f>
        <v xml:space="preserve">   Singapour</v>
      </c>
      <c r="C4975">
        <v>32060347</v>
      </c>
      <c r="D4975">
        <v>29750</v>
      </c>
    </row>
    <row r="4976" spans="1:4" x14ac:dyDescent="0.25">
      <c r="A4976" t="str">
        <f>T("   TG")</f>
        <v xml:space="preserve">   TG</v>
      </c>
      <c r="B4976" t="str">
        <f>T("   Togo")</f>
        <v xml:space="preserve">   Togo</v>
      </c>
      <c r="C4976">
        <v>128856727</v>
      </c>
      <c r="D4976">
        <v>198985</v>
      </c>
    </row>
    <row r="4977" spans="1:4" x14ac:dyDescent="0.25">
      <c r="A4977" t="str">
        <f>T("   TR")</f>
        <v xml:space="preserve">   TR</v>
      </c>
      <c r="B4977" t="str">
        <f>T("   Turquie")</f>
        <v xml:space="preserve">   Turquie</v>
      </c>
      <c r="C4977">
        <v>22300000</v>
      </c>
      <c r="D4977">
        <v>4198</v>
      </c>
    </row>
    <row r="4978" spans="1:4" x14ac:dyDescent="0.25">
      <c r="A4978" t="str">
        <f>T("   US")</f>
        <v xml:space="preserve">   US</v>
      </c>
      <c r="B4978" t="str">
        <f>T("   Etats-Unis")</f>
        <v xml:space="preserve">   Etats-Unis</v>
      </c>
      <c r="C4978">
        <v>6549333</v>
      </c>
      <c r="D4978">
        <v>578</v>
      </c>
    </row>
    <row r="4979" spans="1:4" x14ac:dyDescent="0.25">
      <c r="A4979" t="str">
        <f>T("   ZA")</f>
        <v xml:space="preserve">   ZA</v>
      </c>
      <c r="B4979" t="str">
        <f>T("   Afrique du Sud")</f>
        <v xml:space="preserve">   Afrique du Sud</v>
      </c>
      <c r="C4979">
        <v>4281593</v>
      </c>
      <c r="D4979">
        <v>1096</v>
      </c>
    </row>
    <row r="4980" spans="1:4" x14ac:dyDescent="0.25">
      <c r="A4980" t="str">
        <f>T("401130")</f>
        <v>401130</v>
      </c>
      <c r="B4980" t="str">
        <f>T("Pneumatiques neufs, en caoutchouc, des types utilisés pour véhicules aériens")</f>
        <v>Pneumatiques neufs, en caoutchouc, des types utilisés pour véhicules aériens</v>
      </c>
    </row>
    <row r="4981" spans="1:4" x14ac:dyDescent="0.25">
      <c r="A4981" t="str">
        <f>T("   ZZZ_Monde")</f>
        <v xml:space="preserve">   ZZZ_Monde</v>
      </c>
      <c r="B4981" t="str">
        <f>T("   ZZZ_Monde")</f>
        <v xml:space="preserve">   ZZZ_Monde</v>
      </c>
      <c r="C4981">
        <v>87272</v>
      </c>
      <c r="D4981">
        <v>466</v>
      </c>
    </row>
    <row r="4982" spans="1:4" x14ac:dyDescent="0.25">
      <c r="A4982" t="str">
        <f>T("   TG")</f>
        <v xml:space="preserve">   TG</v>
      </c>
      <c r="B4982" t="str">
        <f>T("   Togo")</f>
        <v xml:space="preserve">   Togo</v>
      </c>
      <c r="C4982">
        <v>87272</v>
      </c>
      <c r="D4982">
        <v>466</v>
      </c>
    </row>
    <row r="4983" spans="1:4" x14ac:dyDescent="0.25">
      <c r="A4983" t="str">
        <f>T("401140")</f>
        <v>401140</v>
      </c>
      <c r="B4983" t="str">
        <f>T("Pneumatiques neufs, en caoutchouc, des types utilisés pour les motocycles")</f>
        <v>Pneumatiques neufs, en caoutchouc, des types utilisés pour les motocycles</v>
      </c>
    </row>
    <row r="4984" spans="1:4" x14ac:dyDescent="0.25">
      <c r="A4984" t="str">
        <f>T("   ZZZ_Monde")</f>
        <v xml:space="preserve">   ZZZ_Monde</v>
      </c>
      <c r="B4984" t="str">
        <f>T("   ZZZ_Monde")</f>
        <v xml:space="preserve">   ZZZ_Monde</v>
      </c>
      <c r="C4984">
        <v>117447729</v>
      </c>
      <c r="D4984">
        <v>219405</v>
      </c>
    </row>
    <row r="4985" spans="1:4" x14ac:dyDescent="0.25">
      <c r="A4985" t="str">
        <f>T("   BE")</f>
        <v xml:space="preserve">   BE</v>
      </c>
      <c r="B4985" t="str">
        <f>T("   Belgique")</f>
        <v xml:space="preserve">   Belgique</v>
      </c>
      <c r="C4985">
        <v>213844</v>
      </c>
      <c r="D4985">
        <v>14</v>
      </c>
    </row>
    <row r="4986" spans="1:4" x14ac:dyDescent="0.25">
      <c r="A4986" t="str">
        <f>T("   CN")</f>
        <v xml:space="preserve">   CN</v>
      </c>
      <c r="B4986" t="str">
        <f>T("   Chine")</f>
        <v xml:space="preserve">   Chine</v>
      </c>
      <c r="C4986">
        <v>60311586</v>
      </c>
      <c r="D4986">
        <v>107303</v>
      </c>
    </row>
    <row r="4987" spans="1:4" x14ac:dyDescent="0.25">
      <c r="A4987" t="str">
        <f>T("   FR")</f>
        <v xml:space="preserve">   FR</v>
      </c>
      <c r="B4987" t="str">
        <f>T("   France")</f>
        <v xml:space="preserve">   France</v>
      </c>
      <c r="C4987">
        <v>1545442</v>
      </c>
      <c r="D4987">
        <v>215</v>
      </c>
    </row>
    <row r="4988" spans="1:4" x14ac:dyDescent="0.25">
      <c r="A4988" t="str">
        <f>T("   GH")</f>
        <v xml:space="preserve">   GH</v>
      </c>
      <c r="B4988" t="str">
        <f>T("   Ghana")</f>
        <v xml:space="preserve">   Ghana</v>
      </c>
      <c r="C4988">
        <v>8000000</v>
      </c>
      <c r="D4988">
        <v>17450</v>
      </c>
    </row>
    <row r="4989" spans="1:4" x14ac:dyDescent="0.25">
      <c r="A4989" t="str">
        <f>T("   NG")</f>
        <v xml:space="preserve">   NG</v>
      </c>
      <c r="B4989" t="str">
        <f>T("   Nigéria")</f>
        <v xml:space="preserve">   Nigéria</v>
      </c>
      <c r="C4989">
        <v>21774000</v>
      </c>
      <c r="D4989">
        <v>26794</v>
      </c>
    </row>
    <row r="4990" spans="1:4" x14ac:dyDescent="0.25">
      <c r="A4990" t="str">
        <f>T("   TG")</f>
        <v xml:space="preserve">   TG</v>
      </c>
      <c r="B4990" t="str">
        <f>T("   Togo")</f>
        <v xml:space="preserve">   Togo</v>
      </c>
      <c r="C4990">
        <v>25602857</v>
      </c>
      <c r="D4990">
        <v>67629</v>
      </c>
    </row>
    <row r="4991" spans="1:4" x14ac:dyDescent="0.25">
      <c r="A4991" t="str">
        <f>T("401150")</f>
        <v>401150</v>
      </c>
      <c r="B4991" t="str">
        <f>T("Pneumatiques neufs, en caoutchouc, des types utilisés pour les bicyclettes")</f>
        <v>Pneumatiques neufs, en caoutchouc, des types utilisés pour les bicyclettes</v>
      </c>
    </row>
    <row r="4992" spans="1:4" x14ac:dyDescent="0.25">
      <c r="A4992" t="str">
        <f>T("   ZZZ_Monde")</f>
        <v xml:space="preserve">   ZZZ_Monde</v>
      </c>
      <c r="B4992" t="str">
        <f>T("   ZZZ_Monde")</f>
        <v xml:space="preserve">   ZZZ_Monde</v>
      </c>
      <c r="C4992">
        <v>3052198</v>
      </c>
      <c r="D4992">
        <v>8220</v>
      </c>
    </row>
    <row r="4993" spans="1:4" x14ac:dyDescent="0.25">
      <c r="A4993" t="str">
        <f>T("   NG")</f>
        <v xml:space="preserve">   NG</v>
      </c>
      <c r="B4993" t="str">
        <f>T("   Nigéria")</f>
        <v xml:space="preserve">   Nigéria</v>
      </c>
      <c r="C4993">
        <v>120000</v>
      </c>
      <c r="D4993">
        <v>200</v>
      </c>
    </row>
    <row r="4994" spans="1:4" x14ac:dyDescent="0.25">
      <c r="A4994" t="str">
        <f>T("   TG")</f>
        <v xml:space="preserve">   TG</v>
      </c>
      <c r="B4994" t="str">
        <f>T("   Togo")</f>
        <v xml:space="preserve">   Togo</v>
      </c>
      <c r="C4994">
        <v>2932198</v>
      </c>
      <c r="D4994">
        <v>8020</v>
      </c>
    </row>
    <row r="4995" spans="1:4" x14ac:dyDescent="0.25">
      <c r="A4995" t="str">
        <f>T("401161")</f>
        <v>401161</v>
      </c>
      <c r="B4995" t="str">
        <f>T("Pneumatiques neufs, en caoutchouc, à crampons, à chevrons ou simil., des types utilisés pour les véhicules et engins agricoles et forestiers")</f>
        <v>Pneumatiques neufs, en caoutchouc, à crampons, à chevrons ou simil., des types utilisés pour les véhicules et engins agricoles et forestiers</v>
      </c>
    </row>
    <row r="4996" spans="1:4" x14ac:dyDescent="0.25">
      <c r="A4996" t="str">
        <f>T("   ZZZ_Monde")</f>
        <v xml:space="preserve">   ZZZ_Monde</v>
      </c>
      <c r="B4996" t="str">
        <f>T("   ZZZ_Monde")</f>
        <v xml:space="preserve">   ZZZ_Monde</v>
      </c>
      <c r="C4996">
        <v>19506260</v>
      </c>
      <c r="D4996">
        <v>2100</v>
      </c>
    </row>
    <row r="4997" spans="1:4" x14ac:dyDescent="0.25">
      <c r="A4997" t="str">
        <f>T("   CN")</f>
        <v xml:space="preserve">   CN</v>
      </c>
      <c r="B4997" t="str">
        <f>T("   Chine")</f>
        <v xml:space="preserve">   Chine</v>
      </c>
      <c r="C4997">
        <v>19506260</v>
      </c>
      <c r="D4997">
        <v>2100</v>
      </c>
    </row>
    <row r="4998" spans="1:4" x14ac:dyDescent="0.25">
      <c r="A4998" t="str">
        <f>T("401162")</f>
        <v>401162</v>
      </c>
      <c r="B4998" t="str">
        <f>T("Pneumatiques neufs, en caoutchouc, à crampons, à chevrons ou simil., des types utilisés pour les véhicules et engins de génie civil et de manutention industrielle, pour jantes d'un diamètre &lt;= 61 cm")</f>
        <v>Pneumatiques neufs, en caoutchouc, à crampons, à chevrons ou simil., des types utilisés pour les véhicules et engins de génie civil et de manutention industrielle, pour jantes d'un diamètre &lt;= 61 cm</v>
      </c>
    </row>
    <row r="4999" spans="1:4" x14ac:dyDescent="0.25">
      <c r="A4999" t="str">
        <f>T("   ZZZ_Monde")</f>
        <v xml:space="preserve">   ZZZ_Monde</v>
      </c>
      <c r="B4999" t="str">
        <f>T("   ZZZ_Monde")</f>
        <v xml:space="preserve">   ZZZ_Monde</v>
      </c>
      <c r="C4999">
        <v>13999661</v>
      </c>
      <c r="D4999">
        <v>6480</v>
      </c>
    </row>
    <row r="5000" spans="1:4" x14ac:dyDescent="0.25">
      <c r="A5000" t="str">
        <f>T("   BE")</f>
        <v xml:space="preserve">   BE</v>
      </c>
      <c r="B5000" t="str">
        <f>T("   Belgique")</f>
        <v xml:space="preserve">   Belgique</v>
      </c>
      <c r="C5000">
        <v>13773887</v>
      </c>
      <c r="D5000">
        <v>6340</v>
      </c>
    </row>
    <row r="5001" spans="1:4" x14ac:dyDescent="0.25">
      <c r="A5001" t="str">
        <f>T("   IN")</f>
        <v xml:space="preserve">   IN</v>
      </c>
      <c r="B5001" t="str">
        <f>T("   Inde")</f>
        <v xml:space="preserve">   Inde</v>
      </c>
      <c r="C5001">
        <v>225774</v>
      </c>
      <c r="D5001">
        <v>140</v>
      </c>
    </row>
    <row r="5002" spans="1:4" x14ac:dyDescent="0.25">
      <c r="A5002" t="str">
        <f>T("401163")</f>
        <v>401163</v>
      </c>
      <c r="B5002" t="str">
        <f>T("Pneumatiques neufs, en caoutchouc, à crampons, à chevrons ou simil., des types utilisés pour les véhicules et engins de génie civil et de manutention industrielle, pour jantes d'un diamètre &gt; 61 cm")</f>
        <v>Pneumatiques neufs, en caoutchouc, à crampons, à chevrons ou simil., des types utilisés pour les véhicules et engins de génie civil et de manutention industrielle, pour jantes d'un diamètre &gt; 61 cm</v>
      </c>
    </row>
    <row r="5003" spans="1:4" x14ac:dyDescent="0.25">
      <c r="A5003" t="str">
        <f>T("   ZZZ_Monde")</f>
        <v xml:space="preserve">   ZZZ_Monde</v>
      </c>
      <c r="B5003" t="str">
        <f>T("   ZZZ_Monde")</f>
        <v xml:space="preserve">   ZZZ_Monde</v>
      </c>
      <c r="C5003">
        <v>2233000</v>
      </c>
      <c r="D5003">
        <v>1500</v>
      </c>
    </row>
    <row r="5004" spans="1:4" x14ac:dyDescent="0.25">
      <c r="A5004" t="str">
        <f>T("   FR")</f>
        <v xml:space="preserve">   FR</v>
      </c>
      <c r="B5004" t="str">
        <f>T("   France")</f>
        <v xml:space="preserve">   France</v>
      </c>
      <c r="C5004">
        <v>2233000</v>
      </c>
      <c r="D5004">
        <v>1500</v>
      </c>
    </row>
    <row r="5005" spans="1:4" x14ac:dyDescent="0.25">
      <c r="A5005" t="str">
        <f>T("401193")</f>
        <v>401193</v>
      </c>
      <c r="B5005" t="str">
        <f>T("Pneumatiques neufs, en caoutchouc, des types utilisés pour les véhicules et engins de génie civil et de manutention industrielle, pour jantes d'un diamètre &lt;= 61 cm (à l'excl. des pneumatiques à crampons, à chevrons ou simil.)")</f>
        <v>Pneumatiques neufs, en caoutchouc, des types utilisés pour les véhicules et engins de génie civil et de manutention industrielle, pour jantes d'un diamètre &lt;= 61 cm (à l'excl. des pneumatiques à crampons, à chevrons ou simil.)</v>
      </c>
    </row>
    <row r="5006" spans="1:4" x14ac:dyDescent="0.25">
      <c r="A5006" t="str">
        <f>T("   ZZZ_Monde")</f>
        <v xml:space="preserve">   ZZZ_Monde</v>
      </c>
      <c r="B5006" t="str">
        <f>T("   ZZZ_Monde")</f>
        <v xml:space="preserve">   ZZZ_Monde</v>
      </c>
      <c r="C5006">
        <v>53897222</v>
      </c>
      <c r="D5006">
        <v>13672</v>
      </c>
    </row>
    <row r="5007" spans="1:4" x14ac:dyDescent="0.25">
      <c r="A5007" t="str">
        <f>T("   FR")</f>
        <v xml:space="preserve">   FR</v>
      </c>
      <c r="B5007" t="str">
        <f>T("   France")</f>
        <v xml:space="preserve">   France</v>
      </c>
      <c r="C5007">
        <v>1486018</v>
      </c>
      <c r="D5007">
        <v>30</v>
      </c>
    </row>
    <row r="5008" spans="1:4" x14ac:dyDescent="0.25">
      <c r="A5008" t="str">
        <f>T("   NL")</f>
        <v xml:space="preserve">   NL</v>
      </c>
      <c r="B5008" t="str">
        <f>T("   Pays-bas")</f>
        <v xml:space="preserve">   Pays-bas</v>
      </c>
      <c r="C5008">
        <v>52411204</v>
      </c>
      <c r="D5008">
        <v>13642</v>
      </c>
    </row>
    <row r="5009" spans="1:4" x14ac:dyDescent="0.25">
      <c r="A5009" t="str">
        <f>T("401194")</f>
        <v>401194</v>
      </c>
      <c r="B5009" t="str">
        <f>T("Pneumatiques neufs, en caoutchouc, des types utilisés pour les véhicules et engins de génie civil et de manutention industrielle, pour jantes d'un diamètre &gt; 61 cm (à l'excl. des pneumatiques à crampons, à chevrons ou simil.)")</f>
        <v>Pneumatiques neufs, en caoutchouc, des types utilisés pour les véhicules et engins de génie civil et de manutention industrielle, pour jantes d'un diamètre &gt; 61 cm (à l'excl. des pneumatiques à crampons, à chevrons ou simil.)</v>
      </c>
    </row>
    <row r="5010" spans="1:4" x14ac:dyDescent="0.25">
      <c r="A5010" t="str">
        <f>T("   ZZZ_Monde")</f>
        <v xml:space="preserve">   ZZZ_Monde</v>
      </c>
      <c r="B5010" t="str">
        <f>T("   ZZZ_Monde")</f>
        <v xml:space="preserve">   ZZZ_Monde</v>
      </c>
      <c r="C5010">
        <v>43173378</v>
      </c>
      <c r="D5010">
        <v>13466</v>
      </c>
    </row>
    <row r="5011" spans="1:4" x14ac:dyDescent="0.25">
      <c r="A5011" t="str">
        <f>T("   CN")</f>
        <v xml:space="preserve">   CN</v>
      </c>
      <c r="B5011" t="str">
        <f>T("   Chine")</f>
        <v xml:space="preserve">   Chine</v>
      </c>
      <c r="C5011">
        <v>2284688</v>
      </c>
      <c r="D5011">
        <v>1214</v>
      </c>
    </row>
    <row r="5012" spans="1:4" x14ac:dyDescent="0.25">
      <c r="A5012" t="str">
        <f>T("   DE")</f>
        <v xml:space="preserve">   DE</v>
      </c>
      <c r="B5012" t="str">
        <f>T("   Allemagne")</f>
        <v xml:space="preserve">   Allemagne</v>
      </c>
      <c r="C5012">
        <v>488690</v>
      </c>
      <c r="D5012">
        <v>1578</v>
      </c>
    </row>
    <row r="5013" spans="1:4" x14ac:dyDescent="0.25">
      <c r="A5013" t="str">
        <f>T("   TG")</f>
        <v xml:space="preserve">   TG</v>
      </c>
      <c r="B5013" t="str">
        <f>T("   Togo")</f>
        <v xml:space="preserve">   Togo</v>
      </c>
      <c r="C5013">
        <v>40400000</v>
      </c>
      <c r="D5013">
        <v>10674</v>
      </c>
    </row>
    <row r="5014" spans="1:4" x14ac:dyDescent="0.25">
      <c r="A5014" t="str">
        <f>T("401199")</f>
        <v>401199</v>
      </c>
      <c r="B5014" t="str">
        <f>T("Pneumatiques neufs, en caoutchouc (à l'excl. des pneumatiques à crampons, à chevrons ou simil. ainsi que des pneumatiques des types utilisés pour les véhicules et engins agricoles et forestiers, de génie civil et de manutention industrielle, pour les voit")</f>
        <v>Pneumatiques neufs, en caoutchouc (à l'excl. des pneumatiques à crampons, à chevrons ou simil. ainsi que des pneumatiques des types utilisés pour les véhicules et engins agricoles et forestiers, de génie civil et de manutention industrielle, pour les voit</v>
      </c>
    </row>
    <row r="5015" spans="1:4" x14ac:dyDescent="0.25">
      <c r="A5015" t="str">
        <f>T("   ZZZ_Monde")</f>
        <v xml:space="preserve">   ZZZ_Monde</v>
      </c>
      <c r="B5015" t="str">
        <f>T("   ZZZ_Monde")</f>
        <v xml:space="preserve">   ZZZ_Monde</v>
      </c>
      <c r="C5015">
        <v>518116134</v>
      </c>
      <c r="D5015">
        <v>185280</v>
      </c>
    </row>
    <row r="5016" spans="1:4" x14ac:dyDescent="0.25">
      <c r="A5016" t="str">
        <f>T("   BE")</f>
        <v xml:space="preserve">   BE</v>
      </c>
      <c r="B5016" t="str">
        <f>T("   Belgique")</f>
        <v xml:space="preserve">   Belgique</v>
      </c>
      <c r="C5016">
        <v>3215595</v>
      </c>
      <c r="D5016">
        <v>200</v>
      </c>
    </row>
    <row r="5017" spans="1:4" x14ac:dyDescent="0.25">
      <c r="A5017" t="str">
        <f>T("   CN")</f>
        <v xml:space="preserve">   CN</v>
      </c>
      <c r="B5017" t="str">
        <f>T("   Chine")</f>
        <v xml:space="preserve">   Chine</v>
      </c>
      <c r="C5017">
        <v>12000000</v>
      </c>
      <c r="D5017">
        <v>15341</v>
      </c>
    </row>
    <row r="5018" spans="1:4" x14ac:dyDescent="0.25">
      <c r="A5018" t="str">
        <f>T("   DE")</f>
        <v xml:space="preserve">   DE</v>
      </c>
      <c r="B5018" t="str">
        <f>T("   Allemagne")</f>
        <v xml:space="preserve">   Allemagne</v>
      </c>
      <c r="C5018">
        <v>242456</v>
      </c>
      <c r="D5018">
        <v>1457</v>
      </c>
    </row>
    <row r="5019" spans="1:4" x14ac:dyDescent="0.25">
      <c r="A5019" t="str">
        <f>T("   FR")</f>
        <v xml:space="preserve">   FR</v>
      </c>
      <c r="B5019" t="str">
        <f>T("   France")</f>
        <v xml:space="preserve">   France</v>
      </c>
      <c r="C5019">
        <v>421552138</v>
      </c>
      <c r="D5019">
        <v>83625</v>
      </c>
    </row>
    <row r="5020" spans="1:4" x14ac:dyDescent="0.25">
      <c r="A5020" t="str">
        <f>T("   IT")</f>
        <v xml:space="preserve">   IT</v>
      </c>
      <c r="B5020" t="str">
        <f>T("   Italie")</f>
        <v xml:space="preserve">   Italie</v>
      </c>
      <c r="C5020">
        <v>82225</v>
      </c>
      <c r="D5020">
        <v>1</v>
      </c>
    </row>
    <row r="5021" spans="1:4" x14ac:dyDescent="0.25">
      <c r="A5021" t="str">
        <f>T("   NL")</f>
        <v xml:space="preserve">   NL</v>
      </c>
      <c r="B5021" t="str">
        <f>T("   Pays-bas")</f>
        <v xml:space="preserve">   Pays-bas</v>
      </c>
      <c r="C5021">
        <v>35178151</v>
      </c>
      <c r="D5021">
        <v>14134</v>
      </c>
    </row>
    <row r="5022" spans="1:4" x14ac:dyDescent="0.25">
      <c r="A5022" t="str">
        <f>T("   US")</f>
        <v xml:space="preserve">   US</v>
      </c>
      <c r="B5022" t="str">
        <f>T("   Etats-Unis")</f>
        <v xml:space="preserve">   Etats-Unis</v>
      </c>
      <c r="C5022">
        <v>38440569</v>
      </c>
      <c r="D5022">
        <v>9413</v>
      </c>
    </row>
    <row r="5023" spans="1:4" x14ac:dyDescent="0.25">
      <c r="A5023" t="str">
        <f>T("   Z2")</f>
        <v xml:space="preserve">   Z2</v>
      </c>
      <c r="B5023" t="str">
        <f>T("   Pays non défini")</f>
        <v xml:space="preserve">   Pays non défini</v>
      </c>
      <c r="C5023">
        <v>7405000</v>
      </c>
      <c r="D5023">
        <v>61109</v>
      </c>
    </row>
    <row r="5024" spans="1:4" x14ac:dyDescent="0.25">
      <c r="A5024" t="str">
        <f>T("401211")</f>
        <v>401211</v>
      </c>
      <c r="B5024" t="str">
        <f>T("Pneumatiques rechapés, en caoutchouc, des types utilisés pour les voitures de tourisme, y.c. les voitures du type 'break' et les voitures de course")</f>
        <v>Pneumatiques rechapés, en caoutchouc, des types utilisés pour les voitures de tourisme, y.c. les voitures du type 'break' et les voitures de course</v>
      </c>
    </row>
    <row r="5025" spans="1:4" x14ac:dyDescent="0.25">
      <c r="A5025" t="str">
        <f>T("   ZZZ_Monde")</f>
        <v xml:space="preserve">   ZZZ_Monde</v>
      </c>
      <c r="B5025" t="str">
        <f>T("   ZZZ_Monde")</f>
        <v xml:space="preserve">   ZZZ_Monde</v>
      </c>
      <c r="C5025">
        <v>701259454</v>
      </c>
      <c r="D5025">
        <v>1328491</v>
      </c>
    </row>
    <row r="5026" spans="1:4" x14ac:dyDescent="0.25">
      <c r="A5026" t="str">
        <f>T("   BE")</f>
        <v xml:space="preserve">   BE</v>
      </c>
      <c r="B5026" t="str">
        <f>T("   Belgique")</f>
        <v xml:space="preserve">   Belgique</v>
      </c>
      <c r="C5026">
        <v>179056254</v>
      </c>
      <c r="D5026">
        <v>307015</v>
      </c>
    </row>
    <row r="5027" spans="1:4" x14ac:dyDescent="0.25">
      <c r="A5027" t="str">
        <f>T("   DE")</f>
        <v xml:space="preserve">   DE</v>
      </c>
      <c r="B5027" t="str">
        <f>T("   Allemagne")</f>
        <v xml:space="preserve">   Allemagne</v>
      </c>
      <c r="C5027">
        <v>155663000</v>
      </c>
      <c r="D5027">
        <v>269934</v>
      </c>
    </row>
    <row r="5028" spans="1:4" x14ac:dyDescent="0.25">
      <c r="A5028" t="str">
        <f>T("   FR")</f>
        <v xml:space="preserve">   FR</v>
      </c>
      <c r="B5028" t="str">
        <f>T("   France")</f>
        <v xml:space="preserve">   France</v>
      </c>
      <c r="C5028">
        <v>341110200</v>
      </c>
      <c r="D5028">
        <v>691433</v>
      </c>
    </row>
    <row r="5029" spans="1:4" x14ac:dyDescent="0.25">
      <c r="A5029" t="str">
        <f>T("   GB")</f>
        <v xml:space="preserve">   GB</v>
      </c>
      <c r="B5029" t="str">
        <f>T("   Royaume-Uni")</f>
        <v xml:space="preserve">   Royaume-Uni</v>
      </c>
      <c r="C5029">
        <v>3600000</v>
      </c>
      <c r="D5029">
        <v>15000</v>
      </c>
    </row>
    <row r="5030" spans="1:4" x14ac:dyDescent="0.25">
      <c r="A5030" t="str">
        <f>T("   IN")</f>
        <v xml:space="preserve">   IN</v>
      </c>
      <c r="B5030" t="str">
        <f>T("   Inde")</f>
        <v xml:space="preserve">   Inde</v>
      </c>
      <c r="C5030">
        <v>8100000</v>
      </c>
      <c r="D5030">
        <v>21936</v>
      </c>
    </row>
    <row r="5031" spans="1:4" x14ac:dyDescent="0.25">
      <c r="A5031" t="str">
        <f>T("   IT")</f>
        <v xml:space="preserve">   IT</v>
      </c>
      <c r="B5031" t="str">
        <f>T("   Italie")</f>
        <v xml:space="preserve">   Italie</v>
      </c>
      <c r="C5031">
        <v>9320000</v>
      </c>
      <c r="D5031">
        <v>22073</v>
      </c>
    </row>
    <row r="5032" spans="1:4" x14ac:dyDescent="0.25">
      <c r="A5032" t="str">
        <f>T("   US")</f>
        <v xml:space="preserve">   US</v>
      </c>
      <c r="B5032" t="str">
        <f>T("   Etats-Unis")</f>
        <v xml:space="preserve">   Etats-Unis</v>
      </c>
      <c r="C5032">
        <v>4410000</v>
      </c>
      <c r="D5032">
        <v>1100</v>
      </c>
    </row>
    <row r="5033" spans="1:4" x14ac:dyDescent="0.25">
      <c r="A5033" t="str">
        <f>T("401212")</f>
        <v>401212</v>
      </c>
      <c r="B5033" t="str">
        <f>T("Pneumatiques rechapés, en caoutchouc, des types utilisés pour les autobus ou camions")</f>
        <v>Pneumatiques rechapés, en caoutchouc, des types utilisés pour les autobus ou camions</v>
      </c>
    </row>
    <row r="5034" spans="1:4" x14ac:dyDescent="0.25">
      <c r="A5034" t="str">
        <f>T("   ZZZ_Monde")</f>
        <v xml:space="preserve">   ZZZ_Monde</v>
      </c>
      <c r="B5034" t="str">
        <f>T("   ZZZ_Monde")</f>
        <v xml:space="preserve">   ZZZ_Monde</v>
      </c>
      <c r="C5034">
        <v>51411080</v>
      </c>
      <c r="D5034">
        <v>78631</v>
      </c>
    </row>
    <row r="5035" spans="1:4" x14ac:dyDescent="0.25">
      <c r="A5035" t="str">
        <f>T("   CN")</f>
        <v xml:space="preserve">   CN</v>
      </c>
      <c r="B5035" t="str">
        <f>T("   Chine")</f>
        <v xml:space="preserve">   Chine</v>
      </c>
      <c r="C5035">
        <v>22289367</v>
      </c>
      <c r="D5035">
        <v>7400</v>
      </c>
    </row>
    <row r="5036" spans="1:4" x14ac:dyDescent="0.25">
      <c r="A5036" t="str">
        <f>T("   DE")</f>
        <v xml:space="preserve">   DE</v>
      </c>
      <c r="B5036" t="str">
        <f>T("   Allemagne")</f>
        <v xml:space="preserve">   Allemagne</v>
      </c>
      <c r="C5036">
        <v>28316658</v>
      </c>
      <c r="D5036">
        <v>70290</v>
      </c>
    </row>
    <row r="5037" spans="1:4" x14ac:dyDescent="0.25">
      <c r="A5037" t="str">
        <f>T("   FR")</f>
        <v xml:space="preserve">   FR</v>
      </c>
      <c r="B5037" t="str">
        <f>T("   France")</f>
        <v xml:space="preserve">   France</v>
      </c>
      <c r="C5037">
        <v>805055</v>
      </c>
      <c r="D5037">
        <v>941</v>
      </c>
    </row>
    <row r="5038" spans="1:4" x14ac:dyDescent="0.25">
      <c r="A5038" t="str">
        <f>T("401219")</f>
        <v>401219</v>
      </c>
      <c r="B5038" t="str">
        <f>T("Pneumatiques rechapés, en caoutchouc (à l'excl. des pneumatiques des types utilisés pour les voitures de tourisme, les voitures du type 'break', les voitures de course, les autobus, les camions ou les véhicules aériens)")</f>
        <v>Pneumatiques rechapés, en caoutchouc (à l'excl. des pneumatiques des types utilisés pour les voitures de tourisme, les voitures du type 'break', les voitures de course, les autobus, les camions ou les véhicules aériens)</v>
      </c>
    </row>
    <row r="5039" spans="1:4" x14ac:dyDescent="0.25">
      <c r="A5039" t="str">
        <f>T("   ZZZ_Monde")</f>
        <v xml:space="preserve">   ZZZ_Monde</v>
      </c>
      <c r="B5039" t="str">
        <f>T("   ZZZ_Monde")</f>
        <v xml:space="preserve">   ZZZ_Monde</v>
      </c>
      <c r="C5039">
        <v>25428405</v>
      </c>
      <c r="D5039">
        <v>72600</v>
      </c>
    </row>
    <row r="5040" spans="1:4" x14ac:dyDescent="0.25">
      <c r="A5040" t="str">
        <f>T("   AU")</f>
        <v xml:space="preserve">   AU</v>
      </c>
      <c r="B5040" t="str">
        <f>T("   Australie")</f>
        <v xml:space="preserve">   Australie</v>
      </c>
      <c r="C5040">
        <v>3480000</v>
      </c>
      <c r="D5040">
        <v>18000</v>
      </c>
    </row>
    <row r="5041" spans="1:4" x14ac:dyDescent="0.25">
      <c r="A5041" t="str">
        <f>T("   BE")</f>
        <v xml:space="preserve">   BE</v>
      </c>
      <c r="B5041" t="str">
        <f>T("   Belgique")</f>
        <v xml:space="preserve">   Belgique</v>
      </c>
      <c r="C5041">
        <v>1281536</v>
      </c>
      <c r="D5041">
        <v>3700</v>
      </c>
    </row>
    <row r="5042" spans="1:4" x14ac:dyDescent="0.25">
      <c r="A5042" t="str">
        <f>T("   DE")</f>
        <v xml:space="preserve">   DE</v>
      </c>
      <c r="B5042" t="str">
        <f>T("   Allemagne")</f>
        <v xml:space="preserve">   Allemagne</v>
      </c>
      <c r="C5042">
        <v>8781000</v>
      </c>
      <c r="D5042">
        <v>34000</v>
      </c>
    </row>
    <row r="5043" spans="1:4" x14ac:dyDescent="0.25">
      <c r="A5043" t="str">
        <f>T("   FR")</f>
        <v xml:space="preserve">   FR</v>
      </c>
      <c r="B5043" t="str">
        <f>T("   France")</f>
        <v xml:space="preserve">   France</v>
      </c>
      <c r="C5043">
        <v>6854000</v>
      </c>
      <c r="D5043">
        <v>5800</v>
      </c>
    </row>
    <row r="5044" spans="1:4" x14ac:dyDescent="0.25">
      <c r="A5044" t="str">
        <f>T("   US")</f>
        <v xml:space="preserve">   US</v>
      </c>
      <c r="B5044" t="str">
        <f>T("   Etats-Unis")</f>
        <v xml:space="preserve">   Etats-Unis</v>
      </c>
      <c r="C5044">
        <v>5031869</v>
      </c>
      <c r="D5044">
        <v>11100</v>
      </c>
    </row>
    <row r="5045" spans="1:4" x14ac:dyDescent="0.25">
      <c r="A5045" t="str">
        <f>T("401220")</f>
        <v>401220</v>
      </c>
      <c r="B5045" t="str">
        <f>T("Pneumatiques usagés, en caoutchouc")</f>
        <v>Pneumatiques usagés, en caoutchouc</v>
      </c>
    </row>
    <row r="5046" spans="1:4" x14ac:dyDescent="0.25">
      <c r="A5046" t="str">
        <f>T("   ZZZ_Monde")</f>
        <v xml:space="preserve">   ZZZ_Monde</v>
      </c>
      <c r="B5046" t="str">
        <f>T("   ZZZ_Monde")</f>
        <v xml:space="preserve">   ZZZ_Monde</v>
      </c>
      <c r="C5046">
        <v>3843617781</v>
      </c>
      <c r="D5046">
        <v>11527795</v>
      </c>
    </row>
    <row r="5047" spans="1:4" x14ac:dyDescent="0.25">
      <c r="A5047" t="str">
        <f>T("   AE")</f>
        <v xml:space="preserve">   AE</v>
      </c>
      <c r="B5047" t="str">
        <f>T("   Emirats Arabes Unis")</f>
        <v xml:space="preserve">   Emirats Arabes Unis</v>
      </c>
      <c r="C5047">
        <v>249262</v>
      </c>
      <c r="D5047">
        <v>3000</v>
      </c>
    </row>
    <row r="5048" spans="1:4" x14ac:dyDescent="0.25">
      <c r="A5048" t="str">
        <f>T("   AU")</f>
        <v xml:space="preserve">   AU</v>
      </c>
      <c r="B5048" t="str">
        <f>T("   Australie")</f>
        <v xml:space="preserve">   Australie</v>
      </c>
      <c r="C5048">
        <v>4203459</v>
      </c>
      <c r="D5048">
        <v>28025</v>
      </c>
    </row>
    <row r="5049" spans="1:4" x14ac:dyDescent="0.25">
      <c r="A5049" t="str">
        <f>T("   BE")</f>
        <v xml:space="preserve">   BE</v>
      </c>
      <c r="B5049" t="str">
        <f>T("   Belgique")</f>
        <v xml:space="preserve">   Belgique</v>
      </c>
      <c r="C5049">
        <v>515535293</v>
      </c>
      <c r="D5049">
        <v>1358830</v>
      </c>
    </row>
    <row r="5050" spans="1:4" x14ac:dyDescent="0.25">
      <c r="A5050" t="str">
        <f>T("   CA")</f>
        <v xml:space="preserve">   CA</v>
      </c>
      <c r="B5050" t="str">
        <f>T("   Canada")</f>
        <v xml:space="preserve">   Canada</v>
      </c>
      <c r="C5050">
        <v>22299500</v>
      </c>
      <c r="D5050">
        <v>84565</v>
      </c>
    </row>
    <row r="5051" spans="1:4" x14ac:dyDescent="0.25">
      <c r="A5051" t="str">
        <f>T("   CH")</f>
        <v xml:space="preserve">   CH</v>
      </c>
      <c r="B5051" t="str">
        <f>T("   Suisse")</f>
        <v xml:space="preserve">   Suisse</v>
      </c>
      <c r="C5051">
        <v>9207710</v>
      </c>
      <c r="D5051">
        <v>29100</v>
      </c>
    </row>
    <row r="5052" spans="1:4" x14ac:dyDescent="0.25">
      <c r="A5052" t="str">
        <f>T("   CN")</f>
        <v xml:space="preserve">   CN</v>
      </c>
      <c r="B5052" t="str">
        <f>T("   Chine")</f>
        <v xml:space="preserve">   Chine</v>
      </c>
      <c r="C5052">
        <v>66903574</v>
      </c>
      <c r="D5052">
        <v>127747</v>
      </c>
    </row>
    <row r="5053" spans="1:4" x14ac:dyDescent="0.25">
      <c r="A5053" t="str">
        <f>T("   DE")</f>
        <v xml:space="preserve">   DE</v>
      </c>
      <c r="B5053" t="str">
        <f>T("   Allemagne")</f>
        <v xml:space="preserve">   Allemagne</v>
      </c>
      <c r="C5053">
        <v>1351170334</v>
      </c>
      <c r="D5053">
        <v>4235654</v>
      </c>
    </row>
    <row r="5054" spans="1:4" x14ac:dyDescent="0.25">
      <c r="A5054" t="str">
        <f>T("   DK")</f>
        <v xml:space="preserve">   DK</v>
      </c>
      <c r="B5054" t="str">
        <f>T("   Danemark")</f>
        <v xml:space="preserve">   Danemark</v>
      </c>
      <c r="C5054">
        <v>7298867</v>
      </c>
      <c r="D5054">
        <v>10872</v>
      </c>
    </row>
    <row r="5055" spans="1:4" x14ac:dyDescent="0.25">
      <c r="A5055" t="str">
        <f>T("   ES")</f>
        <v xml:space="preserve">   ES</v>
      </c>
      <c r="B5055" t="str">
        <f>T("   Espagne")</f>
        <v xml:space="preserve">   Espagne</v>
      </c>
      <c r="C5055">
        <v>5495633</v>
      </c>
      <c r="D5055">
        <v>11775</v>
      </c>
    </row>
    <row r="5056" spans="1:4" x14ac:dyDescent="0.25">
      <c r="A5056" t="str">
        <f>T("   FR")</f>
        <v xml:space="preserve">   FR</v>
      </c>
      <c r="B5056" t="str">
        <f>T("   France")</f>
        <v xml:space="preserve">   France</v>
      </c>
      <c r="C5056">
        <v>1659811753</v>
      </c>
      <c r="D5056">
        <v>5105547</v>
      </c>
    </row>
    <row r="5057" spans="1:4" x14ac:dyDescent="0.25">
      <c r="A5057" t="str">
        <f>T("   GB")</f>
        <v xml:space="preserve">   GB</v>
      </c>
      <c r="B5057" t="str">
        <f>T("   Royaume-Uni")</f>
        <v xml:space="preserve">   Royaume-Uni</v>
      </c>
      <c r="C5057">
        <v>70373576</v>
      </c>
      <c r="D5057">
        <v>237844</v>
      </c>
    </row>
    <row r="5058" spans="1:4" x14ac:dyDescent="0.25">
      <c r="A5058" t="str">
        <f>T("   IT")</f>
        <v xml:space="preserve">   IT</v>
      </c>
      <c r="B5058" t="str">
        <f>T("   Italie")</f>
        <v xml:space="preserve">   Italie</v>
      </c>
      <c r="C5058">
        <v>35479669</v>
      </c>
      <c r="D5058">
        <v>56623</v>
      </c>
    </row>
    <row r="5059" spans="1:4" x14ac:dyDescent="0.25">
      <c r="A5059" t="str">
        <f>T("   LB")</f>
        <v xml:space="preserve">   LB</v>
      </c>
      <c r="B5059" t="str">
        <f>T("   Liban")</f>
        <v xml:space="preserve">   Liban</v>
      </c>
      <c r="C5059">
        <v>900000</v>
      </c>
      <c r="D5059">
        <v>63</v>
      </c>
    </row>
    <row r="5060" spans="1:4" x14ac:dyDescent="0.25">
      <c r="A5060" t="str">
        <f>T("   NL")</f>
        <v xml:space="preserve">   NL</v>
      </c>
      <c r="B5060" t="str">
        <f>T("   Pays-bas")</f>
        <v xml:space="preserve">   Pays-bas</v>
      </c>
      <c r="C5060">
        <v>20709360</v>
      </c>
      <c r="D5060">
        <v>45000</v>
      </c>
    </row>
    <row r="5061" spans="1:4" x14ac:dyDescent="0.25">
      <c r="A5061" t="str">
        <f>T("   PA")</f>
        <v xml:space="preserve">   PA</v>
      </c>
      <c r="B5061" t="str">
        <f>T("   Panama")</f>
        <v xml:space="preserve">   Panama</v>
      </c>
      <c r="C5061">
        <v>3690036</v>
      </c>
      <c r="D5061">
        <v>6300</v>
      </c>
    </row>
    <row r="5062" spans="1:4" x14ac:dyDescent="0.25">
      <c r="A5062" t="str">
        <f>T("   SG")</f>
        <v xml:space="preserve">   SG</v>
      </c>
      <c r="B5062" t="str">
        <f>T("   Singapour")</f>
        <v xml:space="preserve">   Singapour</v>
      </c>
      <c r="C5062">
        <v>26884521</v>
      </c>
      <c r="D5062">
        <v>96418</v>
      </c>
    </row>
    <row r="5063" spans="1:4" x14ac:dyDescent="0.25">
      <c r="A5063" t="str">
        <f>T("   SN")</f>
        <v xml:space="preserve">   SN</v>
      </c>
      <c r="B5063" t="str">
        <f>T("   Sénégal")</f>
        <v xml:space="preserve">   Sénégal</v>
      </c>
      <c r="C5063">
        <v>9133506</v>
      </c>
      <c r="D5063">
        <v>23621</v>
      </c>
    </row>
    <row r="5064" spans="1:4" x14ac:dyDescent="0.25">
      <c r="A5064" t="str">
        <f>T("   TN")</f>
        <v xml:space="preserve">   TN</v>
      </c>
      <c r="B5064" t="str">
        <f>T("   Tunisie")</f>
        <v xml:space="preserve">   Tunisie</v>
      </c>
      <c r="C5064">
        <v>7440000</v>
      </c>
      <c r="D5064">
        <v>10000</v>
      </c>
    </row>
    <row r="5065" spans="1:4" x14ac:dyDescent="0.25">
      <c r="A5065" t="str">
        <f>T("   US")</f>
        <v xml:space="preserve">   US</v>
      </c>
      <c r="B5065" t="str">
        <f>T("   Etats-Unis")</f>
        <v xml:space="preserve">   Etats-Unis</v>
      </c>
      <c r="C5065">
        <v>26792370</v>
      </c>
      <c r="D5065">
        <v>56774</v>
      </c>
    </row>
    <row r="5066" spans="1:4" x14ac:dyDescent="0.25">
      <c r="A5066" t="str">
        <f>T("   ZA")</f>
        <v xml:space="preserve">   ZA</v>
      </c>
      <c r="B5066" t="str">
        <f>T("   Afrique du Sud")</f>
        <v xml:space="preserve">   Afrique du Sud</v>
      </c>
      <c r="C5066">
        <v>39358</v>
      </c>
      <c r="D5066">
        <v>37</v>
      </c>
    </row>
    <row r="5067" spans="1:4" x14ac:dyDescent="0.25">
      <c r="A5067" t="str">
        <f>T("401290")</f>
        <v>401290</v>
      </c>
      <c r="B5067" t="str">
        <f>T("Bandages pleins ou creux [mi-pleins], bandes de roulement amovibles pour pneumatiques et flaps, en caoutchouc")</f>
        <v>Bandages pleins ou creux [mi-pleins], bandes de roulement amovibles pour pneumatiques et flaps, en caoutchouc</v>
      </c>
    </row>
    <row r="5068" spans="1:4" x14ac:dyDescent="0.25">
      <c r="A5068" t="str">
        <f>T("   ZZZ_Monde")</f>
        <v xml:space="preserve">   ZZZ_Monde</v>
      </c>
      <c r="B5068" t="str">
        <f>T("   ZZZ_Monde")</f>
        <v xml:space="preserve">   ZZZ_Monde</v>
      </c>
      <c r="C5068">
        <v>905315</v>
      </c>
      <c r="D5068">
        <v>2959.37</v>
      </c>
    </row>
    <row r="5069" spans="1:4" x14ac:dyDescent="0.25">
      <c r="A5069" t="str">
        <f>T("   BE")</f>
        <v xml:space="preserve">   BE</v>
      </c>
      <c r="B5069" t="str">
        <f>T("   Belgique")</f>
        <v xml:space="preserve">   Belgique</v>
      </c>
      <c r="C5069">
        <v>282116</v>
      </c>
      <c r="D5069">
        <v>147.37</v>
      </c>
    </row>
    <row r="5070" spans="1:4" x14ac:dyDescent="0.25">
      <c r="A5070" t="str">
        <f>T("   DE")</f>
        <v xml:space="preserve">   DE</v>
      </c>
      <c r="B5070" t="str">
        <f>T("   Allemagne")</f>
        <v xml:space="preserve">   Allemagne</v>
      </c>
      <c r="C5070">
        <v>124560</v>
      </c>
      <c r="D5070">
        <v>378</v>
      </c>
    </row>
    <row r="5071" spans="1:4" x14ac:dyDescent="0.25">
      <c r="A5071" t="str">
        <f>T("   GB")</f>
        <v xml:space="preserve">   GB</v>
      </c>
      <c r="B5071" t="str">
        <f>T("   Royaume-Uni")</f>
        <v xml:space="preserve">   Royaume-Uni</v>
      </c>
      <c r="C5071">
        <v>48639</v>
      </c>
      <c r="D5071">
        <v>134</v>
      </c>
    </row>
    <row r="5072" spans="1:4" x14ac:dyDescent="0.25">
      <c r="A5072" t="str">
        <f>T("   IT")</f>
        <v xml:space="preserve">   IT</v>
      </c>
      <c r="B5072" t="str">
        <f>T("   Italie")</f>
        <v xml:space="preserve">   Italie</v>
      </c>
      <c r="C5072">
        <v>75000</v>
      </c>
      <c r="D5072">
        <v>1000</v>
      </c>
    </row>
    <row r="5073" spans="1:4" x14ac:dyDescent="0.25">
      <c r="A5073" t="str">
        <f>T("   Z2")</f>
        <v xml:space="preserve">   Z2</v>
      </c>
      <c r="B5073" t="str">
        <f>T("   Pays non défini")</f>
        <v xml:space="preserve">   Pays non défini</v>
      </c>
      <c r="C5073">
        <v>375000</v>
      </c>
      <c r="D5073">
        <v>1300</v>
      </c>
    </row>
    <row r="5074" spans="1:4" x14ac:dyDescent="0.25">
      <c r="A5074" t="str">
        <f>T("401310")</f>
        <v>401310</v>
      </c>
      <c r="B5074" t="str">
        <f>T("Chambres à air, en caoutchouc, des types utilisés pour les voitures de tourisme [y.c. les voitures du type 'break' et les voitures de course], les autobus ou les camions")</f>
        <v>Chambres à air, en caoutchouc, des types utilisés pour les voitures de tourisme [y.c. les voitures du type 'break' et les voitures de course], les autobus ou les camions</v>
      </c>
    </row>
    <row r="5075" spans="1:4" x14ac:dyDescent="0.25">
      <c r="A5075" t="str">
        <f>T("   ZZZ_Monde")</f>
        <v xml:space="preserve">   ZZZ_Monde</v>
      </c>
      <c r="B5075" t="str">
        <f>T("   ZZZ_Monde")</f>
        <v xml:space="preserve">   ZZZ_Monde</v>
      </c>
      <c r="C5075">
        <v>130335954</v>
      </c>
      <c r="D5075">
        <v>512699</v>
      </c>
    </row>
    <row r="5076" spans="1:4" x14ac:dyDescent="0.25">
      <c r="A5076" t="str">
        <f>T("   BE")</f>
        <v xml:space="preserve">   BE</v>
      </c>
      <c r="B5076" t="str">
        <f>T("   Belgique")</f>
        <v xml:space="preserve">   Belgique</v>
      </c>
      <c r="C5076">
        <v>9074317</v>
      </c>
      <c r="D5076">
        <v>45828</v>
      </c>
    </row>
    <row r="5077" spans="1:4" x14ac:dyDescent="0.25">
      <c r="A5077" t="str">
        <f>T("   CH")</f>
        <v xml:space="preserve">   CH</v>
      </c>
      <c r="B5077" t="str">
        <f>T("   Suisse")</f>
        <v xml:space="preserve">   Suisse</v>
      </c>
      <c r="C5077">
        <v>400136</v>
      </c>
      <c r="D5077">
        <v>5470</v>
      </c>
    </row>
    <row r="5078" spans="1:4" x14ac:dyDescent="0.25">
      <c r="A5078" t="str">
        <f>T("   CN")</f>
        <v xml:space="preserve">   CN</v>
      </c>
      <c r="B5078" t="str">
        <f>T("   Chine")</f>
        <v xml:space="preserve">   Chine</v>
      </c>
      <c r="C5078">
        <v>6145492</v>
      </c>
      <c r="D5078">
        <v>16700</v>
      </c>
    </row>
    <row r="5079" spans="1:4" x14ac:dyDescent="0.25">
      <c r="A5079" t="str">
        <f>T("   DE")</f>
        <v xml:space="preserve">   DE</v>
      </c>
      <c r="B5079" t="str">
        <f>T("   Allemagne")</f>
        <v xml:space="preserve">   Allemagne</v>
      </c>
      <c r="C5079">
        <v>54164505</v>
      </c>
      <c r="D5079">
        <v>236454</v>
      </c>
    </row>
    <row r="5080" spans="1:4" x14ac:dyDescent="0.25">
      <c r="A5080" t="str">
        <f>T("   FR")</f>
        <v xml:space="preserve">   FR</v>
      </c>
      <c r="B5080" t="str">
        <f>T("   France")</f>
        <v xml:space="preserve">   France</v>
      </c>
      <c r="C5080">
        <v>59068280</v>
      </c>
      <c r="D5080">
        <v>200307</v>
      </c>
    </row>
    <row r="5081" spans="1:4" x14ac:dyDescent="0.25">
      <c r="A5081" t="str">
        <f>T("   GB")</f>
        <v xml:space="preserve">   GB</v>
      </c>
      <c r="B5081" t="str">
        <f>T("   Royaume-Uni")</f>
        <v xml:space="preserve">   Royaume-Uni</v>
      </c>
      <c r="C5081">
        <v>48639</v>
      </c>
      <c r="D5081">
        <v>134</v>
      </c>
    </row>
    <row r="5082" spans="1:4" x14ac:dyDescent="0.25">
      <c r="A5082" t="str">
        <f>T("   NL")</f>
        <v xml:space="preserve">   NL</v>
      </c>
      <c r="B5082" t="str">
        <f>T("   Pays-bas")</f>
        <v xml:space="preserve">   Pays-bas</v>
      </c>
      <c r="C5082">
        <v>263696</v>
      </c>
      <c r="D5082">
        <v>1500</v>
      </c>
    </row>
    <row r="5083" spans="1:4" x14ac:dyDescent="0.25">
      <c r="A5083" t="str">
        <f>T("   SG")</f>
        <v xml:space="preserve">   SG</v>
      </c>
      <c r="B5083" t="str">
        <f>T("   Singapour")</f>
        <v xml:space="preserve">   Singapour</v>
      </c>
      <c r="C5083">
        <v>1170889</v>
      </c>
      <c r="D5083">
        <v>6306</v>
      </c>
    </row>
    <row r="5084" spans="1:4" x14ac:dyDescent="0.25">
      <c r="A5084" t="str">
        <f>T("401320")</f>
        <v>401320</v>
      </c>
      <c r="B5084" t="str">
        <f>T("Chambres à air, en caoutchouc, des types utilisés pour les bicyclettes")</f>
        <v>Chambres à air, en caoutchouc, des types utilisés pour les bicyclettes</v>
      </c>
    </row>
    <row r="5085" spans="1:4" x14ac:dyDescent="0.25">
      <c r="A5085" t="str">
        <f>T("   ZZZ_Monde")</f>
        <v xml:space="preserve">   ZZZ_Monde</v>
      </c>
      <c r="B5085" t="str">
        <f>T("   ZZZ_Monde")</f>
        <v xml:space="preserve">   ZZZ_Monde</v>
      </c>
      <c r="C5085">
        <v>7321988</v>
      </c>
      <c r="D5085">
        <v>50647</v>
      </c>
    </row>
    <row r="5086" spans="1:4" x14ac:dyDescent="0.25">
      <c r="A5086" t="str">
        <f>T("   TG")</f>
        <v xml:space="preserve">   TG</v>
      </c>
      <c r="B5086" t="str">
        <f>T("   Togo")</f>
        <v xml:space="preserve">   Togo</v>
      </c>
      <c r="C5086">
        <v>7321988</v>
      </c>
      <c r="D5086">
        <v>50647</v>
      </c>
    </row>
    <row r="5087" spans="1:4" x14ac:dyDescent="0.25">
      <c r="A5087" t="str">
        <f>T("401390")</f>
        <v>401390</v>
      </c>
      <c r="B5087" t="str">
        <f>T("Chambres à air, en caoutchouc (à l'excl. des chambres à air des types utilisés pour les voitures de tourisme, les voitures du type 'break', les voitures de course, les autobus, les camions et les bicyclettes)")</f>
        <v>Chambres à air, en caoutchouc (à l'excl. des chambres à air des types utilisés pour les voitures de tourisme, les voitures du type 'break', les voitures de course, les autobus, les camions et les bicyclettes)</v>
      </c>
    </row>
    <row r="5088" spans="1:4" x14ac:dyDescent="0.25">
      <c r="A5088" t="str">
        <f>T("   ZZZ_Monde")</f>
        <v xml:space="preserve">   ZZZ_Monde</v>
      </c>
      <c r="B5088" t="str">
        <f>T("   ZZZ_Monde")</f>
        <v xml:space="preserve">   ZZZ_Monde</v>
      </c>
      <c r="C5088">
        <v>142205154</v>
      </c>
      <c r="D5088">
        <v>889261</v>
      </c>
    </row>
    <row r="5089" spans="1:4" x14ac:dyDescent="0.25">
      <c r="A5089" t="str">
        <f>T("   BE")</f>
        <v xml:space="preserve">   BE</v>
      </c>
      <c r="B5089" t="str">
        <f>T("   Belgique")</f>
        <v xml:space="preserve">   Belgique</v>
      </c>
      <c r="C5089">
        <v>6418964</v>
      </c>
      <c r="D5089">
        <v>84538</v>
      </c>
    </row>
    <row r="5090" spans="1:4" x14ac:dyDescent="0.25">
      <c r="A5090" t="str">
        <f>T("   CN")</f>
        <v xml:space="preserve">   CN</v>
      </c>
      <c r="B5090" t="str">
        <f>T("   Chine")</f>
        <v xml:space="preserve">   Chine</v>
      </c>
      <c r="C5090">
        <v>49818652</v>
      </c>
      <c r="D5090">
        <v>105775</v>
      </c>
    </row>
    <row r="5091" spans="1:4" x14ac:dyDescent="0.25">
      <c r="A5091" t="str">
        <f>T("   DE")</f>
        <v xml:space="preserve">   DE</v>
      </c>
      <c r="B5091" t="str">
        <f>T("   Allemagne")</f>
        <v xml:space="preserve">   Allemagne</v>
      </c>
      <c r="C5091">
        <v>14916261</v>
      </c>
      <c r="D5091">
        <v>159932</v>
      </c>
    </row>
    <row r="5092" spans="1:4" x14ac:dyDescent="0.25">
      <c r="A5092" t="str">
        <f>T("   FR")</f>
        <v xml:space="preserve">   FR</v>
      </c>
      <c r="B5092" t="str">
        <f>T("   France")</f>
        <v xml:space="preserve">   France</v>
      </c>
      <c r="C5092">
        <v>43827681</v>
      </c>
      <c r="D5092">
        <v>391763</v>
      </c>
    </row>
    <row r="5093" spans="1:4" x14ac:dyDescent="0.25">
      <c r="A5093" t="str">
        <f>T("   GB")</f>
        <v xml:space="preserve">   GB</v>
      </c>
      <c r="B5093" t="str">
        <f>T("   Royaume-Uni")</f>
        <v xml:space="preserve">   Royaume-Uni</v>
      </c>
      <c r="C5093">
        <v>2027400</v>
      </c>
      <c r="D5093">
        <v>11000</v>
      </c>
    </row>
    <row r="5094" spans="1:4" x14ac:dyDescent="0.25">
      <c r="A5094" t="str">
        <f>T("   GH")</f>
        <v xml:space="preserve">   GH</v>
      </c>
      <c r="B5094" t="str">
        <f>T("   Ghana")</f>
        <v xml:space="preserve">   Ghana</v>
      </c>
      <c r="C5094">
        <v>6390000</v>
      </c>
      <c r="D5094">
        <v>36840</v>
      </c>
    </row>
    <row r="5095" spans="1:4" x14ac:dyDescent="0.25">
      <c r="A5095" t="str">
        <f>T("   IN")</f>
        <v xml:space="preserve">   IN</v>
      </c>
      <c r="B5095" t="str">
        <f>T("   Inde")</f>
        <v xml:space="preserve">   Inde</v>
      </c>
      <c r="C5095">
        <v>19200</v>
      </c>
      <c r="D5095">
        <v>64</v>
      </c>
    </row>
    <row r="5096" spans="1:4" x14ac:dyDescent="0.25">
      <c r="A5096" t="str">
        <f>T("   IT")</f>
        <v xml:space="preserve">   IT</v>
      </c>
      <c r="B5096" t="str">
        <f>T("   Italie")</f>
        <v xml:space="preserve">   Italie</v>
      </c>
      <c r="C5096">
        <v>650824</v>
      </c>
      <c r="D5096">
        <v>2900</v>
      </c>
    </row>
    <row r="5097" spans="1:4" x14ac:dyDescent="0.25">
      <c r="A5097" t="str">
        <f>T("   JP")</f>
        <v xml:space="preserve">   JP</v>
      </c>
      <c r="B5097" t="str">
        <f>T("   Japon")</f>
        <v xml:space="preserve">   Japon</v>
      </c>
      <c r="C5097">
        <v>31093</v>
      </c>
      <c r="D5097">
        <v>1</v>
      </c>
    </row>
    <row r="5098" spans="1:4" x14ac:dyDescent="0.25">
      <c r="A5098" t="str">
        <f>T("   TG")</f>
        <v xml:space="preserve">   TG</v>
      </c>
      <c r="B5098" t="str">
        <f>T("   Togo")</f>
        <v xml:space="preserve">   Togo</v>
      </c>
      <c r="C5098">
        <v>18105079</v>
      </c>
      <c r="D5098">
        <v>96448</v>
      </c>
    </row>
    <row r="5099" spans="1:4" x14ac:dyDescent="0.25">
      <c r="A5099" t="str">
        <f>T("401410")</f>
        <v>401410</v>
      </c>
      <c r="B5099" t="str">
        <f>T("Préservatifs en caoutchouc vulcanisé non durci")</f>
        <v>Préservatifs en caoutchouc vulcanisé non durci</v>
      </c>
    </row>
    <row r="5100" spans="1:4" x14ac:dyDescent="0.25">
      <c r="A5100" t="str">
        <f>T("   ZZZ_Monde")</f>
        <v xml:space="preserve">   ZZZ_Monde</v>
      </c>
      <c r="B5100" t="str">
        <f>T("   ZZZ_Monde")</f>
        <v xml:space="preserve">   ZZZ_Monde</v>
      </c>
      <c r="C5100">
        <v>117341553</v>
      </c>
      <c r="D5100">
        <v>23180</v>
      </c>
    </row>
    <row r="5101" spans="1:4" x14ac:dyDescent="0.25">
      <c r="A5101" t="str">
        <f>T("   BE")</f>
        <v xml:space="preserve">   BE</v>
      </c>
      <c r="B5101" t="str">
        <f>T("   Belgique")</f>
        <v xml:space="preserve">   Belgique</v>
      </c>
      <c r="C5101">
        <v>1332673</v>
      </c>
      <c r="D5101">
        <v>546</v>
      </c>
    </row>
    <row r="5102" spans="1:4" x14ac:dyDescent="0.25">
      <c r="A5102" t="str">
        <f>T("   BR")</f>
        <v xml:space="preserve">   BR</v>
      </c>
      <c r="B5102" t="str">
        <f>T("   Brésil")</f>
        <v xml:space="preserve">   Brésil</v>
      </c>
      <c r="C5102">
        <v>496127</v>
      </c>
      <c r="D5102">
        <v>8</v>
      </c>
    </row>
    <row r="5103" spans="1:4" x14ac:dyDescent="0.25">
      <c r="A5103" t="str">
        <f>T("   DE")</f>
        <v xml:space="preserve">   DE</v>
      </c>
      <c r="B5103" t="str">
        <f>T("   Allemagne")</f>
        <v xml:space="preserve">   Allemagne</v>
      </c>
      <c r="C5103">
        <v>83307</v>
      </c>
      <c r="D5103">
        <v>8</v>
      </c>
    </row>
    <row r="5104" spans="1:4" x14ac:dyDescent="0.25">
      <c r="A5104" t="str">
        <f>T("   FR")</f>
        <v xml:space="preserve">   FR</v>
      </c>
      <c r="B5104" t="str">
        <f>T("   France")</f>
        <v xml:space="preserve">   France</v>
      </c>
      <c r="C5104">
        <v>99747519</v>
      </c>
      <c r="D5104">
        <v>9238</v>
      </c>
    </row>
    <row r="5105" spans="1:4" x14ac:dyDescent="0.25">
      <c r="A5105" t="str">
        <f>T("   GB")</f>
        <v xml:space="preserve">   GB</v>
      </c>
      <c r="B5105" t="str">
        <f>T("   Royaume-Uni")</f>
        <v xml:space="preserve">   Royaume-Uni</v>
      </c>
      <c r="C5105">
        <v>13694209</v>
      </c>
      <c r="D5105">
        <v>2170</v>
      </c>
    </row>
    <row r="5106" spans="1:4" x14ac:dyDescent="0.25">
      <c r="A5106" t="str">
        <f>T("   TG")</f>
        <v xml:space="preserve">   TG</v>
      </c>
      <c r="B5106" t="str">
        <f>T("   Togo")</f>
        <v xml:space="preserve">   Togo</v>
      </c>
      <c r="C5106">
        <v>1987718</v>
      </c>
      <c r="D5106">
        <v>11210</v>
      </c>
    </row>
    <row r="5107" spans="1:4" x14ac:dyDescent="0.25">
      <c r="A5107" t="str">
        <f>T("401490")</f>
        <v>401490</v>
      </c>
      <c r="B5107" t="str">
        <f>T("ARTICLES D'HYGIÈNE OU DE PHARMACIE, Y.C. LES TÉTINES, EN CAOUTCHOUC VULCANISÉ NON-DURCI, MÊME AVEC PARTIES EN CAOUTCHOUC DURCI, N.D.A. (À L'EXCL. DES PRÉSERVATIFS AINSI QUE DES VÊTEMENTS ET ACCESSOIRES DU VÊTEMENT, Y.C. LES GANTS, POUR TOUS USAGES)")</f>
        <v>ARTICLES D'HYGIÈNE OU DE PHARMACIE, Y.C. LES TÉTINES, EN CAOUTCHOUC VULCANISÉ NON-DURCI, MÊME AVEC PARTIES EN CAOUTCHOUC DURCI, N.D.A. (À L'EXCL. DES PRÉSERVATIFS AINSI QUE DES VÊTEMENTS ET ACCESSOIRES DU VÊTEMENT, Y.C. LES GANTS, POUR TOUS USAGES)</v>
      </c>
    </row>
    <row r="5108" spans="1:4" x14ac:dyDescent="0.25">
      <c r="A5108" t="str">
        <f>T("   ZZZ_Monde")</f>
        <v xml:space="preserve">   ZZZ_Monde</v>
      </c>
      <c r="B5108" t="str">
        <f>T("   ZZZ_Monde")</f>
        <v xml:space="preserve">   ZZZ_Monde</v>
      </c>
      <c r="C5108">
        <v>13554745</v>
      </c>
      <c r="D5108">
        <v>1895</v>
      </c>
    </row>
    <row r="5109" spans="1:4" x14ac:dyDescent="0.25">
      <c r="A5109" t="str">
        <f>T("   BE")</f>
        <v xml:space="preserve">   BE</v>
      </c>
      <c r="B5109" t="str">
        <f>T("   Belgique")</f>
        <v xml:space="preserve">   Belgique</v>
      </c>
      <c r="C5109">
        <v>429654</v>
      </c>
      <c r="D5109">
        <v>82</v>
      </c>
    </row>
    <row r="5110" spans="1:4" x14ac:dyDescent="0.25">
      <c r="A5110" t="str">
        <f>T("   FR")</f>
        <v xml:space="preserve">   FR</v>
      </c>
      <c r="B5110" t="str">
        <f>T("   France")</f>
        <v xml:space="preserve">   France</v>
      </c>
      <c r="C5110">
        <v>12606489</v>
      </c>
      <c r="D5110">
        <v>1269</v>
      </c>
    </row>
    <row r="5111" spans="1:4" x14ac:dyDescent="0.25">
      <c r="A5111" t="str">
        <f>T("   IT")</f>
        <v xml:space="preserve">   IT</v>
      </c>
      <c r="B5111" t="str">
        <f>T("   Italie")</f>
        <v xml:space="preserve">   Italie</v>
      </c>
      <c r="C5111">
        <v>518602</v>
      </c>
      <c r="D5111">
        <v>544</v>
      </c>
    </row>
    <row r="5112" spans="1:4" x14ac:dyDescent="0.25">
      <c r="A5112" t="str">
        <f>T("401511")</f>
        <v>401511</v>
      </c>
      <c r="B5112" t="str">
        <f>T("Gants en caoutchouc vulcanisé non durci, pour la chirurgie")</f>
        <v>Gants en caoutchouc vulcanisé non durci, pour la chirurgie</v>
      </c>
    </row>
    <row r="5113" spans="1:4" x14ac:dyDescent="0.25">
      <c r="A5113" t="str">
        <f>T("   ZZZ_Monde")</f>
        <v xml:space="preserve">   ZZZ_Monde</v>
      </c>
      <c r="B5113" t="str">
        <f>T("   ZZZ_Monde")</f>
        <v xml:space="preserve">   ZZZ_Monde</v>
      </c>
      <c r="C5113">
        <v>80854032</v>
      </c>
      <c r="D5113">
        <v>135371</v>
      </c>
    </row>
    <row r="5114" spans="1:4" x14ac:dyDescent="0.25">
      <c r="A5114" t="str">
        <f>T("   BE")</f>
        <v xml:space="preserve">   BE</v>
      </c>
      <c r="B5114" t="str">
        <f>T("   Belgique")</f>
        <v xml:space="preserve">   Belgique</v>
      </c>
      <c r="C5114">
        <v>1690330</v>
      </c>
      <c r="D5114">
        <v>216</v>
      </c>
    </row>
    <row r="5115" spans="1:4" x14ac:dyDescent="0.25">
      <c r="A5115" t="str">
        <f>T("   FR")</f>
        <v xml:space="preserve">   FR</v>
      </c>
      <c r="B5115" t="str">
        <f>T("   France")</f>
        <v xml:space="preserve">   France</v>
      </c>
      <c r="C5115">
        <v>1569215</v>
      </c>
      <c r="D5115">
        <v>734</v>
      </c>
    </row>
    <row r="5116" spans="1:4" x14ac:dyDescent="0.25">
      <c r="A5116" t="str">
        <f>T("   HK")</f>
        <v xml:space="preserve">   HK</v>
      </c>
      <c r="B5116" t="str">
        <f>T("   Hong-Kong")</f>
        <v xml:space="preserve">   Hong-Kong</v>
      </c>
      <c r="C5116">
        <v>24188582</v>
      </c>
      <c r="D5116">
        <v>10500</v>
      </c>
    </row>
    <row r="5117" spans="1:4" x14ac:dyDescent="0.25">
      <c r="A5117" t="str">
        <f>T("   IN")</f>
        <v xml:space="preserve">   IN</v>
      </c>
      <c r="B5117" t="str">
        <f>T("   Inde")</f>
        <v xml:space="preserve">   Inde</v>
      </c>
      <c r="C5117">
        <v>947862</v>
      </c>
      <c r="D5117">
        <v>23</v>
      </c>
    </row>
    <row r="5118" spans="1:4" x14ac:dyDescent="0.25">
      <c r="A5118" t="str">
        <f>T("   IT")</f>
        <v xml:space="preserve">   IT</v>
      </c>
      <c r="B5118" t="str">
        <f>T("   Italie")</f>
        <v xml:space="preserve">   Italie</v>
      </c>
      <c r="C5118">
        <v>754355</v>
      </c>
      <c r="D5118">
        <v>300</v>
      </c>
    </row>
    <row r="5119" spans="1:4" x14ac:dyDescent="0.25">
      <c r="A5119" t="str">
        <f>T("   MA")</f>
        <v xml:space="preserve">   MA</v>
      </c>
      <c r="B5119" t="str">
        <f>T("   Maroc")</f>
        <v xml:space="preserve">   Maroc</v>
      </c>
      <c r="C5119">
        <v>64284</v>
      </c>
      <c r="D5119">
        <v>242</v>
      </c>
    </row>
    <row r="5120" spans="1:4" x14ac:dyDescent="0.25">
      <c r="A5120" t="str">
        <f>T("   MY")</f>
        <v xml:space="preserve">   MY</v>
      </c>
      <c r="B5120" t="str">
        <f>T("   Malaisie")</f>
        <v xml:space="preserve">   Malaisie</v>
      </c>
      <c r="C5120">
        <v>33150251</v>
      </c>
      <c r="D5120">
        <v>39470</v>
      </c>
    </row>
    <row r="5121" spans="1:4" x14ac:dyDescent="0.25">
      <c r="A5121" t="str">
        <f>T("   NL")</f>
        <v xml:space="preserve">   NL</v>
      </c>
      <c r="B5121" t="str">
        <f>T("   Pays-bas")</f>
        <v xml:space="preserve">   Pays-bas</v>
      </c>
      <c r="C5121">
        <v>6015153</v>
      </c>
      <c r="D5121">
        <v>749</v>
      </c>
    </row>
    <row r="5122" spans="1:4" x14ac:dyDescent="0.25">
      <c r="A5122" t="str">
        <f>T("   TG")</f>
        <v xml:space="preserve">   TG</v>
      </c>
      <c r="B5122" t="str">
        <f>T("   Togo")</f>
        <v xml:space="preserve">   Togo</v>
      </c>
      <c r="C5122">
        <v>12474000</v>
      </c>
      <c r="D5122">
        <v>83137</v>
      </c>
    </row>
    <row r="5123" spans="1:4" x14ac:dyDescent="0.25">
      <c r="A5123" t="str">
        <f>T("401519")</f>
        <v>401519</v>
      </c>
      <c r="B5123" t="str">
        <f>T("GANTS, MITAINES ET MOUFLES, EN CAOUTCHOUC VULCANISÉ NON-DURCI (À L'EXCL. DES GANTS POUR LA CHIRURGIE)")</f>
        <v>GANTS, MITAINES ET MOUFLES, EN CAOUTCHOUC VULCANISÉ NON-DURCI (À L'EXCL. DES GANTS POUR LA CHIRURGIE)</v>
      </c>
    </row>
    <row r="5124" spans="1:4" x14ac:dyDescent="0.25">
      <c r="A5124" t="str">
        <f>T("   ZZZ_Monde")</f>
        <v xml:space="preserve">   ZZZ_Monde</v>
      </c>
      <c r="B5124" t="str">
        <f>T("   ZZZ_Monde")</f>
        <v xml:space="preserve">   ZZZ_Monde</v>
      </c>
      <c r="C5124">
        <v>5956801</v>
      </c>
      <c r="D5124">
        <v>873</v>
      </c>
    </row>
    <row r="5125" spans="1:4" x14ac:dyDescent="0.25">
      <c r="A5125" t="str">
        <f>T("   CN")</f>
        <v xml:space="preserve">   CN</v>
      </c>
      <c r="B5125" t="str">
        <f>T("   Chine")</f>
        <v xml:space="preserve">   Chine</v>
      </c>
      <c r="C5125">
        <v>729001</v>
      </c>
      <c r="D5125">
        <v>60</v>
      </c>
    </row>
    <row r="5126" spans="1:4" x14ac:dyDescent="0.25">
      <c r="A5126" t="str">
        <f>T("   FR")</f>
        <v xml:space="preserve">   FR</v>
      </c>
      <c r="B5126" t="str">
        <f>T("   France")</f>
        <v xml:space="preserve">   France</v>
      </c>
      <c r="C5126">
        <v>3895059</v>
      </c>
      <c r="D5126">
        <v>607</v>
      </c>
    </row>
    <row r="5127" spans="1:4" x14ac:dyDescent="0.25">
      <c r="A5127" t="str">
        <f>T("   IN")</f>
        <v xml:space="preserve">   IN</v>
      </c>
      <c r="B5127" t="str">
        <f>T("   Inde")</f>
        <v xml:space="preserve">   Inde</v>
      </c>
      <c r="C5127">
        <v>239675</v>
      </c>
      <c r="D5127">
        <v>114</v>
      </c>
    </row>
    <row r="5128" spans="1:4" x14ac:dyDescent="0.25">
      <c r="A5128" t="str">
        <f>T("   NL")</f>
        <v xml:space="preserve">   NL</v>
      </c>
      <c r="B5128" t="str">
        <f>T("   Pays-bas")</f>
        <v xml:space="preserve">   Pays-bas</v>
      </c>
      <c r="C5128">
        <v>1093066</v>
      </c>
      <c r="D5128">
        <v>92</v>
      </c>
    </row>
    <row r="5129" spans="1:4" x14ac:dyDescent="0.25">
      <c r="A5129" t="str">
        <f>T("401590")</f>
        <v>401590</v>
      </c>
      <c r="B5129" t="str">
        <f>T("Vêtements et accessoires du vêtement en caoutchouc vulcanisé non durci, pour tous usages (à l'excl. des gants, mitaines et moufles, des chaussures ou des coiffures ainsi que des parties de chaussures ou de coiffures)")</f>
        <v>Vêtements et accessoires du vêtement en caoutchouc vulcanisé non durci, pour tous usages (à l'excl. des gants, mitaines et moufles, des chaussures ou des coiffures ainsi que des parties de chaussures ou de coiffures)</v>
      </c>
    </row>
    <row r="5130" spans="1:4" x14ac:dyDescent="0.25">
      <c r="A5130" t="str">
        <f>T("   ZZZ_Monde")</f>
        <v xml:space="preserve">   ZZZ_Monde</v>
      </c>
      <c r="B5130" t="str">
        <f>T("   ZZZ_Monde")</f>
        <v xml:space="preserve">   ZZZ_Monde</v>
      </c>
      <c r="C5130">
        <v>3063080</v>
      </c>
      <c r="D5130">
        <v>1231</v>
      </c>
    </row>
    <row r="5131" spans="1:4" x14ac:dyDescent="0.25">
      <c r="A5131" t="str">
        <f>T("   CN")</f>
        <v xml:space="preserve">   CN</v>
      </c>
      <c r="B5131" t="str">
        <f>T("   Chine")</f>
        <v xml:space="preserve">   Chine</v>
      </c>
      <c r="C5131">
        <v>755456</v>
      </c>
      <c r="D5131">
        <v>778</v>
      </c>
    </row>
    <row r="5132" spans="1:4" x14ac:dyDescent="0.25">
      <c r="A5132" t="str">
        <f>T("   ES")</f>
        <v xml:space="preserve">   ES</v>
      </c>
      <c r="B5132" t="str">
        <f>T("   Espagne")</f>
        <v xml:space="preserve">   Espagne</v>
      </c>
      <c r="C5132">
        <v>1554560</v>
      </c>
      <c r="D5132">
        <v>302</v>
      </c>
    </row>
    <row r="5133" spans="1:4" x14ac:dyDescent="0.25">
      <c r="A5133" t="str">
        <f>T("   FR")</f>
        <v xml:space="preserve">   FR</v>
      </c>
      <c r="B5133" t="str">
        <f>T("   France")</f>
        <v xml:space="preserve">   France</v>
      </c>
      <c r="C5133">
        <v>707782</v>
      </c>
      <c r="D5133">
        <v>149</v>
      </c>
    </row>
    <row r="5134" spans="1:4" x14ac:dyDescent="0.25">
      <c r="A5134" t="str">
        <f>T("   US")</f>
        <v xml:space="preserve">   US</v>
      </c>
      <c r="B5134" t="str">
        <f>T("   Etats-Unis")</f>
        <v xml:space="preserve">   Etats-Unis</v>
      </c>
      <c r="C5134">
        <v>45282</v>
      </c>
      <c r="D5134">
        <v>2</v>
      </c>
    </row>
    <row r="5135" spans="1:4" x14ac:dyDescent="0.25">
      <c r="A5135" t="str">
        <f>T("401610")</f>
        <v>401610</v>
      </c>
      <c r="B5135" t="str">
        <f>T("Ouvrages en caoutchouc alvéolaire non durci, n.d.a.")</f>
        <v>Ouvrages en caoutchouc alvéolaire non durci, n.d.a.</v>
      </c>
    </row>
    <row r="5136" spans="1:4" x14ac:dyDescent="0.25">
      <c r="A5136" t="str">
        <f>T("   ZZZ_Monde")</f>
        <v xml:space="preserve">   ZZZ_Monde</v>
      </c>
      <c r="B5136" t="str">
        <f>T("   ZZZ_Monde")</f>
        <v xml:space="preserve">   ZZZ_Monde</v>
      </c>
      <c r="C5136">
        <v>1525904</v>
      </c>
      <c r="D5136">
        <v>5388</v>
      </c>
    </row>
    <row r="5137" spans="1:4" x14ac:dyDescent="0.25">
      <c r="A5137" t="str">
        <f>T("   CN")</f>
        <v xml:space="preserve">   CN</v>
      </c>
      <c r="B5137" t="str">
        <f>T("   Chine")</f>
        <v xml:space="preserve">   Chine</v>
      </c>
      <c r="C5137">
        <v>1249666</v>
      </c>
      <c r="D5137">
        <v>5380</v>
      </c>
    </row>
    <row r="5138" spans="1:4" x14ac:dyDescent="0.25">
      <c r="A5138" t="str">
        <f>T("   FR")</f>
        <v xml:space="preserve">   FR</v>
      </c>
      <c r="B5138" t="str">
        <f>T("   France")</f>
        <v xml:space="preserve">   France</v>
      </c>
      <c r="C5138">
        <v>276238</v>
      </c>
      <c r="D5138">
        <v>8</v>
      </c>
    </row>
    <row r="5139" spans="1:4" x14ac:dyDescent="0.25">
      <c r="A5139" t="str">
        <f>T("401691")</f>
        <v>401691</v>
      </c>
      <c r="B5139" t="str">
        <f>T("Revêtements de sol et tapis de pied, en caoutchouc vulcanisé non durci, à bords biseautés ou moulurés, à coins arrondis, à bordures ajourées ou autrement travaillés (à l'excl. des ouvrages en caoutchouc alvéolaire ainsi que des ouvrages simplement découpé")</f>
        <v>Revêtements de sol et tapis de pied, en caoutchouc vulcanisé non durci, à bords biseautés ou moulurés, à coins arrondis, à bordures ajourées ou autrement travaillés (à l'excl. des ouvrages en caoutchouc alvéolaire ainsi que des ouvrages simplement découpé</v>
      </c>
    </row>
    <row r="5140" spans="1:4" x14ac:dyDescent="0.25">
      <c r="A5140" t="str">
        <f>T("   ZZZ_Monde")</f>
        <v xml:space="preserve">   ZZZ_Monde</v>
      </c>
      <c r="B5140" t="str">
        <f>T("   ZZZ_Monde")</f>
        <v xml:space="preserve">   ZZZ_Monde</v>
      </c>
      <c r="C5140">
        <v>6172011</v>
      </c>
      <c r="D5140">
        <v>15512</v>
      </c>
    </row>
    <row r="5141" spans="1:4" x14ac:dyDescent="0.25">
      <c r="A5141" t="str">
        <f>T("   FR")</f>
        <v xml:space="preserve">   FR</v>
      </c>
      <c r="B5141" t="str">
        <f>T("   France")</f>
        <v xml:space="preserve">   France</v>
      </c>
      <c r="C5141">
        <v>197654</v>
      </c>
      <c r="D5141">
        <v>94</v>
      </c>
    </row>
    <row r="5142" spans="1:4" x14ac:dyDescent="0.25">
      <c r="A5142" t="str">
        <f>T("   GH")</f>
        <v xml:space="preserve">   GH</v>
      </c>
      <c r="B5142" t="str">
        <f>T("   Ghana")</f>
        <v xml:space="preserve">   Ghana</v>
      </c>
      <c r="C5142">
        <v>1185000</v>
      </c>
      <c r="D5142">
        <v>6565</v>
      </c>
    </row>
    <row r="5143" spans="1:4" x14ac:dyDescent="0.25">
      <c r="A5143" t="str">
        <f>T("   IN")</f>
        <v xml:space="preserve">   IN</v>
      </c>
      <c r="B5143" t="str">
        <f>T("   Inde")</f>
        <v xml:space="preserve">   Inde</v>
      </c>
      <c r="C5143">
        <v>3818320</v>
      </c>
      <c r="D5143">
        <v>7704</v>
      </c>
    </row>
    <row r="5144" spans="1:4" x14ac:dyDescent="0.25">
      <c r="A5144" t="str">
        <f>T("   IR")</f>
        <v xml:space="preserve">   IR</v>
      </c>
      <c r="B5144" t="str">
        <f>T("   Iran, République Islqmique d'")</f>
        <v xml:space="preserve">   Iran, République Islqmique d'</v>
      </c>
      <c r="C5144">
        <v>550973</v>
      </c>
      <c r="D5144">
        <v>299</v>
      </c>
    </row>
    <row r="5145" spans="1:4" x14ac:dyDescent="0.25">
      <c r="A5145" t="str">
        <f>T("   TG")</f>
        <v xml:space="preserve">   TG</v>
      </c>
      <c r="B5145" t="str">
        <f>T("   Togo")</f>
        <v xml:space="preserve">   Togo</v>
      </c>
      <c r="C5145">
        <v>420064</v>
      </c>
      <c r="D5145">
        <v>850</v>
      </c>
    </row>
    <row r="5146" spans="1:4" x14ac:dyDescent="0.25">
      <c r="A5146" t="str">
        <f>T("401692")</f>
        <v>401692</v>
      </c>
      <c r="B5146" t="str">
        <f>T("Gommes à effacer, en caoutchouc vulcanisé non durci, prêtes à l'emploi (à l'excl. des articles simplement découpés de forme carrée ou rectangulaire)")</f>
        <v>Gommes à effacer, en caoutchouc vulcanisé non durci, prêtes à l'emploi (à l'excl. des articles simplement découpés de forme carrée ou rectangulaire)</v>
      </c>
    </row>
    <row r="5147" spans="1:4" x14ac:dyDescent="0.25">
      <c r="A5147" t="str">
        <f>T("   ZZZ_Monde")</f>
        <v xml:space="preserve">   ZZZ_Monde</v>
      </c>
      <c r="B5147" t="str">
        <f>T("   ZZZ_Monde")</f>
        <v xml:space="preserve">   ZZZ_Monde</v>
      </c>
      <c r="C5147">
        <v>1638542</v>
      </c>
      <c r="D5147">
        <v>2350</v>
      </c>
    </row>
    <row r="5148" spans="1:4" x14ac:dyDescent="0.25">
      <c r="A5148" t="str">
        <f>T("   CN")</f>
        <v xml:space="preserve">   CN</v>
      </c>
      <c r="B5148" t="str">
        <f>T("   Chine")</f>
        <v xml:space="preserve">   Chine</v>
      </c>
      <c r="C5148">
        <v>1063754</v>
      </c>
      <c r="D5148">
        <v>1500</v>
      </c>
    </row>
    <row r="5149" spans="1:4" x14ac:dyDescent="0.25">
      <c r="A5149" t="str">
        <f>T("   FR")</f>
        <v xml:space="preserve">   FR</v>
      </c>
      <c r="B5149" t="str">
        <f>T("   France")</f>
        <v xml:space="preserve">   France</v>
      </c>
      <c r="C5149">
        <v>13119</v>
      </c>
      <c r="D5149">
        <v>20</v>
      </c>
    </row>
    <row r="5150" spans="1:4" x14ac:dyDescent="0.25">
      <c r="A5150" t="str">
        <f>T("   SG")</f>
        <v xml:space="preserve">   SG</v>
      </c>
      <c r="B5150" t="str">
        <f>T("   Singapour")</f>
        <v xml:space="preserve">   Singapour</v>
      </c>
      <c r="C5150">
        <v>561669</v>
      </c>
      <c r="D5150">
        <v>830</v>
      </c>
    </row>
    <row r="5151" spans="1:4" x14ac:dyDescent="0.25">
      <c r="A5151" t="str">
        <f>T("401693")</f>
        <v>401693</v>
      </c>
      <c r="B5151" t="str">
        <f>T("Joints en caoutchouc vulcanisé non durci (à l'excl. des articles en caoutchouc alvéolaire)")</f>
        <v>Joints en caoutchouc vulcanisé non durci (à l'excl. des articles en caoutchouc alvéolaire)</v>
      </c>
    </row>
    <row r="5152" spans="1:4" x14ac:dyDescent="0.25">
      <c r="A5152" t="str">
        <f>T("   ZZZ_Monde")</f>
        <v xml:space="preserve">   ZZZ_Monde</v>
      </c>
      <c r="B5152" t="str">
        <f>T("   ZZZ_Monde")</f>
        <v xml:space="preserve">   ZZZ_Monde</v>
      </c>
      <c r="C5152">
        <v>59505177</v>
      </c>
      <c r="D5152">
        <v>17598.72</v>
      </c>
    </row>
    <row r="5153" spans="1:4" x14ac:dyDescent="0.25">
      <c r="A5153" t="str">
        <f>T("   AT")</f>
        <v xml:space="preserve">   AT</v>
      </c>
      <c r="B5153" t="str">
        <f>T("   Autriche")</f>
        <v xml:space="preserve">   Autriche</v>
      </c>
      <c r="C5153">
        <v>258520</v>
      </c>
      <c r="D5153">
        <v>25.2</v>
      </c>
    </row>
    <row r="5154" spans="1:4" x14ac:dyDescent="0.25">
      <c r="A5154" t="str">
        <f>T("   BE")</f>
        <v xml:space="preserve">   BE</v>
      </c>
      <c r="B5154" t="str">
        <f>T("   Belgique")</f>
        <v xml:space="preserve">   Belgique</v>
      </c>
      <c r="C5154">
        <v>2220207</v>
      </c>
      <c r="D5154">
        <v>52.2</v>
      </c>
    </row>
    <row r="5155" spans="1:4" x14ac:dyDescent="0.25">
      <c r="A5155" t="str">
        <f>T("   CA")</f>
        <v xml:space="preserve">   CA</v>
      </c>
      <c r="B5155" t="str">
        <f>T("   Canada")</f>
        <v xml:space="preserve">   Canada</v>
      </c>
      <c r="C5155">
        <v>2533876</v>
      </c>
      <c r="D5155">
        <v>605</v>
      </c>
    </row>
    <row r="5156" spans="1:4" x14ac:dyDescent="0.25">
      <c r="A5156" t="str">
        <f>T("   CN")</f>
        <v xml:space="preserve">   CN</v>
      </c>
      <c r="B5156" t="str">
        <f>T("   Chine")</f>
        <v xml:space="preserve">   Chine</v>
      </c>
      <c r="C5156">
        <v>903334</v>
      </c>
      <c r="D5156">
        <v>14310</v>
      </c>
    </row>
    <row r="5157" spans="1:4" x14ac:dyDescent="0.25">
      <c r="A5157" t="str">
        <f>T("   DE")</f>
        <v xml:space="preserve">   DE</v>
      </c>
      <c r="B5157" t="str">
        <f>T("   Allemagne")</f>
        <v xml:space="preserve">   Allemagne</v>
      </c>
      <c r="C5157">
        <v>5655064</v>
      </c>
      <c r="D5157">
        <v>207.2</v>
      </c>
    </row>
    <row r="5158" spans="1:4" x14ac:dyDescent="0.25">
      <c r="A5158" t="str">
        <f>T("   DK")</f>
        <v xml:space="preserve">   DK</v>
      </c>
      <c r="B5158" t="str">
        <f>T("   Danemark")</f>
        <v xml:space="preserve">   Danemark</v>
      </c>
      <c r="C5158">
        <v>2144989</v>
      </c>
      <c r="D5158">
        <v>115</v>
      </c>
    </row>
    <row r="5159" spans="1:4" x14ac:dyDescent="0.25">
      <c r="A5159" t="str">
        <f>T("   ES")</f>
        <v xml:space="preserve">   ES</v>
      </c>
      <c r="B5159" t="str">
        <f>T("   Espagne")</f>
        <v xml:space="preserve">   Espagne</v>
      </c>
      <c r="C5159">
        <v>62979</v>
      </c>
      <c r="D5159">
        <v>11</v>
      </c>
    </row>
    <row r="5160" spans="1:4" x14ac:dyDescent="0.25">
      <c r="A5160" t="str">
        <f>T("   FR")</f>
        <v xml:space="preserve">   FR</v>
      </c>
      <c r="B5160" t="str">
        <f>T("   France")</f>
        <v xml:space="preserve">   France</v>
      </c>
      <c r="C5160">
        <v>21761399</v>
      </c>
      <c r="D5160">
        <v>1082.3499999999999</v>
      </c>
    </row>
    <row r="5161" spans="1:4" x14ac:dyDescent="0.25">
      <c r="A5161" t="str">
        <f>T("   GB")</f>
        <v xml:space="preserve">   GB</v>
      </c>
      <c r="B5161" t="str">
        <f>T("   Royaume-Uni")</f>
        <v xml:space="preserve">   Royaume-Uni</v>
      </c>
      <c r="C5161">
        <v>833</v>
      </c>
      <c r="D5161">
        <v>0.4</v>
      </c>
    </row>
    <row r="5162" spans="1:4" x14ac:dyDescent="0.25">
      <c r="A5162" t="str">
        <f>T("   IT")</f>
        <v xml:space="preserve">   IT</v>
      </c>
      <c r="B5162" t="str">
        <f>T("   Italie")</f>
        <v xml:space="preserve">   Italie</v>
      </c>
      <c r="C5162">
        <v>287066</v>
      </c>
      <c r="D5162">
        <v>1</v>
      </c>
    </row>
    <row r="5163" spans="1:4" x14ac:dyDescent="0.25">
      <c r="A5163" t="str">
        <f>T("   LB")</f>
        <v xml:space="preserve">   LB</v>
      </c>
      <c r="B5163" t="str">
        <f>T("   Liban")</f>
        <v xml:space="preserve">   Liban</v>
      </c>
      <c r="C5163">
        <v>38702</v>
      </c>
      <c r="D5163">
        <v>2</v>
      </c>
    </row>
    <row r="5164" spans="1:4" x14ac:dyDescent="0.25">
      <c r="A5164" t="str">
        <f>T("   NL")</f>
        <v xml:space="preserve">   NL</v>
      </c>
      <c r="B5164" t="str">
        <f>T("   Pays-bas")</f>
        <v xml:space="preserve">   Pays-bas</v>
      </c>
      <c r="C5164">
        <v>15865862</v>
      </c>
      <c r="D5164">
        <v>431</v>
      </c>
    </row>
    <row r="5165" spans="1:4" x14ac:dyDescent="0.25">
      <c r="A5165" t="str">
        <f>T("   SE")</f>
        <v xml:space="preserve">   SE</v>
      </c>
      <c r="B5165" t="str">
        <f>T("   Suède")</f>
        <v xml:space="preserve">   Suède</v>
      </c>
      <c r="C5165">
        <v>6659286</v>
      </c>
      <c r="D5165">
        <v>694.37</v>
      </c>
    </row>
    <row r="5166" spans="1:4" x14ac:dyDescent="0.25">
      <c r="A5166" t="str">
        <f>T("   SY")</f>
        <v xml:space="preserve">   SY</v>
      </c>
      <c r="B5166" t="str">
        <f>T("   Syrienne, République arabe")</f>
        <v xml:space="preserve">   Syrienne, République arabe</v>
      </c>
      <c r="C5166">
        <v>236041</v>
      </c>
      <c r="D5166">
        <v>18</v>
      </c>
    </row>
    <row r="5167" spans="1:4" x14ac:dyDescent="0.25">
      <c r="A5167" t="str">
        <f>T("   US")</f>
        <v xml:space="preserve">   US</v>
      </c>
      <c r="B5167" t="str">
        <f>T("   Etats-Unis")</f>
        <v xml:space="preserve">   Etats-Unis</v>
      </c>
      <c r="C5167">
        <v>877019</v>
      </c>
      <c r="D5167">
        <v>44</v>
      </c>
    </row>
    <row r="5168" spans="1:4" x14ac:dyDescent="0.25">
      <c r="A5168" t="str">
        <f>T("401694")</f>
        <v>401694</v>
      </c>
      <c r="B5168" t="str">
        <f>T("Pare-chocs, même gonflables, pour l'accostage des bateaux, en caoutchouc vulcanisé non durci (à l'excl. des produits en caoutchouc alvéolaire)")</f>
        <v>Pare-chocs, même gonflables, pour l'accostage des bateaux, en caoutchouc vulcanisé non durci (à l'excl. des produits en caoutchouc alvéolaire)</v>
      </c>
    </row>
    <row r="5169" spans="1:4" x14ac:dyDescent="0.25">
      <c r="A5169" t="str">
        <f>T("   ZZZ_Monde")</f>
        <v xml:space="preserve">   ZZZ_Monde</v>
      </c>
      <c r="B5169" t="str">
        <f>T("   ZZZ_Monde")</f>
        <v xml:space="preserve">   ZZZ_Monde</v>
      </c>
      <c r="C5169">
        <v>160464464</v>
      </c>
      <c r="D5169">
        <v>58000</v>
      </c>
    </row>
    <row r="5170" spans="1:4" x14ac:dyDescent="0.25">
      <c r="A5170" t="str">
        <f>T("   FR")</f>
        <v xml:space="preserve">   FR</v>
      </c>
      <c r="B5170" t="str">
        <f>T("   France")</f>
        <v xml:space="preserve">   France</v>
      </c>
      <c r="C5170">
        <v>160464464</v>
      </c>
      <c r="D5170">
        <v>58000</v>
      </c>
    </row>
    <row r="5171" spans="1:4" x14ac:dyDescent="0.25">
      <c r="A5171" t="str">
        <f>T("401695")</f>
        <v>401695</v>
      </c>
      <c r="B5171" t="str">
        <f>T("Matelas pneumatiques, oreillers gonflables, coussins gonflables et autres articles gonflables, en caoutchouc vulcanisé non durci (à l'excl. des canots, radeaux et autres engins flottants, des pare-chocs pour l'accostage des bateaux ainsi que des articles")</f>
        <v>Matelas pneumatiques, oreillers gonflables, coussins gonflables et autres articles gonflables, en caoutchouc vulcanisé non durci (à l'excl. des canots, radeaux et autres engins flottants, des pare-chocs pour l'accostage des bateaux ainsi que des articles</v>
      </c>
    </row>
    <row r="5172" spans="1:4" x14ac:dyDescent="0.25">
      <c r="A5172" t="str">
        <f>T("   ZZZ_Monde")</f>
        <v xml:space="preserve">   ZZZ_Monde</v>
      </c>
      <c r="B5172" t="str">
        <f>T("   ZZZ_Monde")</f>
        <v xml:space="preserve">   ZZZ_Monde</v>
      </c>
      <c r="C5172">
        <v>200219</v>
      </c>
      <c r="D5172">
        <v>6</v>
      </c>
    </row>
    <row r="5173" spans="1:4" x14ac:dyDescent="0.25">
      <c r="A5173" t="str">
        <f>T("   FR")</f>
        <v xml:space="preserve">   FR</v>
      </c>
      <c r="B5173" t="str">
        <f>T("   France")</f>
        <v xml:space="preserve">   France</v>
      </c>
      <c r="C5173">
        <v>192688</v>
      </c>
      <c r="D5173">
        <v>3</v>
      </c>
    </row>
    <row r="5174" spans="1:4" x14ac:dyDescent="0.25">
      <c r="A5174" t="str">
        <f>T("   NL")</f>
        <v xml:space="preserve">   NL</v>
      </c>
      <c r="B5174" t="str">
        <f>T("   Pays-bas")</f>
        <v xml:space="preserve">   Pays-bas</v>
      </c>
      <c r="C5174">
        <v>7531</v>
      </c>
      <c r="D5174">
        <v>3</v>
      </c>
    </row>
    <row r="5175" spans="1:4" x14ac:dyDescent="0.25">
      <c r="A5175" t="str">
        <f>T("401699")</f>
        <v>401699</v>
      </c>
      <c r="B5175" t="str">
        <f>T("OUVRAGES EN CAOUTCHOUC VULCANISÉ NON-DURCI, N.D.A.")</f>
        <v>OUVRAGES EN CAOUTCHOUC VULCANISÉ NON-DURCI, N.D.A.</v>
      </c>
    </row>
    <row r="5176" spans="1:4" x14ac:dyDescent="0.25">
      <c r="A5176" t="str">
        <f>T("   ZZZ_Monde")</f>
        <v xml:space="preserve">   ZZZ_Monde</v>
      </c>
      <c r="B5176" t="str">
        <f>T("   ZZZ_Monde")</f>
        <v xml:space="preserve">   ZZZ_Monde</v>
      </c>
      <c r="C5176">
        <v>40764029</v>
      </c>
      <c r="D5176">
        <v>35658.5</v>
      </c>
    </row>
    <row r="5177" spans="1:4" x14ac:dyDescent="0.25">
      <c r="A5177" t="str">
        <f>T("   AE")</f>
        <v xml:space="preserve">   AE</v>
      </c>
      <c r="B5177" t="str">
        <f>T("   Emirats Arabes Unis")</f>
        <v xml:space="preserve">   Emirats Arabes Unis</v>
      </c>
      <c r="C5177">
        <v>92994</v>
      </c>
      <c r="D5177">
        <v>370</v>
      </c>
    </row>
    <row r="5178" spans="1:4" x14ac:dyDescent="0.25">
      <c r="A5178" t="str">
        <f>T("   AT")</f>
        <v xml:space="preserve">   AT</v>
      </c>
      <c r="B5178" t="str">
        <f>T("   Autriche")</f>
        <v xml:space="preserve">   Autriche</v>
      </c>
      <c r="C5178">
        <v>454882</v>
      </c>
      <c r="D5178">
        <v>10.1</v>
      </c>
    </row>
    <row r="5179" spans="1:4" x14ac:dyDescent="0.25">
      <c r="A5179" t="str">
        <f>T("   AU")</f>
        <v xml:space="preserve">   AU</v>
      </c>
      <c r="B5179" t="str">
        <f>T("   Australie")</f>
        <v xml:space="preserve">   Australie</v>
      </c>
      <c r="C5179">
        <v>653861</v>
      </c>
      <c r="D5179">
        <v>5</v>
      </c>
    </row>
    <row r="5180" spans="1:4" x14ac:dyDescent="0.25">
      <c r="A5180" t="str">
        <f>T("   BE")</f>
        <v xml:space="preserve">   BE</v>
      </c>
      <c r="B5180" t="str">
        <f>T("   Belgique")</f>
        <v xml:space="preserve">   Belgique</v>
      </c>
      <c r="C5180">
        <v>676105</v>
      </c>
      <c r="D5180">
        <v>91.4</v>
      </c>
    </row>
    <row r="5181" spans="1:4" x14ac:dyDescent="0.25">
      <c r="A5181" t="str">
        <f>T("   CA")</f>
        <v xml:space="preserve">   CA</v>
      </c>
      <c r="B5181" t="str">
        <f>T("   Canada")</f>
        <v xml:space="preserve">   Canada</v>
      </c>
      <c r="C5181">
        <v>1255417</v>
      </c>
      <c r="D5181">
        <v>637</v>
      </c>
    </row>
    <row r="5182" spans="1:4" x14ac:dyDescent="0.25">
      <c r="A5182" t="str">
        <f>T("   CN")</f>
        <v xml:space="preserve">   CN</v>
      </c>
      <c r="B5182" t="str">
        <f>T("   Chine")</f>
        <v xml:space="preserve">   Chine</v>
      </c>
      <c r="C5182">
        <v>6803445</v>
      </c>
      <c r="D5182">
        <v>13936</v>
      </c>
    </row>
    <row r="5183" spans="1:4" x14ac:dyDescent="0.25">
      <c r="A5183" t="str">
        <f>T("   DE")</f>
        <v xml:space="preserve">   DE</v>
      </c>
      <c r="B5183" t="str">
        <f>T("   Allemagne")</f>
        <v xml:space="preserve">   Allemagne</v>
      </c>
      <c r="C5183">
        <v>2971571</v>
      </c>
      <c r="D5183">
        <v>65</v>
      </c>
    </row>
    <row r="5184" spans="1:4" x14ac:dyDescent="0.25">
      <c r="A5184" t="str">
        <f>T("   DK")</f>
        <v xml:space="preserve">   DK</v>
      </c>
      <c r="B5184" t="str">
        <f>T("   Danemark")</f>
        <v xml:space="preserve">   Danemark</v>
      </c>
      <c r="C5184">
        <v>154807</v>
      </c>
      <c r="D5184">
        <v>15</v>
      </c>
    </row>
    <row r="5185" spans="1:4" x14ac:dyDescent="0.25">
      <c r="A5185" t="str">
        <f>T("   ES")</f>
        <v xml:space="preserve">   ES</v>
      </c>
      <c r="B5185" t="str">
        <f>T("   Espagne")</f>
        <v xml:space="preserve">   Espagne</v>
      </c>
      <c r="C5185">
        <v>607420</v>
      </c>
      <c r="D5185">
        <v>180</v>
      </c>
    </row>
    <row r="5186" spans="1:4" x14ac:dyDescent="0.25">
      <c r="A5186" t="str">
        <f>T("   FR")</f>
        <v xml:space="preserve">   FR</v>
      </c>
      <c r="B5186" t="str">
        <f>T("   France")</f>
        <v xml:space="preserve">   France</v>
      </c>
      <c r="C5186">
        <v>9431496</v>
      </c>
      <c r="D5186">
        <v>14519</v>
      </c>
    </row>
    <row r="5187" spans="1:4" x14ac:dyDescent="0.25">
      <c r="A5187" t="str">
        <f>T("   GH")</f>
        <v xml:space="preserve">   GH</v>
      </c>
      <c r="B5187" t="str">
        <f>T("   Ghana")</f>
        <v xml:space="preserve">   Ghana</v>
      </c>
      <c r="C5187">
        <v>2073909</v>
      </c>
      <c r="D5187">
        <v>959</v>
      </c>
    </row>
    <row r="5188" spans="1:4" x14ac:dyDescent="0.25">
      <c r="A5188" t="str">
        <f>T("   IT")</f>
        <v xml:space="preserve">   IT</v>
      </c>
      <c r="B5188" t="str">
        <f>T("   Italie")</f>
        <v xml:space="preserve">   Italie</v>
      </c>
      <c r="C5188">
        <v>407351</v>
      </c>
      <c r="D5188">
        <v>200</v>
      </c>
    </row>
    <row r="5189" spans="1:4" x14ac:dyDescent="0.25">
      <c r="A5189" t="str">
        <f>T("   LB")</f>
        <v xml:space="preserve">   LB</v>
      </c>
      <c r="B5189" t="str">
        <f>T("   Liban")</f>
        <v xml:space="preserve">   Liban</v>
      </c>
      <c r="C5189">
        <v>1210063</v>
      </c>
      <c r="D5189">
        <v>3578</v>
      </c>
    </row>
    <row r="5190" spans="1:4" x14ac:dyDescent="0.25">
      <c r="A5190" t="str">
        <f>T("   NL")</f>
        <v xml:space="preserve">   NL</v>
      </c>
      <c r="B5190" t="str">
        <f>T("   Pays-bas")</f>
        <v xml:space="preserve">   Pays-bas</v>
      </c>
      <c r="C5190">
        <v>43484</v>
      </c>
      <c r="D5190">
        <v>26</v>
      </c>
    </row>
    <row r="5191" spans="1:4" x14ac:dyDescent="0.25">
      <c r="A5191" t="str">
        <f>T("   NO")</f>
        <v xml:space="preserve">   NO</v>
      </c>
      <c r="B5191" t="str">
        <f>T("   Norvège")</f>
        <v xml:space="preserve">   Norvège</v>
      </c>
      <c r="C5191">
        <v>12307102</v>
      </c>
      <c r="D5191">
        <v>623</v>
      </c>
    </row>
    <row r="5192" spans="1:4" x14ac:dyDescent="0.25">
      <c r="A5192" t="str">
        <f>T("   TR")</f>
        <v xml:space="preserve">   TR</v>
      </c>
      <c r="B5192" t="str">
        <f>T("   Turquie")</f>
        <v xml:space="preserve">   Turquie</v>
      </c>
      <c r="C5192">
        <v>1196458</v>
      </c>
      <c r="D5192">
        <v>420</v>
      </c>
    </row>
    <row r="5193" spans="1:4" x14ac:dyDescent="0.25">
      <c r="A5193" t="str">
        <f>T("   US")</f>
        <v xml:space="preserve">   US</v>
      </c>
      <c r="B5193" t="str">
        <f>T("   Etats-Unis")</f>
        <v xml:space="preserve">   Etats-Unis</v>
      </c>
      <c r="C5193">
        <v>423664</v>
      </c>
      <c r="D5193">
        <v>24</v>
      </c>
    </row>
    <row r="5194" spans="1:4" x14ac:dyDescent="0.25">
      <c r="A5194" t="str">
        <f>T("410210")</f>
        <v>410210</v>
      </c>
      <c r="B5194" t="str">
        <f>T("Peaux brutes, lainées, d'ovins, fraîches, ou salées, séchées, chaulées, picklées ou autrement conservées (à l'excl. des peaux d'agneaux dits 'astrakan', 'breitschwanz', 'caracul', 'persianer' ou simil. ainsi que d'agneaux des Indes, de Chine, de Mongolie")</f>
        <v>Peaux brutes, lainées, d'ovins, fraîches, ou salées, séchées, chaulées, picklées ou autrement conservées (à l'excl. des peaux d'agneaux dits 'astrakan', 'breitschwanz', 'caracul', 'persianer' ou simil. ainsi que d'agneaux des Indes, de Chine, de Mongolie</v>
      </c>
    </row>
    <row r="5195" spans="1:4" x14ac:dyDescent="0.25">
      <c r="A5195" t="str">
        <f>T("   ZZZ_Monde")</f>
        <v xml:space="preserve">   ZZZ_Monde</v>
      </c>
      <c r="B5195" t="str">
        <f>T("   ZZZ_Monde")</f>
        <v xml:space="preserve">   ZZZ_Monde</v>
      </c>
      <c r="C5195">
        <v>25067</v>
      </c>
      <c r="D5195">
        <v>1200</v>
      </c>
    </row>
    <row r="5196" spans="1:4" x14ac:dyDescent="0.25">
      <c r="A5196" t="str">
        <f>T("   TG")</f>
        <v xml:space="preserve">   TG</v>
      </c>
      <c r="B5196" t="str">
        <f>T("   Togo")</f>
        <v xml:space="preserve">   Togo</v>
      </c>
      <c r="C5196">
        <v>25067</v>
      </c>
      <c r="D5196">
        <v>1200</v>
      </c>
    </row>
    <row r="5197" spans="1:4" x14ac:dyDescent="0.25">
      <c r="A5197" t="str">
        <f>T("410799")</f>
        <v>410799</v>
      </c>
      <c r="B5197" t="str">
        <f>T("CUIRS ET PEAUX [Y.C. CUIRS ET PEAUX PARCHEMINÉS] DE PARTIES ET AUTRES PIÈCES DE CUIRS ET PEAUX DE BOVINS [Y. C. LES BUFFLES] OU D'ÉQUIDÉS, PRÉPARÉS APRÈS TANNAGE OU APRÈS DESSÈCHEMENT, ÉPILÉS (À L'EXCL. DES CUIRS ET PEAUX PLEINE FLEUR NON-REFENDUE, DES CU")</f>
        <v>CUIRS ET PEAUX [Y.C. CUIRS ET PEAUX PARCHEMINÉS] DE PARTIES ET AUTRES PIÈCES DE CUIRS ET PEAUX DE BOVINS [Y. C. LES BUFFLES] OU D'ÉQUIDÉS, PRÉPARÉS APRÈS TANNAGE OU APRÈS DESSÈCHEMENT, ÉPILÉS (À L'EXCL. DES CUIRS ET PEAUX PLEINE FLEUR NON-REFENDUE, DES CU</v>
      </c>
    </row>
    <row r="5198" spans="1:4" x14ac:dyDescent="0.25">
      <c r="A5198" t="str">
        <f>T("   ZZZ_Monde")</f>
        <v xml:space="preserve">   ZZZ_Monde</v>
      </c>
      <c r="B5198" t="str">
        <f>T("   ZZZ_Monde")</f>
        <v xml:space="preserve">   ZZZ_Monde</v>
      </c>
      <c r="C5198">
        <v>216467</v>
      </c>
      <c r="D5198">
        <v>807</v>
      </c>
    </row>
    <row r="5199" spans="1:4" x14ac:dyDescent="0.25">
      <c r="A5199" t="str">
        <f>T("   FR")</f>
        <v xml:space="preserve">   FR</v>
      </c>
      <c r="B5199" t="str">
        <f>T("   France")</f>
        <v xml:space="preserve">   France</v>
      </c>
      <c r="C5199">
        <v>216467</v>
      </c>
      <c r="D5199">
        <v>807</v>
      </c>
    </row>
    <row r="5200" spans="1:4" x14ac:dyDescent="0.25">
      <c r="A5200" t="str">
        <f>T("420100")</f>
        <v>420100</v>
      </c>
      <c r="B5200" t="str">
        <f>T("Articles de sellerie ou de bourrellerie pour tous animaux, y.c. les traits, laisses, genouillères, muselières, tapis de selles, fontes, manteaux pour chiens et articles simil., en toutes matières (à l'excl. des harnais pour enfants ou adultes ainsi que de")</f>
        <v>Articles de sellerie ou de bourrellerie pour tous animaux, y.c. les traits, laisses, genouillères, muselières, tapis de selles, fontes, manteaux pour chiens et articles simil., en toutes matières (à l'excl. des harnais pour enfants ou adultes ainsi que de</v>
      </c>
    </row>
    <row r="5201" spans="1:4" x14ac:dyDescent="0.25">
      <c r="A5201" t="str">
        <f>T("   ZZZ_Monde")</f>
        <v xml:space="preserve">   ZZZ_Monde</v>
      </c>
      <c r="B5201" t="str">
        <f>T("   ZZZ_Monde")</f>
        <v xml:space="preserve">   ZZZ_Monde</v>
      </c>
      <c r="C5201">
        <v>4566138</v>
      </c>
      <c r="D5201">
        <v>470</v>
      </c>
    </row>
    <row r="5202" spans="1:4" x14ac:dyDescent="0.25">
      <c r="A5202" t="str">
        <f>T("   BE")</f>
        <v xml:space="preserve">   BE</v>
      </c>
      <c r="B5202" t="str">
        <f>T("   Belgique")</f>
        <v xml:space="preserve">   Belgique</v>
      </c>
      <c r="C5202">
        <v>1121692</v>
      </c>
      <c r="D5202">
        <v>120</v>
      </c>
    </row>
    <row r="5203" spans="1:4" x14ac:dyDescent="0.25">
      <c r="A5203" t="str">
        <f>T("   FR")</f>
        <v xml:space="preserve">   FR</v>
      </c>
      <c r="B5203" t="str">
        <f>T("   France")</f>
        <v xml:space="preserve">   France</v>
      </c>
      <c r="C5203">
        <v>3444446</v>
      </c>
      <c r="D5203">
        <v>350</v>
      </c>
    </row>
    <row r="5204" spans="1:4" x14ac:dyDescent="0.25">
      <c r="A5204" t="str">
        <f>T("420211")</f>
        <v>420211</v>
      </c>
      <c r="B5204" t="str">
        <f>T("Malles, valises et mallettes, y.c. les mallettes de toilette et les mallettes porte-documents, serviettes, cartables et contenants simil., à surface extérieure en cuir naturel, en cuir reconstitué ou en cuir verni")</f>
        <v>Malles, valises et mallettes, y.c. les mallettes de toilette et les mallettes porte-documents, serviettes, cartables et contenants simil., à surface extérieure en cuir naturel, en cuir reconstitué ou en cuir verni</v>
      </c>
    </row>
    <row r="5205" spans="1:4" x14ac:dyDescent="0.25">
      <c r="A5205" t="str">
        <f>T("   ZZZ_Monde")</f>
        <v xml:space="preserve">   ZZZ_Monde</v>
      </c>
      <c r="B5205" t="str">
        <f>T("   ZZZ_Monde")</f>
        <v xml:space="preserve">   ZZZ_Monde</v>
      </c>
      <c r="C5205">
        <v>13225290</v>
      </c>
      <c r="D5205">
        <v>11651</v>
      </c>
    </row>
    <row r="5206" spans="1:4" x14ac:dyDescent="0.25">
      <c r="A5206" t="str">
        <f>T("   CN")</f>
        <v xml:space="preserve">   CN</v>
      </c>
      <c r="B5206" t="str">
        <f>T("   Chine")</f>
        <v xml:space="preserve">   Chine</v>
      </c>
      <c r="C5206">
        <v>11641770</v>
      </c>
      <c r="D5206">
        <v>10201</v>
      </c>
    </row>
    <row r="5207" spans="1:4" x14ac:dyDescent="0.25">
      <c r="A5207" t="str">
        <f>T("   FR")</f>
        <v xml:space="preserve">   FR</v>
      </c>
      <c r="B5207" t="str">
        <f>T("   France")</f>
        <v xml:space="preserve">   France</v>
      </c>
      <c r="C5207">
        <v>1131308</v>
      </c>
      <c r="D5207">
        <v>165</v>
      </c>
    </row>
    <row r="5208" spans="1:4" x14ac:dyDescent="0.25">
      <c r="A5208" t="str">
        <f>T("   TG")</f>
        <v xml:space="preserve">   TG</v>
      </c>
      <c r="B5208" t="str">
        <f>T("   Togo")</f>
        <v xml:space="preserve">   Togo</v>
      </c>
      <c r="C5208">
        <v>452212</v>
      </c>
      <c r="D5208">
        <v>1285</v>
      </c>
    </row>
    <row r="5209" spans="1:4" x14ac:dyDescent="0.25">
      <c r="A5209" t="str">
        <f>T("420212")</f>
        <v>420212</v>
      </c>
      <c r="B5209" t="str">
        <f>T("Malles, valises et mallettes, y.c. les mallettes de toilette et les mallettes porte-documents, serviettes, cartables et contenants simil., à surface extérieure en matières plastiques ou en matières textiles")</f>
        <v>Malles, valises et mallettes, y.c. les mallettes de toilette et les mallettes porte-documents, serviettes, cartables et contenants simil., à surface extérieure en matières plastiques ou en matières textiles</v>
      </c>
    </row>
    <row r="5210" spans="1:4" x14ac:dyDescent="0.25">
      <c r="A5210" t="str">
        <f>T("   ZZZ_Monde")</f>
        <v xml:space="preserve">   ZZZ_Monde</v>
      </c>
      <c r="B5210" t="str">
        <f>T("   ZZZ_Monde")</f>
        <v xml:space="preserve">   ZZZ_Monde</v>
      </c>
      <c r="C5210">
        <v>216967482</v>
      </c>
      <c r="D5210">
        <v>369383</v>
      </c>
    </row>
    <row r="5211" spans="1:4" x14ac:dyDescent="0.25">
      <c r="A5211" t="str">
        <f>T("   CI")</f>
        <v xml:space="preserve">   CI</v>
      </c>
      <c r="B5211" t="str">
        <f>T("   Côte d'Ivoire")</f>
        <v xml:space="preserve">   Côte d'Ivoire</v>
      </c>
      <c r="C5211">
        <v>285500</v>
      </c>
      <c r="D5211">
        <v>300</v>
      </c>
    </row>
    <row r="5212" spans="1:4" x14ac:dyDescent="0.25">
      <c r="A5212" t="str">
        <f>T("   CN")</f>
        <v xml:space="preserve">   CN</v>
      </c>
      <c r="B5212" t="str">
        <f>T("   Chine")</f>
        <v xml:space="preserve">   Chine</v>
      </c>
      <c r="C5212">
        <v>192666851</v>
      </c>
      <c r="D5212">
        <v>309613</v>
      </c>
    </row>
    <row r="5213" spans="1:4" x14ac:dyDescent="0.25">
      <c r="A5213" t="str">
        <f>T("   GB")</f>
        <v xml:space="preserve">   GB</v>
      </c>
      <c r="B5213" t="str">
        <f>T("   Royaume-Uni")</f>
        <v xml:space="preserve">   Royaume-Uni</v>
      </c>
      <c r="C5213">
        <v>239676</v>
      </c>
      <c r="D5213">
        <v>200</v>
      </c>
    </row>
    <row r="5214" spans="1:4" x14ac:dyDescent="0.25">
      <c r="A5214" t="str">
        <f>T("   HK")</f>
        <v xml:space="preserve">   HK</v>
      </c>
      <c r="B5214" t="str">
        <f>T("   Hong-Kong")</f>
        <v xml:space="preserve">   Hong-Kong</v>
      </c>
      <c r="C5214">
        <v>7202908</v>
      </c>
      <c r="D5214">
        <v>2485</v>
      </c>
    </row>
    <row r="5215" spans="1:4" x14ac:dyDescent="0.25">
      <c r="A5215" t="str">
        <f>T("   IN")</f>
        <v xml:space="preserve">   IN</v>
      </c>
      <c r="B5215" t="str">
        <f>T("   Inde")</f>
        <v xml:space="preserve">   Inde</v>
      </c>
      <c r="C5215">
        <v>482235</v>
      </c>
      <c r="D5215">
        <v>1800</v>
      </c>
    </row>
    <row r="5216" spans="1:4" x14ac:dyDescent="0.25">
      <c r="A5216" t="str">
        <f>T("   JP")</f>
        <v xml:space="preserve">   JP</v>
      </c>
      <c r="B5216" t="str">
        <f>T("   Japon")</f>
        <v xml:space="preserve">   Japon</v>
      </c>
      <c r="C5216">
        <v>7641934</v>
      </c>
      <c r="D5216">
        <v>14000</v>
      </c>
    </row>
    <row r="5217" spans="1:4" x14ac:dyDescent="0.25">
      <c r="A5217" t="str">
        <f>T("   TG")</f>
        <v xml:space="preserve">   TG</v>
      </c>
      <c r="B5217" t="str">
        <f>T("   Togo")</f>
        <v xml:space="preserve">   Togo</v>
      </c>
      <c r="C5217">
        <v>1223378</v>
      </c>
      <c r="D5217">
        <v>5015</v>
      </c>
    </row>
    <row r="5218" spans="1:4" x14ac:dyDescent="0.25">
      <c r="A5218" t="str">
        <f>T("   Z2")</f>
        <v xml:space="preserve">   Z2</v>
      </c>
      <c r="B5218" t="str">
        <f>T("   Pays non défini")</f>
        <v xml:space="preserve">   Pays non défini</v>
      </c>
      <c r="C5218">
        <v>7225000</v>
      </c>
      <c r="D5218">
        <v>35970</v>
      </c>
    </row>
    <row r="5219" spans="1:4" x14ac:dyDescent="0.25">
      <c r="A5219" t="str">
        <f>T("420219")</f>
        <v>420219</v>
      </c>
      <c r="B5219" t="str">
        <f>T("Malles, valises et mallettes, y.c. les mallettes de toilette et mallettes porte-documents, serviettes, cartables et contenants simil. (à l'excl. des articles à surface extérieure en cuir naturel, reconstitué ou verni, en matières plastiques ou en matières")</f>
        <v>Malles, valises et mallettes, y.c. les mallettes de toilette et mallettes porte-documents, serviettes, cartables et contenants simil. (à l'excl. des articles à surface extérieure en cuir naturel, reconstitué ou verni, en matières plastiques ou en matières</v>
      </c>
    </row>
    <row r="5220" spans="1:4" x14ac:dyDescent="0.25">
      <c r="A5220" t="str">
        <f>T("   ZZZ_Monde")</f>
        <v xml:space="preserve">   ZZZ_Monde</v>
      </c>
      <c r="B5220" t="str">
        <f>T("   ZZZ_Monde")</f>
        <v xml:space="preserve">   ZZZ_Monde</v>
      </c>
      <c r="C5220">
        <v>88687454</v>
      </c>
      <c r="D5220">
        <v>179007.5</v>
      </c>
    </row>
    <row r="5221" spans="1:4" x14ac:dyDescent="0.25">
      <c r="A5221" t="str">
        <f>T("   AE")</f>
        <v xml:space="preserve">   AE</v>
      </c>
      <c r="B5221" t="str">
        <f>T("   Emirats Arabes Unis")</f>
        <v xml:space="preserve">   Emirats Arabes Unis</v>
      </c>
      <c r="C5221">
        <v>986502</v>
      </c>
      <c r="D5221">
        <v>5100</v>
      </c>
    </row>
    <row r="5222" spans="1:4" x14ac:dyDescent="0.25">
      <c r="A5222" t="str">
        <f>T("   BE")</f>
        <v xml:space="preserve">   BE</v>
      </c>
      <c r="B5222" t="str">
        <f>T("   Belgique")</f>
        <v xml:space="preserve">   Belgique</v>
      </c>
      <c r="C5222">
        <v>537545</v>
      </c>
      <c r="D5222">
        <v>813</v>
      </c>
    </row>
    <row r="5223" spans="1:4" x14ac:dyDescent="0.25">
      <c r="A5223" t="str">
        <f>T("   CI")</f>
        <v xml:space="preserve">   CI</v>
      </c>
      <c r="B5223" t="str">
        <f>T("   Côte d'Ivoire")</f>
        <v xml:space="preserve">   Côte d'Ivoire</v>
      </c>
      <c r="C5223">
        <v>24926</v>
      </c>
      <c r="D5223">
        <v>40</v>
      </c>
    </row>
    <row r="5224" spans="1:4" x14ac:dyDescent="0.25">
      <c r="A5224" t="str">
        <f>T("   CN")</f>
        <v xml:space="preserve">   CN</v>
      </c>
      <c r="B5224" t="str">
        <f>T("   Chine")</f>
        <v xml:space="preserve">   Chine</v>
      </c>
      <c r="C5224">
        <v>74208613</v>
      </c>
      <c r="D5224">
        <v>146741.5</v>
      </c>
    </row>
    <row r="5225" spans="1:4" x14ac:dyDescent="0.25">
      <c r="A5225" t="str">
        <f>T("   FI")</f>
        <v xml:space="preserve">   FI</v>
      </c>
      <c r="B5225" t="str">
        <f>T("   Finlande")</f>
        <v xml:space="preserve">   Finlande</v>
      </c>
      <c r="C5225">
        <v>1085614</v>
      </c>
      <c r="D5225">
        <v>90</v>
      </c>
    </row>
    <row r="5226" spans="1:4" x14ac:dyDescent="0.25">
      <c r="A5226" t="str">
        <f>T("   FR")</f>
        <v xml:space="preserve">   FR</v>
      </c>
      <c r="B5226" t="str">
        <f>T("   France")</f>
        <v xml:space="preserve">   France</v>
      </c>
      <c r="C5226">
        <v>519380</v>
      </c>
      <c r="D5226">
        <v>208</v>
      </c>
    </row>
    <row r="5227" spans="1:4" x14ac:dyDescent="0.25">
      <c r="A5227" t="str">
        <f>T("   GB")</f>
        <v xml:space="preserve">   GB</v>
      </c>
      <c r="B5227" t="str">
        <f>T("   Royaume-Uni")</f>
        <v xml:space="preserve">   Royaume-Uni</v>
      </c>
      <c r="C5227">
        <v>5244266</v>
      </c>
      <c r="D5227">
        <v>5600</v>
      </c>
    </row>
    <row r="5228" spans="1:4" x14ac:dyDescent="0.25">
      <c r="A5228" t="str">
        <f>T("   GH")</f>
        <v xml:space="preserve">   GH</v>
      </c>
      <c r="B5228" t="str">
        <f>T("   Ghana")</f>
        <v xml:space="preserve">   Ghana</v>
      </c>
      <c r="C5228">
        <v>2268458</v>
      </c>
      <c r="D5228">
        <v>5750</v>
      </c>
    </row>
    <row r="5229" spans="1:4" x14ac:dyDescent="0.25">
      <c r="A5229" t="str">
        <f>T("   KW")</f>
        <v xml:space="preserve">   KW</v>
      </c>
      <c r="B5229" t="str">
        <f>T("   Koweit")</f>
        <v xml:space="preserve">   Koweit</v>
      </c>
      <c r="C5229">
        <v>335545</v>
      </c>
      <c r="D5229">
        <v>2500</v>
      </c>
    </row>
    <row r="5230" spans="1:4" x14ac:dyDescent="0.25">
      <c r="A5230" t="str">
        <f>T("   SN")</f>
        <v xml:space="preserve">   SN</v>
      </c>
      <c r="B5230" t="str">
        <f>T("   Sénégal")</f>
        <v xml:space="preserve">   Sénégal</v>
      </c>
      <c r="C5230">
        <v>100000</v>
      </c>
      <c r="D5230">
        <v>150</v>
      </c>
    </row>
    <row r="5231" spans="1:4" x14ac:dyDescent="0.25">
      <c r="A5231" t="str">
        <f>T("   TG")</f>
        <v xml:space="preserve">   TG</v>
      </c>
      <c r="B5231" t="str">
        <f>T("   Togo")</f>
        <v xml:space="preserve">   Togo</v>
      </c>
      <c r="C5231">
        <v>1293337</v>
      </c>
      <c r="D5231">
        <v>5415</v>
      </c>
    </row>
    <row r="5232" spans="1:4" x14ac:dyDescent="0.25">
      <c r="A5232" t="str">
        <f>T("   US")</f>
        <v xml:space="preserve">   US</v>
      </c>
      <c r="B5232" t="str">
        <f>T("   Etats-Unis")</f>
        <v xml:space="preserve">   Etats-Unis</v>
      </c>
      <c r="C5232">
        <v>2083268</v>
      </c>
      <c r="D5232">
        <v>6600</v>
      </c>
    </row>
    <row r="5233" spans="1:4" x14ac:dyDescent="0.25">
      <c r="A5233" t="str">
        <f>T("420221")</f>
        <v>420221</v>
      </c>
      <c r="B5233" t="str">
        <f>T("Sacs à main, même à bandoulière, y.c. ceux sans poignée, à surface extérieure en cuir naturel, en cuir reconstitué ou en cuir verni")</f>
        <v>Sacs à main, même à bandoulière, y.c. ceux sans poignée, à surface extérieure en cuir naturel, en cuir reconstitué ou en cuir verni</v>
      </c>
    </row>
    <row r="5234" spans="1:4" x14ac:dyDescent="0.25">
      <c r="A5234" t="str">
        <f>T("   ZZZ_Monde")</f>
        <v xml:space="preserve">   ZZZ_Monde</v>
      </c>
      <c r="B5234" t="str">
        <f>T("   ZZZ_Monde")</f>
        <v xml:space="preserve">   ZZZ_Monde</v>
      </c>
      <c r="C5234">
        <v>2112143</v>
      </c>
      <c r="D5234">
        <v>382</v>
      </c>
    </row>
    <row r="5235" spans="1:4" x14ac:dyDescent="0.25">
      <c r="A5235" t="str">
        <f>T("   FR")</f>
        <v xml:space="preserve">   FR</v>
      </c>
      <c r="B5235" t="str">
        <f>T("   France")</f>
        <v xml:space="preserve">   France</v>
      </c>
      <c r="C5235">
        <v>697820</v>
      </c>
      <c r="D5235">
        <v>146</v>
      </c>
    </row>
    <row r="5236" spans="1:4" x14ac:dyDescent="0.25">
      <c r="A5236" t="str">
        <f>T("   NL")</f>
        <v xml:space="preserve">   NL</v>
      </c>
      <c r="B5236" t="str">
        <f>T("   Pays-bas")</f>
        <v xml:space="preserve">   Pays-bas</v>
      </c>
      <c r="C5236">
        <v>1064787</v>
      </c>
      <c r="D5236">
        <v>6</v>
      </c>
    </row>
    <row r="5237" spans="1:4" x14ac:dyDescent="0.25">
      <c r="A5237" t="str">
        <f>T("   TG")</f>
        <v xml:space="preserve">   TG</v>
      </c>
      <c r="B5237" t="str">
        <f>T("   Togo")</f>
        <v xml:space="preserve">   Togo</v>
      </c>
      <c r="C5237">
        <v>349536</v>
      </c>
      <c r="D5237">
        <v>230</v>
      </c>
    </row>
    <row r="5238" spans="1:4" x14ac:dyDescent="0.25">
      <c r="A5238" t="str">
        <f>T("420222")</f>
        <v>420222</v>
      </c>
      <c r="B5238" t="str">
        <f>T("Sacs à main, même à bandoulière, y.c. ceux sans poignée, à surface extérieure en feuilles de matières plastiques ou en matières textiles")</f>
        <v>Sacs à main, même à bandoulière, y.c. ceux sans poignée, à surface extérieure en feuilles de matières plastiques ou en matières textiles</v>
      </c>
    </row>
    <row r="5239" spans="1:4" x14ac:dyDescent="0.25">
      <c r="A5239" t="str">
        <f>T("   ZZZ_Monde")</f>
        <v xml:space="preserve">   ZZZ_Monde</v>
      </c>
      <c r="B5239" t="str">
        <f>T("   ZZZ_Monde")</f>
        <v xml:space="preserve">   ZZZ_Monde</v>
      </c>
      <c r="C5239">
        <v>260216172</v>
      </c>
      <c r="D5239">
        <v>511138</v>
      </c>
    </row>
    <row r="5240" spans="1:4" x14ac:dyDescent="0.25">
      <c r="A5240" t="str">
        <f>T("   AU")</f>
        <v xml:space="preserve">   AU</v>
      </c>
      <c r="B5240" t="str">
        <f>T("   Australie")</f>
        <v xml:space="preserve">   Australie</v>
      </c>
      <c r="C5240">
        <v>3659358</v>
      </c>
      <c r="D5240">
        <v>6050</v>
      </c>
    </row>
    <row r="5241" spans="1:4" x14ac:dyDescent="0.25">
      <c r="A5241" t="str">
        <f>T("   CN")</f>
        <v xml:space="preserve">   CN</v>
      </c>
      <c r="B5241" t="str">
        <f>T("   Chine")</f>
        <v xml:space="preserve">   Chine</v>
      </c>
      <c r="C5241">
        <v>222398136</v>
      </c>
      <c r="D5241">
        <v>433366</v>
      </c>
    </row>
    <row r="5242" spans="1:4" x14ac:dyDescent="0.25">
      <c r="A5242" t="str">
        <f>T("   NL")</f>
        <v xml:space="preserve">   NL</v>
      </c>
      <c r="B5242" t="str">
        <f>T("   Pays-bas")</f>
        <v xml:space="preserve">   Pays-bas</v>
      </c>
      <c r="C5242">
        <v>3046456</v>
      </c>
      <c r="D5242">
        <v>15</v>
      </c>
    </row>
    <row r="5243" spans="1:4" x14ac:dyDescent="0.25">
      <c r="A5243" t="str">
        <f>T("   TG")</f>
        <v xml:space="preserve">   TG</v>
      </c>
      <c r="B5243" t="str">
        <f>T("   Togo")</f>
        <v xml:space="preserve">   Togo</v>
      </c>
      <c r="C5243">
        <v>22996774</v>
      </c>
      <c r="D5243">
        <v>70207</v>
      </c>
    </row>
    <row r="5244" spans="1:4" x14ac:dyDescent="0.25">
      <c r="A5244" t="str">
        <f>T("   US")</f>
        <v xml:space="preserve">   US</v>
      </c>
      <c r="B5244" t="str">
        <f>T("   Etats-Unis")</f>
        <v xml:space="preserve">   Etats-Unis</v>
      </c>
      <c r="C5244">
        <v>8115448</v>
      </c>
      <c r="D5244">
        <v>1500</v>
      </c>
    </row>
    <row r="5245" spans="1:4" x14ac:dyDescent="0.25">
      <c r="A5245" t="str">
        <f>T("420229")</f>
        <v>420229</v>
      </c>
      <c r="B5245" t="str">
        <f>T("Sacs à main, même à bandoulière, y.c. ceux sans poignée, à surface extérieure en fibre vulcanisée ou en carton, ou recouverts, en totalité ou en majeure partie, de ces mêmes matières ou de papier")</f>
        <v>Sacs à main, même à bandoulière, y.c. ceux sans poignée, à surface extérieure en fibre vulcanisée ou en carton, ou recouverts, en totalité ou en majeure partie, de ces mêmes matières ou de papier</v>
      </c>
    </row>
    <row r="5246" spans="1:4" x14ac:dyDescent="0.25">
      <c r="A5246" t="str">
        <f>T("   ZZZ_Monde")</f>
        <v xml:space="preserve">   ZZZ_Monde</v>
      </c>
      <c r="B5246" t="str">
        <f>T("   ZZZ_Monde")</f>
        <v xml:space="preserve">   ZZZ_Monde</v>
      </c>
      <c r="C5246">
        <v>1432546812</v>
      </c>
      <c r="D5246">
        <v>3340118</v>
      </c>
    </row>
    <row r="5247" spans="1:4" x14ac:dyDescent="0.25">
      <c r="A5247" t="str">
        <f>T("   AE")</f>
        <v xml:space="preserve">   AE</v>
      </c>
      <c r="B5247" t="str">
        <f>T("   Emirats Arabes Unis")</f>
        <v xml:space="preserve">   Emirats Arabes Unis</v>
      </c>
      <c r="C5247">
        <v>1536849</v>
      </c>
      <c r="D5247">
        <v>1201</v>
      </c>
    </row>
    <row r="5248" spans="1:4" x14ac:dyDescent="0.25">
      <c r="A5248" t="str">
        <f>T("   AU")</f>
        <v xml:space="preserve">   AU</v>
      </c>
      <c r="B5248" t="str">
        <f>T("   Australie")</f>
        <v xml:space="preserve">   Australie</v>
      </c>
      <c r="C5248">
        <v>1155145</v>
      </c>
      <c r="D5248">
        <v>1650</v>
      </c>
    </row>
    <row r="5249" spans="1:4" x14ac:dyDescent="0.25">
      <c r="A5249" t="str">
        <f>T("   BE")</f>
        <v xml:space="preserve">   BE</v>
      </c>
      <c r="B5249" t="str">
        <f>T("   Belgique")</f>
        <v xml:space="preserve">   Belgique</v>
      </c>
      <c r="C5249">
        <v>42182630</v>
      </c>
      <c r="D5249">
        <v>84000</v>
      </c>
    </row>
    <row r="5250" spans="1:4" x14ac:dyDescent="0.25">
      <c r="A5250" t="str">
        <f>T("   CA")</f>
        <v xml:space="preserve">   CA</v>
      </c>
      <c r="B5250" t="str">
        <f>T("   Canada")</f>
        <v xml:space="preserve">   Canada</v>
      </c>
      <c r="C5250">
        <v>8407594</v>
      </c>
      <c r="D5250">
        <v>14964</v>
      </c>
    </row>
    <row r="5251" spans="1:4" x14ac:dyDescent="0.25">
      <c r="A5251" t="str">
        <f>T("   CH")</f>
        <v xml:space="preserve">   CH</v>
      </c>
      <c r="B5251" t="str">
        <f>T("   Suisse")</f>
        <v xml:space="preserve">   Suisse</v>
      </c>
      <c r="C5251">
        <v>46573</v>
      </c>
      <c r="D5251">
        <v>1</v>
      </c>
    </row>
    <row r="5252" spans="1:4" x14ac:dyDescent="0.25">
      <c r="A5252" t="str">
        <f>T("   CN")</f>
        <v xml:space="preserve">   CN</v>
      </c>
      <c r="B5252" t="str">
        <f>T("   Chine")</f>
        <v xml:space="preserve">   Chine</v>
      </c>
      <c r="C5252">
        <v>1214213906</v>
      </c>
      <c r="D5252">
        <v>2788155</v>
      </c>
    </row>
    <row r="5253" spans="1:4" x14ac:dyDescent="0.25">
      <c r="A5253" t="str">
        <f>T("   DE")</f>
        <v xml:space="preserve">   DE</v>
      </c>
      <c r="B5253" t="str">
        <f>T("   Allemagne")</f>
        <v xml:space="preserve">   Allemagne</v>
      </c>
      <c r="C5253">
        <v>77403</v>
      </c>
      <c r="D5253">
        <v>265</v>
      </c>
    </row>
    <row r="5254" spans="1:4" x14ac:dyDescent="0.25">
      <c r="A5254" t="str">
        <f>T("   ES")</f>
        <v xml:space="preserve">   ES</v>
      </c>
      <c r="B5254" t="str">
        <f>T("   Espagne")</f>
        <v xml:space="preserve">   Espagne</v>
      </c>
      <c r="C5254">
        <v>655960</v>
      </c>
      <c r="D5254">
        <v>2739</v>
      </c>
    </row>
    <row r="5255" spans="1:4" x14ac:dyDescent="0.25">
      <c r="A5255" t="str">
        <f>T("   FR")</f>
        <v xml:space="preserve">   FR</v>
      </c>
      <c r="B5255" t="str">
        <f>T("   France")</f>
        <v xml:space="preserve">   France</v>
      </c>
      <c r="C5255">
        <v>12908150</v>
      </c>
      <c r="D5255">
        <v>2875</v>
      </c>
    </row>
    <row r="5256" spans="1:4" x14ac:dyDescent="0.25">
      <c r="A5256" t="str">
        <f>T("   GB")</f>
        <v xml:space="preserve">   GB</v>
      </c>
      <c r="B5256" t="str">
        <f>T("   Royaume-Uni")</f>
        <v xml:space="preserve">   Royaume-Uni</v>
      </c>
      <c r="C5256">
        <v>22378716</v>
      </c>
      <c r="D5256">
        <v>43865</v>
      </c>
    </row>
    <row r="5257" spans="1:4" x14ac:dyDescent="0.25">
      <c r="A5257" t="str">
        <f>T("   GH")</f>
        <v xml:space="preserve">   GH</v>
      </c>
      <c r="B5257" t="str">
        <f>T("   Ghana")</f>
        <v xml:space="preserve">   Ghana</v>
      </c>
      <c r="C5257">
        <v>24298586</v>
      </c>
      <c r="D5257">
        <v>122965</v>
      </c>
    </row>
    <row r="5258" spans="1:4" x14ac:dyDescent="0.25">
      <c r="A5258" t="str">
        <f>T("   HK")</f>
        <v xml:space="preserve">   HK</v>
      </c>
      <c r="B5258" t="str">
        <f>T("   Hong-Kong")</f>
        <v xml:space="preserve">   Hong-Kong</v>
      </c>
      <c r="C5258">
        <v>200000</v>
      </c>
      <c r="D5258">
        <v>115</v>
      </c>
    </row>
    <row r="5259" spans="1:4" x14ac:dyDescent="0.25">
      <c r="A5259" t="str">
        <f>T("   HR")</f>
        <v xml:space="preserve">   HR</v>
      </c>
      <c r="B5259" t="str">
        <f>T("   Croatie")</f>
        <v xml:space="preserve">   Croatie</v>
      </c>
      <c r="C5259">
        <v>1538994</v>
      </c>
      <c r="D5259">
        <v>4000</v>
      </c>
    </row>
    <row r="5260" spans="1:4" x14ac:dyDescent="0.25">
      <c r="A5260" t="str">
        <f>T("   IN")</f>
        <v xml:space="preserve">   IN</v>
      </c>
      <c r="B5260" t="str">
        <f>T("   Inde")</f>
        <v xml:space="preserve">   Inde</v>
      </c>
      <c r="C5260">
        <v>2066930</v>
      </c>
      <c r="D5260">
        <v>5819</v>
      </c>
    </row>
    <row r="5261" spans="1:4" x14ac:dyDescent="0.25">
      <c r="A5261" t="str">
        <f>T("   IT")</f>
        <v xml:space="preserve">   IT</v>
      </c>
      <c r="B5261" t="str">
        <f>T("   Italie")</f>
        <v xml:space="preserve">   Italie</v>
      </c>
      <c r="C5261">
        <v>380000</v>
      </c>
      <c r="D5261">
        <v>150</v>
      </c>
    </row>
    <row r="5262" spans="1:4" x14ac:dyDescent="0.25">
      <c r="A5262" t="str">
        <f>T("   JP")</f>
        <v xml:space="preserve">   JP</v>
      </c>
      <c r="B5262" t="str">
        <f>T("   Japon")</f>
        <v xml:space="preserve">   Japon</v>
      </c>
      <c r="C5262">
        <v>37192933</v>
      </c>
      <c r="D5262">
        <v>56935</v>
      </c>
    </row>
    <row r="5263" spans="1:4" x14ac:dyDescent="0.25">
      <c r="A5263" t="str">
        <f>T("   KN")</f>
        <v xml:space="preserve">   KN</v>
      </c>
      <c r="B5263" t="str">
        <f>T("   Saint Kitts et Nevis")</f>
        <v xml:space="preserve">   Saint Kitts et Nevis</v>
      </c>
      <c r="C5263">
        <v>7647000</v>
      </c>
      <c r="D5263">
        <v>11000</v>
      </c>
    </row>
    <row r="5264" spans="1:4" x14ac:dyDescent="0.25">
      <c r="A5264" t="str">
        <f>T("   KR")</f>
        <v xml:space="preserve">   KR</v>
      </c>
      <c r="B5264" t="str">
        <f>T("   Corée, République de")</f>
        <v xml:space="preserve">   Corée, République de</v>
      </c>
      <c r="C5264">
        <v>8558129</v>
      </c>
      <c r="D5264">
        <v>12300</v>
      </c>
    </row>
    <row r="5265" spans="1:4" x14ac:dyDescent="0.25">
      <c r="A5265" t="str">
        <f>T("   LT")</f>
        <v xml:space="preserve">   LT</v>
      </c>
      <c r="B5265" t="str">
        <f>T("   Lituanie")</f>
        <v xml:space="preserve">   Lituanie</v>
      </c>
      <c r="C5265">
        <v>7640000</v>
      </c>
      <c r="D5265">
        <v>14000</v>
      </c>
    </row>
    <row r="5266" spans="1:4" x14ac:dyDescent="0.25">
      <c r="A5266" t="str">
        <f>T("   MS")</f>
        <v xml:space="preserve">   MS</v>
      </c>
      <c r="B5266" t="str">
        <f>T("   Montserrat")</f>
        <v xml:space="preserve">   Montserrat</v>
      </c>
      <c r="C5266">
        <v>7647000</v>
      </c>
      <c r="D5266">
        <v>14000</v>
      </c>
    </row>
    <row r="5267" spans="1:4" x14ac:dyDescent="0.25">
      <c r="A5267" t="str">
        <f>T("   NL")</f>
        <v xml:space="preserve">   NL</v>
      </c>
      <c r="B5267" t="str">
        <f>T("   Pays-bas")</f>
        <v xml:space="preserve">   Pays-bas</v>
      </c>
      <c r="C5267">
        <v>1161416</v>
      </c>
      <c r="D5267">
        <v>1622</v>
      </c>
    </row>
    <row r="5268" spans="1:4" x14ac:dyDescent="0.25">
      <c r="A5268" t="str">
        <f>T("   PL")</f>
        <v xml:space="preserve">   PL</v>
      </c>
      <c r="B5268" t="str">
        <f>T("   Pologne")</f>
        <v xml:space="preserve">   Pologne</v>
      </c>
      <c r="C5268">
        <v>2955567</v>
      </c>
      <c r="D5268">
        <v>4300</v>
      </c>
    </row>
    <row r="5269" spans="1:4" x14ac:dyDescent="0.25">
      <c r="A5269" t="str">
        <f>T("   RO")</f>
        <v xml:space="preserve">   RO</v>
      </c>
      <c r="B5269" t="str">
        <f>T("   Roumanie")</f>
        <v xml:space="preserve">   Roumanie</v>
      </c>
      <c r="C5269">
        <v>459172</v>
      </c>
      <c r="D5269">
        <v>16</v>
      </c>
    </row>
    <row r="5270" spans="1:4" x14ac:dyDescent="0.25">
      <c r="A5270" t="str">
        <f>T("   TG")</f>
        <v xml:space="preserve">   TG</v>
      </c>
      <c r="B5270" t="str">
        <f>T("   Togo")</f>
        <v xml:space="preserve">   Togo</v>
      </c>
      <c r="C5270">
        <v>24204410</v>
      </c>
      <c r="D5270">
        <v>146607</v>
      </c>
    </row>
    <row r="5271" spans="1:4" x14ac:dyDescent="0.25">
      <c r="A5271" t="str">
        <f>T("   US")</f>
        <v xml:space="preserve">   US</v>
      </c>
      <c r="B5271" t="str">
        <f>T("   Etats-Unis")</f>
        <v xml:space="preserve">   Etats-Unis</v>
      </c>
      <c r="C5271">
        <v>3033749</v>
      </c>
      <c r="D5271">
        <v>6574</v>
      </c>
    </row>
    <row r="5272" spans="1:4" x14ac:dyDescent="0.25">
      <c r="A5272" t="str">
        <f>T("420232")</f>
        <v>420232</v>
      </c>
      <c r="B5272" t="str">
        <f>T("Portefeuilles, porte-monnaie, étuis à clés ou à cigarettes, blagues à tabac et articles simil. de poche ou de sac à main, à surface extérieure en feuilles de matières plastiques ou en matières textiles")</f>
        <v>Portefeuilles, porte-monnaie, étuis à clés ou à cigarettes, blagues à tabac et articles simil. de poche ou de sac à main, à surface extérieure en feuilles de matières plastiques ou en matières textiles</v>
      </c>
    </row>
    <row r="5273" spans="1:4" x14ac:dyDescent="0.25">
      <c r="A5273" t="str">
        <f>T("   ZZZ_Monde")</f>
        <v xml:space="preserve">   ZZZ_Monde</v>
      </c>
      <c r="B5273" t="str">
        <f>T("   ZZZ_Monde")</f>
        <v xml:space="preserve">   ZZZ_Monde</v>
      </c>
      <c r="C5273">
        <v>6784954</v>
      </c>
      <c r="D5273">
        <v>12714</v>
      </c>
    </row>
    <row r="5274" spans="1:4" x14ac:dyDescent="0.25">
      <c r="A5274" t="str">
        <f>T("   CN")</f>
        <v xml:space="preserve">   CN</v>
      </c>
      <c r="B5274" t="str">
        <f>T("   Chine")</f>
        <v xml:space="preserve">   Chine</v>
      </c>
      <c r="C5274">
        <v>5807473</v>
      </c>
      <c r="D5274">
        <v>10710</v>
      </c>
    </row>
    <row r="5275" spans="1:4" x14ac:dyDescent="0.25">
      <c r="A5275" t="str">
        <f>T("   FR")</f>
        <v xml:space="preserve">   FR</v>
      </c>
      <c r="B5275" t="str">
        <f>T("   France")</f>
        <v xml:space="preserve">   France</v>
      </c>
      <c r="C5275">
        <v>103642</v>
      </c>
      <c r="D5275">
        <v>4</v>
      </c>
    </row>
    <row r="5276" spans="1:4" x14ac:dyDescent="0.25">
      <c r="A5276" t="str">
        <f>T("   TG")</f>
        <v xml:space="preserve">   TG</v>
      </c>
      <c r="B5276" t="str">
        <f>T("   Togo")</f>
        <v xml:space="preserve">   Togo</v>
      </c>
      <c r="C5276">
        <v>873839</v>
      </c>
      <c r="D5276">
        <v>2000</v>
      </c>
    </row>
    <row r="5277" spans="1:4" x14ac:dyDescent="0.25">
      <c r="A5277" t="str">
        <f>T("420239")</f>
        <v>420239</v>
      </c>
      <c r="B5277" t="str">
        <f>T("Portefeuilles, porte-monnaie, étuis à clés ou à cigarettes, blagues à tabac et articles simil. de poche ou de sac à main, à surface extérieure en fibre vulcanisée ou en carton, ou recouverts, en totalité ou en majeure partie, de ces mêmes matières ou de p")</f>
        <v>Portefeuilles, porte-monnaie, étuis à clés ou à cigarettes, blagues à tabac et articles simil. de poche ou de sac à main, à surface extérieure en fibre vulcanisée ou en carton, ou recouverts, en totalité ou en majeure partie, de ces mêmes matières ou de p</v>
      </c>
    </row>
    <row r="5278" spans="1:4" x14ac:dyDescent="0.25">
      <c r="A5278" t="str">
        <f>T("   ZZZ_Monde")</f>
        <v xml:space="preserve">   ZZZ_Monde</v>
      </c>
      <c r="B5278" t="str">
        <f>T("   ZZZ_Monde")</f>
        <v xml:space="preserve">   ZZZ_Monde</v>
      </c>
      <c r="C5278">
        <v>29307458</v>
      </c>
      <c r="D5278">
        <v>75238</v>
      </c>
    </row>
    <row r="5279" spans="1:4" x14ac:dyDescent="0.25">
      <c r="A5279" t="str">
        <f>T("   BE")</f>
        <v xml:space="preserve">   BE</v>
      </c>
      <c r="B5279" t="str">
        <f>T("   Belgique")</f>
        <v xml:space="preserve">   Belgique</v>
      </c>
      <c r="C5279">
        <v>846188</v>
      </c>
      <c r="D5279">
        <v>200</v>
      </c>
    </row>
    <row r="5280" spans="1:4" x14ac:dyDescent="0.25">
      <c r="A5280" t="str">
        <f>T("   CN")</f>
        <v xml:space="preserve">   CN</v>
      </c>
      <c r="B5280" t="str">
        <f>T("   Chine")</f>
        <v xml:space="preserve">   Chine</v>
      </c>
      <c r="C5280">
        <v>18014343</v>
      </c>
      <c r="D5280">
        <v>60969</v>
      </c>
    </row>
    <row r="5281" spans="1:4" x14ac:dyDescent="0.25">
      <c r="A5281" t="str">
        <f>T("   ES")</f>
        <v xml:space="preserve">   ES</v>
      </c>
      <c r="B5281" t="str">
        <f>T("   Espagne")</f>
        <v xml:space="preserve">   Espagne</v>
      </c>
      <c r="C5281">
        <v>673487</v>
      </c>
      <c r="D5281">
        <v>134</v>
      </c>
    </row>
    <row r="5282" spans="1:4" x14ac:dyDescent="0.25">
      <c r="A5282" t="str">
        <f>T("   FR")</f>
        <v xml:space="preserve">   FR</v>
      </c>
      <c r="B5282" t="str">
        <f>T("   France")</f>
        <v xml:space="preserve">   France</v>
      </c>
      <c r="C5282">
        <v>96000</v>
      </c>
      <c r="D5282">
        <v>43</v>
      </c>
    </row>
    <row r="5283" spans="1:4" x14ac:dyDescent="0.25">
      <c r="A5283" t="str">
        <f>T("   IT")</f>
        <v xml:space="preserve">   IT</v>
      </c>
      <c r="B5283" t="str">
        <f>T("   Italie")</f>
        <v xml:space="preserve">   Italie</v>
      </c>
      <c r="C5283">
        <v>634770</v>
      </c>
      <c r="D5283">
        <v>390</v>
      </c>
    </row>
    <row r="5284" spans="1:4" x14ac:dyDescent="0.25">
      <c r="A5284" t="str">
        <f>T("   TG")</f>
        <v xml:space="preserve">   TG</v>
      </c>
      <c r="B5284" t="str">
        <f>T("   Togo")</f>
        <v xml:space="preserve">   Togo</v>
      </c>
      <c r="C5284">
        <v>3100000</v>
      </c>
      <c r="D5284">
        <v>13485</v>
      </c>
    </row>
    <row r="5285" spans="1:4" x14ac:dyDescent="0.25">
      <c r="A5285" t="str">
        <f>T("   TW")</f>
        <v xml:space="preserve">   TW</v>
      </c>
      <c r="B5285" t="str">
        <f>T("   Taïwan, Province de Chine")</f>
        <v xml:space="preserve">   Taïwan, Province de Chine</v>
      </c>
      <c r="C5285">
        <v>5942670</v>
      </c>
      <c r="D5285">
        <v>17</v>
      </c>
    </row>
    <row r="5286" spans="1:4" x14ac:dyDescent="0.25">
      <c r="A5286" t="str">
        <f>T("420291")</f>
        <v>420291</v>
      </c>
      <c r="B5286" t="str">
        <f>T("Sacs de voyage, sacs isolants pour produits alimentaires et boissons, trousses de toilette, sacs à dos, sacs à provisions, porte-cartes, trousses à outils, sacs pour articles de sport, boîtes pour bijoux, écrins pour orfèvrerie et étuis pour jumelles, app")</f>
        <v>Sacs de voyage, sacs isolants pour produits alimentaires et boissons, trousses de toilette, sacs à dos, sacs à provisions, porte-cartes, trousses à outils, sacs pour articles de sport, boîtes pour bijoux, écrins pour orfèvrerie et étuis pour jumelles, app</v>
      </c>
    </row>
    <row r="5287" spans="1:4" x14ac:dyDescent="0.25">
      <c r="A5287" t="str">
        <f>T("   ZZZ_Monde")</f>
        <v xml:space="preserve">   ZZZ_Monde</v>
      </c>
      <c r="B5287" t="str">
        <f>T("   ZZZ_Monde")</f>
        <v xml:space="preserve">   ZZZ_Monde</v>
      </c>
      <c r="C5287">
        <v>9262879</v>
      </c>
      <c r="D5287">
        <v>37146.1</v>
      </c>
    </row>
    <row r="5288" spans="1:4" x14ac:dyDescent="0.25">
      <c r="A5288" t="str">
        <f>T("   GH")</f>
        <v xml:space="preserve">   GH</v>
      </c>
      <c r="B5288" t="str">
        <f>T("   Ghana")</f>
        <v xml:space="preserve">   Ghana</v>
      </c>
      <c r="C5288">
        <v>1236154</v>
      </c>
      <c r="D5288">
        <v>15985</v>
      </c>
    </row>
    <row r="5289" spans="1:4" x14ac:dyDescent="0.25">
      <c r="A5289" t="str">
        <f>T("   NL")</f>
        <v xml:space="preserve">   NL</v>
      </c>
      <c r="B5289" t="str">
        <f>T("   Pays-bas")</f>
        <v xml:space="preserve">   Pays-bas</v>
      </c>
      <c r="C5289">
        <v>5618327</v>
      </c>
      <c r="D5289">
        <v>73.099999999999994</v>
      </c>
    </row>
    <row r="5290" spans="1:4" x14ac:dyDescent="0.25">
      <c r="A5290" t="str">
        <f>T("   TG")</f>
        <v xml:space="preserve">   TG</v>
      </c>
      <c r="B5290" t="str">
        <f>T("   Togo")</f>
        <v xml:space="preserve">   Togo</v>
      </c>
      <c r="C5290">
        <v>2408398</v>
      </c>
      <c r="D5290">
        <v>21088</v>
      </c>
    </row>
    <row r="5291" spans="1:4" x14ac:dyDescent="0.25">
      <c r="A5291" t="str">
        <f>T("420292")</f>
        <v>420292</v>
      </c>
      <c r="B5291" t="str">
        <f>T("Sacs de voyage, sacs isolants pour produits alimentaires et boissons, trousses de toilette, sacs à dos, sacs à provisions, porte-cartes, trousses à outils, sacs pour articles de sport, boîtes pour bijoux, écrins pour orfèvrerie et étuis pour jumelles, app")</f>
        <v>Sacs de voyage, sacs isolants pour produits alimentaires et boissons, trousses de toilette, sacs à dos, sacs à provisions, porte-cartes, trousses à outils, sacs pour articles de sport, boîtes pour bijoux, écrins pour orfèvrerie et étuis pour jumelles, app</v>
      </c>
    </row>
    <row r="5292" spans="1:4" x14ac:dyDescent="0.25">
      <c r="A5292" t="str">
        <f>T("   ZZZ_Monde")</f>
        <v xml:space="preserve">   ZZZ_Monde</v>
      </c>
      <c r="B5292" t="str">
        <f>T("   ZZZ_Monde")</f>
        <v xml:space="preserve">   ZZZ_Monde</v>
      </c>
      <c r="C5292">
        <v>109516995</v>
      </c>
      <c r="D5292">
        <v>998387</v>
      </c>
    </row>
    <row r="5293" spans="1:4" x14ac:dyDescent="0.25">
      <c r="A5293" t="str">
        <f>T("   CN")</f>
        <v xml:space="preserve">   CN</v>
      </c>
      <c r="B5293" t="str">
        <f>T("   Chine")</f>
        <v xml:space="preserve">   Chine</v>
      </c>
      <c r="C5293">
        <v>28444818</v>
      </c>
      <c r="D5293">
        <v>52232</v>
      </c>
    </row>
    <row r="5294" spans="1:4" x14ac:dyDescent="0.25">
      <c r="A5294" t="str">
        <f>T("   FI")</f>
        <v xml:space="preserve">   FI</v>
      </c>
      <c r="B5294" t="str">
        <f>T("   Finlande")</f>
        <v xml:space="preserve">   Finlande</v>
      </c>
      <c r="C5294">
        <v>8527</v>
      </c>
      <c r="D5294">
        <v>1</v>
      </c>
    </row>
    <row r="5295" spans="1:4" x14ac:dyDescent="0.25">
      <c r="A5295" t="str">
        <f>T("   FR")</f>
        <v xml:space="preserve">   FR</v>
      </c>
      <c r="B5295" t="str">
        <f>T("   France")</f>
        <v xml:space="preserve">   France</v>
      </c>
      <c r="C5295">
        <v>1925363</v>
      </c>
      <c r="D5295">
        <v>1709</v>
      </c>
    </row>
    <row r="5296" spans="1:4" x14ac:dyDescent="0.25">
      <c r="A5296" t="str">
        <f>T("   GH")</f>
        <v xml:space="preserve">   GH</v>
      </c>
      <c r="B5296" t="str">
        <f>T("   Ghana")</f>
        <v xml:space="preserve">   Ghana</v>
      </c>
      <c r="C5296">
        <v>2652000</v>
      </c>
      <c r="D5296">
        <v>12620</v>
      </c>
    </row>
    <row r="5297" spans="1:4" x14ac:dyDescent="0.25">
      <c r="A5297" t="str">
        <f>T("   ID")</f>
        <v xml:space="preserve">   ID</v>
      </c>
      <c r="B5297" t="str">
        <f>T("   Indonésie")</f>
        <v xml:space="preserve">   Indonésie</v>
      </c>
      <c r="C5297">
        <v>5699</v>
      </c>
      <c r="D5297">
        <v>20</v>
      </c>
    </row>
    <row r="5298" spans="1:4" x14ac:dyDescent="0.25">
      <c r="A5298" t="str">
        <f>T("   NL")</f>
        <v xml:space="preserve">   NL</v>
      </c>
      <c r="B5298" t="str">
        <f>T("   Pays-bas")</f>
        <v xml:space="preserve">   Pays-bas</v>
      </c>
      <c r="C5298">
        <v>374553</v>
      </c>
      <c r="D5298">
        <v>287</v>
      </c>
    </row>
    <row r="5299" spans="1:4" x14ac:dyDescent="0.25">
      <c r="A5299" t="str">
        <f>T("   TG")</f>
        <v xml:space="preserve">   TG</v>
      </c>
      <c r="B5299" t="str">
        <f>T("   Togo")</f>
        <v xml:space="preserve">   Togo</v>
      </c>
      <c r="C5299">
        <v>76106035</v>
      </c>
      <c r="D5299">
        <v>931518</v>
      </c>
    </row>
    <row r="5300" spans="1:4" x14ac:dyDescent="0.25">
      <c r="A5300" t="str">
        <f>T("420299")</f>
        <v>420299</v>
      </c>
      <c r="B5300" t="str">
        <f>T("Sacs de voyage, trousses de toilette, sacs à dos, sacs à provisions, porte-cartes, trousses à outils, sacs pour articles de sport, boîtes pour bijoux, écrins pour orfèvrerie et étuis pour jumelles, appareils photographiques, caméras, instruments de musiqu")</f>
        <v>Sacs de voyage, trousses de toilette, sacs à dos, sacs à provisions, porte-cartes, trousses à outils, sacs pour articles de sport, boîtes pour bijoux, écrins pour orfèvrerie et étuis pour jumelles, appareils photographiques, caméras, instruments de musiqu</v>
      </c>
    </row>
    <row r="5301" spans="1:4" x14ac:dyDescent="0.25">
      <c r="A5301" t="str">
        <f>T("   ZZZ_Monde")</f>
        <v xml:space="preserve">   ZZZ_Monde</v>
      </c>
      <c r="B5301" t="str">
        <f>T("   ZZZ_Monde")</f>
        <v xml:space="preserve">   ZZZ_Monde</v>
      </c>
      <c r="C5301">
        <v>346941238</v>
      </c>
      <c r="D5301">
        <v>598152</v>
      </c>
    </row>
    <row r="5302" spans="1:4" x14ac:dyDescent="0.25">
      <c r="A5302" t="str">
        <f>T("   BE")</f>
        <v xml:space="preserve">   BE</v>
      </c>
      <c r="B5302" t="str">
        <f>T("   Belgique")</f>
        <v xml:space="preserve">   Belgique</v>
      </c>
      <c r="C5302">
        <v>49197</v>
      </c>
      <c r="D5302">
        <v>9</v>
      </c>
    </row>
    <row r="5303" spans="1:4" x14ac:dyDescent="0.25">
      <c r="A5303" t="str">
        <f>T("   BG")</f>
        <v xml:space="preserve">   BG</v>
      </c>
      <c r="B5303" t="str">
        <f>T("   Bulgarie")</f>
        <v xml:space="preserve">   Bulgarie</v>
      </c>
      <c r="C5303">
        <v>50000</v>
      </c>
      <c r="D5303">
        <v>10</v>
      </c>
    </row>
    <row r="5304" spans="1:4" x14ac:dyDescent="0.25">
      <c r="A5304" t="str">
        <f>T("   BH")</f>
        <v xml:space="preserve">   BH</v>
      </c>
      <c r="B5304" t="str">
        <f>T("   Bahreïn")</f>
        <v xml:space="preserve">   Bahreïn</v>
      </c>
      <c r="C5304">
        <v>799284</v>
      </c>
      <c r="D5304">
        <v>2000</v>
      </c>
    </row>
    <row r="5305" spans="1:4" x14ac:dyDescent="0.25">
      <c r="A5305" t="str">
        <f>T("   CA")</f>
        <v xml:space="preserve">   CA</v>
      </c>
      <c r="B5305" t="str">
        <f>T("   Canada")</f>
        <v xml:space="preserve">   Canada</v>
      </c>
      <c r="C5305">
        <v>9350925</v>
      </c>
      <c r="D5305">
        <v>112</v>
      </c>
    </row>
    <row r="5306" spans="1:4" x14ac:dyDescent="0.25">
      <c r="A5306" t="str">
        <f>T("   CN")</f>
        <v xml:space="preserve">   CN</v>
      </c>
      <c r="B5306" t="str">
        <f>T("   Chine")</f>
        <v xml:space="preserve">   Chine</v>
      </c>
      <c r="C5306">
        <v>267481497</v>
      </c>
      <c r="D5306">
        <v>443065</v>
      </c>
    </row>
    <row r="5307" spans="1:4" x14ac:dyDescent="0.25">
      <c r="A5307" t="str">
        <f>T("   DE")</f>
        <v xml:space="preserve">   DE</v>
      </c>
      <c r="B5307" t="str">
        <f>T("   Allemagne")</f>
        <v xml:space="preserve">   Allemagne</v>
      </c>
      <c r="C5307">
        <v>512305</v>
      </c>
      <c r="D5307">
        <v>1541</v>
      </c>
    </row>
    <row r="5308" spans="1:4" x14ac:dyDescent="0.25">
      <c r="A5308" t="str">
        <f>T("   ES")</f>
        <v xml:space="preserve">   ES</v>
      </c>
      <c r="B5308" t="str">
        <f>T("   Espagne")</f>
        <v xml:space="preserve">   Espagne</v>
      </c>
      <c r="C5308">
        <v>143524</v>
      </c>
      <c r="D5308">
        <v>236</v>
      </c>
    </row>
    <row r="5309" spans="1:4" x14ac:dyDescent="0.25">
      <c r="A5309" t="str">
        <f>T("   FR")</f>
        <v xml:space="preserve">   FR</v>
      </c>
      <c r="B5309" t="str">
        <f>T("   France")</f>
        <v xml:space="preserve">   France</v>
      </c>
      <c r="C5309">
        <v>8274012</v>
      </c>
      <c r="D5309">
        <v>1092</v>
      </c>
    </row>
    <row r="5310" spans="1:4" x14ac:dyDescent="0.25">
      <c r="A5310" t="str">
        <f>T("   GB")</f>
        <v xml:space="preserve">   GB</v>
      </c>
      <c r="B5310" t="str">
        <f>T("   Royaume-Uni")</f>
        <v xml:space="preserve">   Royaume-Uni</v>
      </c>
      <c r="C5310">
        <v>771042</v>
      </c>
      <c r="D5310">
        <v>1355</v>
      </c>
    </row>
    <row r="5311" spans="1:4" x14ac:dyDescent="0.25">
      <c r="A5311" t="str">
        <f>T("   GH")</f>
        <v xml:space="preserve">   GH</v>
      </c>
      <c r="B5311" t="str">
        <f>T("   Ghana")</f>
        <v xml:space="preserve">   Ghana</v>
      </c>
      <c r="C5311">
        <v>200000</v>
      </c>
      <c r="D5311">
        <v>1800</v>
      </c>
    </row>
    <row r="5312" spans="1:4" x14ac:dyDescent="0.25">
      <c r="A5312" t="str">
        <f>T("   IT")</f>
        <v xml:space="preserve">   IT</v>
      </c>
      <c r="B5312" t="str">
        <f>T("   Italie")</f>
        <v xml:space="preserve">   Italie</v>
      </c>
      <c r="C5312">
        <v>572834</v>
      </c>
      <c r="D5312">
        <v>444</v>
      </c>
    </row>
    <row r="5313" spans="1:4" x14ac:dyDescent="0.25">
      <c r="A5313" t="str">
        <f>T("   KR")</f>
        <v xml:space="preserve">   KR</v>
      </c>
      <c r="B5313" t="str">
        <f>T("   Corée, République de")</f>
        <v xml:space="preserve">   Corée, République de</v>
      </c>
      <c r="C5313">
        <v>32788542</v>
      </c>
      <c r="D5313">
        <v>32770</v>
      </c>
    </row>
    <row r="5314" spans="1:4" x14ac:dyDescent="0.25">
      <c r="A5314" t="str">
        <f>T("   NG")</f>
        <v xml:space="preserve">   NG</v>
      </c>
      <c r="B5314" t="str">
        <f>T("   Nigéria")</f>
        <v xml:space="preserve">   Nigéria</v>
      </c>
      <c r="C5314">
        <v>86400</v>
      </c>
      <c r="D5314">
        <v>32</v>
      </c>
    </row>
    <row r="5315" spans="1:4" x14ac:dyDescent="0.25">
      <c r="A5315" t="str">
        <f>T("   NL")</f>
        <v xml:space="preserve">   NL</v>
      </c>
      <c r="B5315" t="str">
        <f>T("   Pays-bas")</f>
        <v xml:space="preserve">   Pays-bas</v>
      </c>
      <c r="C5315">
        <v>375011</v>
      </c>
      <c r="D5315">
        <v>345</v>
      </c>
    </row>
    <row r="5316" spans="1:4" x14ac:dyDescent="0.25">
      <c r="A5316" t="str">
        <f>T("   TG")</f>
        <v xml:space="preserve">   TG</v>
      </c>
      <c r="B5316" t="str">
        <f>T("   Togo")</f>
        <v xml:space="preserve">   Togo</v>
      </c>
      <c r="C5316">
        <v>22236243</v>
      </c>
      <c r="D5316">
        <v>108841</v>
      </c>
    </row>
    <row r="5317" spans="1:4" x14ac:dyDescent="0.25">
      <c r="A5317" t="str">
        <f>T("   US")</f>
        <v xml:space="preserve">   US</v>
      </c>
      <c r="B5317" t="str">
        <f>T("   Etats-Unis")</f>
        <v xml:space="preserve">   Etats-Unis</v>
      </c>
      <c r="C5317">
        <v>3250422</v>
      </c>
      <c r="D5317">
        <v>4500</v>
      </c>
    </row>
    <row r="5318" spans="1:4" x14ac:dyDescent="0.25">
      <c r="A5318" t="str">
        <f>T("420310")</f>
        <v>420310</v>
      </c>
      <c r="B5318" t="str">
        <f>T("Vêtements, en cuir naturel ou reconstitué (à l'excl. des accessoires du vêtement, des chaussures ou des coiffures et leurs parties ainsi que des articles du chapitre 95 [p.ex.les protège-tibias ou les masques d'escrime])")</f>
        <v>Vêtements, en cuir naturel ou reconstitué (à l'excl. des accessoires du vêtement, des chaussures ou des coiffures et leurs parties ainsi que des articles du chapitre 95 [p.ex.les protège-tibias ou les masques d'escrime])</v>
      </c>
    </row>
    <row r="5319" spans="1:4" x14ac:dyDescent="0.25">
      <c r="A5319" t="str">
        <f>T("   ZZZ_Monde")</f>
        <v xml:space="preserve">   ZZZ_Monde</v>
      </c>
      <c r="B5319" t="str">
        <f>T("   ZZZ_Monde")</f>
        <v xml:space="preserve">   ZZZ_Monde</v>
      </c>
      <c r="C5319">
        <v>2849949</v>
      </c>
      <c r="D5319">
        <v>1051</v>
      </c>
    </row>
    <row r="5320" spans="1:4" x14ac:dyDescent="0.25">
      <c r="A5320" t="str">
        <f>T("   CH")</f>
        <v xml:space="preserve">   CH</v>
      </c>
      <c r="B5320" t="str">
        <f>T("   Suisse")</f>
        <v xml:space="preserve">   Suisse</v>
      </c>
      <c r="C5320">
        <v>36681</v>
      </c>
      <c r="D5320">
        <v>278</v>
      </c>
    </row>
    <row r="5321" spans="1:4" x14ac:dyDescent="0.25">
      <c r="A5321" t="str">
        <f>T("   FR")</f>
        <v xml:space="preserve">   FR</v>
      </c>
      <c r="B5321" t="str">
        <f>T("   France")</f>
        <v xml:space="preserve">   France</v>
      </c>
      <c r="C5321">
        <v>2813268</v>
      </c>
      <c r="D5321">
        <v>773</v>
      </c>
    </row>
    <row r="5322" spans="1:4" x14ac:dyDescent="0.25">
      <c r="A5322" t="str">
        <f>T("420321")</f>
        <v>420321</v>
      </c>
      <c r="B5322" t="str">
        <f>T("Gants, mitaines et moufles spécialement conçus pour la pratique des sports, en cuir naturel ou reconstitué")</f>
        <v>Gants, mitaines et moufles spécialement conçus pour la pratique des sports, en cuir naturel ou reconstitué</v>
      </c>
    </row>
    <row r="5323" spans="1:4" x14ac:dyDescent="0.25">
      <c r="A5323" t="str">
        <f>T("   ZZZ_Monde")</f>
        <v xml:space="preserve">   ZZZ_Monde</v>
      </c>
      <c r="B5323" t="str">
        <f>T("   ZZZ_Monde")</f>
        <v xml:space="preserve">   ZZZ_Monde</v>
      </c>
      <c r="C5323">
        <v>1127517</v>
      </c>
      <c r="D5323">
        <v>32</v>
      </c>
    </row>
    <row r="5324" spans="1:4" x14ac:dyDescent="0.25">
      <c r="A5324" t="str">
        <f>T("   FR")</f>
        <v xml:space="preserve">   FR</v>
      </c>
      <c r="B5324" t="str">
        <f>T("   France")</f>
        <v xml:space="preserve">   France</v>
      </c>
      <c r="C5324">
        <v>1127517</v>
      </c>
      <c r="D5324">
        <v>32</v>
      </c>
    </row>
    <row r="5325" spans="1:4" x14ac:dyDescent="0.25">
      <c r="A5325" t="str">
        <f>T("420329")</f>
        <v>420329</v>
      </c>
      <c r="B5325" t="str">
        <f>T("Gants, mitaines et moufles, en cuir naturel ou reconstitué (à l'excl. des articles spécialement conçus pour la pratique des sports)")</f>
        <v>Gants, mitaines et moufles, en cuir naturel ou reconstitué (à l'excl. des articles spécialement conçus pour la pratique des sports)</v>
      </c>
    </row>
    <row r="5326" spans="1:4" x14ac:dyDescent="0.25">
      <c r="A5326" t="str">
        <f>T("   ZZZ_Monde")</f>
        <v xml:space="preserve">   ZZZ_Monde</v>
      </c>
      <c r="B5326" t="str">
        <f>T("   ZZZ_Monde")</f>
        <v xml:space="preserve">   ZZZ_Monde</v>
      </c>
      <c r="C5326">
        <v>3290821</v>
      </c>
      <c r="D5326">
        <v>2701</v>
      </c>
    </row>
    <row r="5327" spans="1:4" x14ac:dyDescent="0.25">
      <c r="A5327" t="str">
        <f>T("   CN")</f>
        <v xml:space="preserve">   CN</v>
      </c>
      <c r="B5327" t="str">
        <f>T("   Chine")</f>
        <v xml:space="preserve">   Chine</v>
      </c>
      <c r="C5327">
        <v>866058</v>
      </c>
      <c r="D5327">
        <v>2060</v>
      </c>
    </row>
    <row r="5328" spans="1:4" x14ac:dyDescent="0.25">
      <c r="A5328" t="str">
        <f>T("   DE")</f>
        <v xml:space="preserve">   DE</v>
      </c>
      <c r="B5328" t="str">
        <f>T("   Allemagne")</f>
        <v xml:space="preserve">   Allemagne</v>
      </c>
      <c r="C5328">
        <v>18215</v>
      </c>
      <c r="D5328">
        <v>10</v>
      </c>
    </row>
    <row r="5329" spans="1:4" x14ac:dyDescent="0.25">
      <c r="A5329" t="str">
        <f>T("   DK")</f>
        <v xml:space="preserve">   DK</v>
      </c>
      <c r="B5329" t="str">
        <f>T("   Danemark")</f>
        <v xml:space="preserve">   Danemark</v>
      </c>
      <c r="C5329">
        <v>239261</v>
      </c>
      <c r="D5329">
        <v>26</v>
      </c>
    </row>
    <row r="5330" spans="1:4" x14ac:dyDescent="0.25">
      <c r="A5330" t="str">
        <f>T("   FR")</f>
        <v xml:space="preserve">   FR</v>
      </c>
      <c r="B5330" t="str">
        <f>T("   France")</f>
        <v xml:space="preserve">   France</v>
      </c>
      <c r="C5330">
        <v>2167287</v>
      </c>
      <c r="D5330">
        <v>605</v>
      </c>
    </row>
    <row r="5331" spans="1:4" x14ac:dyDescent="0.25">
      <c r="A5331" t="str">
        <f>T("420330")</f>
        <v>420330</v>
      </c>
      <c r="B5331" t="str">
        <f>T("Ceintures, ceinturons et baudriers, en cuir naturel ou reconstitué")</f>
        <v>Ceintures, ceinturons et baudriers, en cuir naturel ou reconstitué</v>
      </c>
    </row>
    <row r="5332" spans="1:4" x14ac:dyDescent="0.25">
      <c r="A5332" t="str">
        <f>T("   ZZZ_Monde")</f>
        <v xml:space="preserve">   ZZZ_Monde</v>
      </c>
      <c r="B5332" t="str">
        <f>T("   ZZZ_Monde")</f>
        <v xml:space="preserve">   ZZZ_Monde</v>
      </c>
      <c r="C5332">
        <v>6696350</v>
      </c>
      <c r="D5332">
        <v>10170</v>
      </c>
    </row>
    <row r="5333" spans="1:4" x14ac:dyDescent="0.25">
      <c r="A5333" t="str">
        <f>T("   CN")</f>
        <v xml:space="preserve">   CN</v>
      </c>
      <c r="B5333" t="str">
        <f>T("   Chine")</f>
        <v xml:space="preserve">   Chine</v>
      </c>
      <c r="C5333">
        <v>5437823</v>
      </c>
      <c r="D5333">
        <v>9287</v>
      </c>
    </row>
    <row r="5334" spans="1:4" x14ac:dyDescent="0.25">
      <c r="A5334" t="str">
        <f>T("   FR")</f>
        <v xml:space="preserve">   FR</v>
      </c>
      <c r="B5334" t="str">
        <f>T("   France")</f>
        <v xml:space="preserve">   France</v>
      </c>
      <c r="C5334">
        <v>174486</v>
      </c>
      <c r="D5334">
        <v>24</v>
      </c>
    </row>
    <row r="5335" spans="1:4" x14ac:dyDescent="0.25">
      <c r="A5335" t="str">
        <f>T("   GB")</f>
        <v xml:space="preserve">   GB</v>
      </c>
      <c r="B5335" t="str">
        <f>T("   Royaume-Uni")</f>
        <v xml:space="preserve">   Royaume-Uni</v>
      </c>
      <c r="C5335">
        <v>142857</v>
      </c>
      <c r="D5335">
        <v>247</v>
      </c>
    </row>
    <row r="5336" spans="1:4" x14ac:dyDescent="0.25">
      <c r="A5336" t="str">
        <f>T("   IT")</f>
        <v xml:space="preserve">   IT</v>
      </c>
      <c r="B5336" t="str">
        <f>T("   Italie")</f>
        <v xml:space="preserve">   Italie</v>
      </c>
      <c r="C5336">
        <v>114793</v>
      </c>
      <c r="D5336">
        <v>3</v>
      </c>
    </row>
    <row r="5337" spans="1:4" x14ac:dyDescent="0.25">
      <c r="A5337" t="str">
        <f>T("   JP")</f>
        <v xml:space="preserve">   JP</v>
      </c>
      <c r="B5337" t="str">
        <f>T("   Japon")</f>
        <v xml:space="preserve">   Japon</v>
      </c>
      <c r="C5337">
        <v>300429</v>
      </c>
      <c r="D5337">
        <v>125</v>
      </c>
    </row>
    <row r="5338" spans="1:4" x14ac:dyDescent="0.25">
      <c r="A5338" t="str">
        <f>T("   KR")</f>
        <v xml:space="preserve">   KR</v>
      </c>
      <c r="B5338" t="str">
        <f>T("   Corée, République de")</f>
        <v xml:space="preserve">   Corée, République de</v>
      </c>
      <c r="C5338">
        <v>182709</v>
      </c>
      <c r="D5338">
        <v>110</v>
      </c>
    </row>
    <row r="5339" spans="1:4" x14ac:dyDescent="0.25">
      <c r="A5339" t="str">
        <f>T("   NG")</f>
        <v xml:space="preserve">   NG</v>
      </c>
      <c r="B5339" t="str">
        <f>T("   Nigéria")</f>
        <v xml:space="preserve">   Nigéria</v>
      </c>
      <c r="C5339">
        <v>120000</v>
      </c>
      <c r="D5339">
        <v>50</v>
      </c>
    </row>
    <row r="5340" spans="1:4" x14ac:dyDescent="0.25">
      <c r="A5340" t="str">
        <f>T("   NL")</f>
        <v xml:space="preserve">   NL</v>
      </c>
      <c r="B5340" t="str">
        <f>T("   Pays-bas")</f>
        <v xml:space="preserve">   Pays-bas</v>
      </c>
      <c r="C5340">
        <v>175797</v>
      </c>
      <c r="D5340">
        <v>250</v>
      </c>
    </row>
    <row r="5341" spans="1:4" x14ac:dyDescent="0.25">
      <c r="A5341" t="str">
        <f>T("   US")</f>
        <v xml:space="preserve">   US</v>
      </c>
      <c r="B5341" t="str">
        <f>T("   Etats-Unis")</f>
        <v xml:space="preserve">   Etats-Unis</v>
      </c>
      <c r="C5341">
        <v>47456</v>
      </c>
      <c r="D5341">
        <v>74</v>
      </c>
    </row>
    <row r="5342" spans="1:4" x14ac:dyDescent="0.25">
      <c r="A5342" t="str">
        <f>T("420340")</f>
        <v>420340</v>
      </c>
      <c r="B5342" t="str">
        <f>T("Accessoires du vêtement, en cuir naturel ou reconstitué (à l'excl. des gants, des mitaines, des moufles, des ceintures, des ceinturons, des baudriers, des chaussures, des coiffures, des parties de chaussures ou de coiffures ainsi que des articles du chapi")</f>
        <v>Accessoires du vêtement, en cuir naturel ou reconstitué (à l'excl. des gants, des mitaines, des moufles, des ceintures, des ceinturons, des baudriers, des chaussures, des coiffures, des parties de chaussures ou de coiffures ainsi que des articles du chapi</v>
      </c>
    </row>
    <row r="5343" spans="1:4" x14ac:dyDescent="0.25">
      <c r="A5343" t="str">
        <f>T("   ZZZ_Monde")</f>
        <v xml:space="preserve">   ZZZ_Monde</v>
      </c>
      <c r="B5343" t="str">
        <f>T("   ZZZ_Monde")</f>
        <v xml:space="preserve">   ZZZ_Monde</v>
      </c>
      <c r="C5343">
        <v>749301</v>
      </c>
      <c r="D5343">
        <v>507</v>
      </c>
    </row>
    <row r="5344" spans="1:4" x14ac:dyDescent="0.25">
      <c r="A5344" t="str">
        <f>T("   FR")</f>
        <v xml:space="preserve">   FR</v>
      </c>
      <c r="B5344" t="str">
        <f>T("   France")</f>
        <v xml:space="preserve">   France</v>
      </c>
      <c r="C5344">
        <v>474301</v>
      </c>
      <c r="D5344">
        <v>7</v>
      </c>
    </row>
    <row r="5345" spans="1:4" x14ac:dyDescent="0.25">
      <c r="A5345" t="str">
        <f>T("   GB")</f>
        <v xml:space="preserve">   GB</v>
      </c>
      <c r="B5345" t="str">
        <f>T("   Royaume-Uni")</f>
        <v xml:space="preserve">   Royaume-Uni</v>
      </c>
      <c r="C5345">
        <v>275000</v>
      </c>
      <c r="D5345">
        <v>500</v>
      </c>
    </row>
    <row r="5346" spans="1:4" x14ac:dyDescent="0.25">
      <c r="A5346" t="str">
        <f>T("420400")</f>
        <v>420400</v>
      </c>
      <c r="B5346" t="str">
        <f>T("Articles en cuir naturel ou reconstitué, à usages techniques")</f>
        <v>Articles en cuir naturel ou reconstitué, à usages techniques</v>
      </c>
    </row>
    <row r="5347" spans="1:4" x14ac:dyDescent="0.25">
      <c r="A5347" t="str">
        <f>T("   ZZZ_Monde")</f>
        <v xml:space="preserve">   ZZZ_Monde</v>
      </c>
      <c r="B5347" t="str">
        <f>T("   ZZZ_Monde")</f>
        <v xml:space="preserve">   ZZZ_Monde</v>
      </c>
      <c r="C5347">
        <v>440510</v>
      </c>
      <c r="D5347">
        <v>135</v>
      </c>
    </row>
    <row r="5348" spans="1:4" x14ac:dyDescent="0.25">
      <c r="A5348" t="str">
        <f>T("   FR")</f>
        <v xml:space="preserve">   FR</v>
      </c>
      <c r="B5348" t="str">
        <f>T("   France")</f>
        <v xml:space="preserve">   France</v>
      </c>
      <c r="C5348">
        <v>440510</v>
      </c>
      <c r="D5348">
        <v>135</v>
      </c>
    </row>
    <row r="5349" spans="1:4" x14ac:dyDescent="0.25">
      <c r="A5349" t="str">
        <f>T("420500")</f>
        <v>420500</v>
      </c>
      <c r="B5349" t="str">
        <f>T("Ouvrages en cuir naturel ou reconstitué (sauf meubles; appareils d'éclairage; articles de bijouterie fantaisie; boutons et leurs parties; boutons de manchette; jouets, jeux et engins sportifs; fouets, cravaches et articles simil.; articles de sellerie ou")</f>
        <v>Ouvrages en cuir naturel ou reconstitué (sauf meubles; appareils d'éclairage; articles de bijouterie fantaisie; boutons et leurs parties; boutons de manchette; jouets, jeux et engins sportifs; fouets, cravaches et articles simil.; articles de sellerie ou</v>
      </c>
    </row>
    <row r="5350" spans="1:4" x14ac:dyDescent="0.25">
      <c r="A5350" t="str">
        <f>T("   ZZZ_Monde")</f>
        <v xml:space="preserve">   ZZZ_Monde</v>
      </c>
      <c r="B5350" t="str">
        <f>T("   ZZZ_Monde")</f>
        <v xml:space="preserve">   ZZZ_Monde</v>
      </c>
      <c r="C5350">
        <v>86213</v>
      </c>
      <c r="D5350">
        <v>40</v>
      </c>
    </row>
    <row r="5351" spans="1:4" x14ac:dyDescent="0.25">
      <c r="A5351" t="str">
        <f>T("   CN")</f>
        <v xml:space="preserve">   CN</v>
      </c>
      <c r="B5351" t="str">
        <f>T("   Chine")</f>
        <v xml:space="preserve">   Chine</v>
      </c>
      <c r="C5351">
        <v>86213</v>
      </c>
      <c r="D5351">
        <v>40</v>
      </c>
    </row>
    <row r="5352" spans="1:4" x14ac:dyDescent="0.25">
      <c r="A5352" t="str">
        <f>T("440310")</f>
        <v>440310</v>
      </c>
      <c r="B5352" t="str">
        <f>T("Bois bruts, traités avec une peinture, de la créosote ou d'autres agents de conservation (à l'excl. des bois simplement dégrossis ou arrondis pour cannes, parapluies, manches d'outils ou simil., des traverses en bois pour voies ferrées ou simil. ainsi que")</f>
        <v>Bois bruts, traités avec une peinture, de la créosote ou d'autres agents de conservation (à l'excl. des bois simplement dégrossis ou arrondis pour cannes, parapluies, manches d'outils ou simil., des traverses en bois pour voies ferrées ou simil. ainsi que</v>
      </c>
    </row>
    <row r="5353" spans="1:4" x14ac:dyDescent="0.25">
      <c r="A5353" t="str">
        <f>T("   ZZZ_Monde")</f>
        <v xml:space="preserve">   ZZZ_Monde</v>
      </c>
      <c r="B5353" t="str">
        <f>T("   ZZZ_Monde")</f>
        <v xml:space="preserve">   ZZZ_Monde</v>
      </c>
      <c r="C5353">
        <v>221996999</v>
      </c>
      <c r="D5353">
        <v>599534</v>
      </c>
    </row>
    <row r="5354" spans="1:4" x14ac:dyDescent="0.25">
      <c r="A5354" t="str">
        <f>T("   BE")</f>
        <v xml:space="preserve">   BE</v>
      </c>
      <c r="B5354" t="str">
        <f>T("   Belgique")</f>
        <v xml:space="preserve">   Belgique</v>
      </c>
      <c r="C5354">
        <v>84143803</v>
      </c>
      <c r="D5354">
        <v>198510</v>
      </c>
    </row>
    <row r="5355" spans="1:4" x14ac:dyDescent="0.25">
      <c r="A5355" t="str">
        <f>T("   PL")</f>
        <v xml:space="preserve">   PL</v>
      </c>
      <c r="B5355" t="str">
        <f>T("   Pologne")</f>
        <v xml:space="preserve">   Pologne</v>
      </c>
      <c r="C5355">
        <v>81223117</v>
      </c>
      <c r="D5355">
        <v>255100</v>
      </c>
    </row>
    <row r="5356" spans="1:4" x14ac:dyDescent="0.25">
      <c r="A5356" t="str">
        <f>T("   TG")</f>
        <v xml:space="preserve">   TG</v>
      </c>
      <c r="B5356" t="str">
        <f>T("   Togo")</f>
        <v xml:space="preserve">   Togo</v>
      </c>
      <c r="C5356">
        <v>56630079</v>
      </c>
      <c r="D5356">
        <v>145924</v>
      </c>
    </row>
    <row r="5357" spans="1:4" x14ac:dyDescent="0.25">
      <c r="A5357" t="str">
        <f>T("440729")</f>
        <v>440729</v>
      </c>
      <c r="B5357" t="str">
        <f>T("Bois tropicaux visés à la note 1 de sous-position du présent chapitre, sciés ou dédossés longitudinalement, tranchés ou déroulés, même rabotés, poncés ou collés par assemblage en bout, d'une épaisseur &gt; 6 mm (sauf virola, mahogany 'Swietenia spp.', imbuia")</f>
        <v>Bois tropicaux visés à la note 1 de sous-position du présent chapitre, sciés ou dédossés longitudinalement, tranchés ou déroulés, même rabotés, poncés ou collés par assemblage en bout, d'une épaisseur &gt; 6 mm (sauf virola, mahogany 'Swietenia spp.', imbuia</v>
      </c>
    </row>
    <row r="5358" spans="1:4" x14ac:dyDescent="0.25">
      <c r="A5358" t="str">
        <f>T("   ZZZ_Monde")</f>
        <v xml:space="preserve">   ZZZ_Monde</v>
      </c>
      <c r="B5358" t="str">
        <f>T("   ZZZ_Monde")</f>
        <v xml:space="preserve">   ZZZ_Monde</v>
      </c>
      <c r="C5358">
        <v>22784442</v>
      </c>
      <c r="D5358">
        <v>789430</v>
      </c>
    </row>
    <row r="5359" spans="1:4" x14ac:dyDescent="0.25">
      <c r="A5359" t="str">
        <f>T("   NG")</f>
        <v xml:space="preserve">   NG</v>
      </c>
      <c r="B5359" t="str">
        <f>T("   Nigéria")</f>
        <v xml:space="preserve">   Nigéria</v>
      </c>
      <c r="C5359">
        <v>22784442</v>
      </c>
      <c r="D5359">
        <v>789430</v>
      </c>
    </row>
    <row r="5360" spans="1:4" x14ac:dyDescent="0.25">
      <c r="A5360" t="str">
        <f>T("440799")</f>
        <v>440799</v>
      </c>
      <c r="B5360" t="str">
        <f>T("Bois sciés ou dédossés longitudinalement, tranchés ou déroulés, d'une épaisseur &gt; 6 mm, même rabotés, poncés ou collés par assemblage en bout (à l'excl. des bois tropicaux visés à la note 1 de sous-position du présent chapitre ainsi que des bois de conifè")</f>
        <v>Bois sciés ou dédossés longitudinalement, tranchés ou déroulés, d'une épaisseur &gt; 6 mm, même rabotés, poncés ou collés par assemblage en bout (à l'excl. des bois tropicaux visés à la note 1 de sous-position du présent chapitre ainsi que des bois de conifè</v>
      </c>
    </row>
    <row r="5361" spans="1:4" x14ac:dyDescent="0.25">
      <c r="A5361" t="str">
        <f>T("   ZZZ_Monde")</f>
        <v xml:space="preserve">   ZZZ_Monde</v>
      </c>
      <c r="B5361" t="str">
        <f>T("   ZZZ_Monde")</f>
        <v xml:space="preserve">   ZZZ_Monde</v>
      </c>
      <c r="C5361">
        <v>60000</v>
      </c>
      <c r="D5361">
        <v>1000</v>
      </c>
    </row>
    <row r="5362" spans="1:4" x14ac:dyDescent="0.25">
      <c r="A5362" t="str">
        <f>T("   GA")</f>
        <v xml:space="preserve">   GA</v>
      </c>
      <c r="B5362" t="str">
        <f>T("   Gabon")</f>
        <v xml:space="preserve">   Gabon</v>
      </c>
      <c r="C5362">
        <v>60000</v>
      </c>
      <c r="D5362">
        <v>1000</v>
      </c>
    </row>
    <row r="5363" spans="1:4" x14ac:dyDescent="0.25">
      <c r="A5363" t="str">
        <f>T("440890")</f>
        <v>440890</v>
      </c>
      <c r="B5363" t="str">
        <f>T("FEUILLES POUR PLACAGE - Y.C. CELLES OBTENUES PAR TRANCHAGE DE BOIS STRATIFIÉ -,  FEUILLES POUR CONTRE-PLAQUÉS OU POUR AUTRES BOIS STRATIFIÉS SIMIL. ET AUTRES BOIS SCIÉS LONGITUDINALEMENT, TRANCHÉS OU DÉROULÉS, MÊME RABOTÉS, PONCÉS, ASSEMBLÉS BORD À BORD O")</f>
        <v>FEUILLES POUR PLACAGE - Y.C. CELLES OBTENUES PAR TRANCHAGE DE BOIS STRATIFIÉ -,  FEUILLES POUR CONTRE-PLAQUÉS OU POUR AUTRES BOIS STRATIFIÉS SIMIL. ET AUTRES BOIS SCIÉS LONGITUDINALEMENT, TRANCHÉS OU DÉROULÉS, MÊME RABOTÉS, PONCÉS, ASSEMBLÉS BORD À BORD O</v>
      </c>
    </row>
    <row r="5364" spans="1:4" x14ac:dyDescent="0.25">
      <c r="A5364" t="str">
        <f>T("   ZZZ_Monde")</f>
        <v xml:space="preserve">   ZZZ_Monde</v>
      </c>
      <c r="B5364" t="str">
        <f>T("   ZZZ_Monde")</f>
        <v xml:space="preserve">   ZZZ_Monde</v>
      </c>
      <c r="C5364">
        <v>110543110</v>
      </c>
      <c r="D5364">
        <v>420000</v>
      </c>
    </row>
    <row r="5365" spans="1:4" x14ac:dyDescent="0.25">
      <c r="A5365" t="str">
        <f>T("   FR")</f>
        <v xml:space="preserve">   FR</v>
      </c>
      <c r="B5365" t="str">
        <f>T("   France")</f>
        <v xml:space="preserve">   France</v>
      </c>
      <c r="C5365">
        <v>7279879</v>
      </c>
      <c r="D5365">
        <v>26000</v>
      </c>
    </row>
    <row r="5366" spans="1:4" x14ac:dyDescent="0.25">
      <c r="A5366" t="str">
        <f>T("   GH")</f>
        <v xml:space="preserve">   GH</v>
      </c>
      <c r="B5366" t="str">
        <f>T("   Ghana")</f>
        <v xml:space="preserve">   Ghana</v>
      </c>
      <c r="C5366">
        <v>42131532</v>
      </c>
      <c r="D5366">
        <v>160000</v>
      </c>
    </row>
    <row r="5367" spans="1:4" x14ac:dyDescent="0.25">
      <c r="A5367" t="str">
        <f>T("   TG")</f>
        <v xml:space="preserve">   TG</v>
      </c>
      <c r="B5367" t="str">
        <f>T("   Togo")</f>
        <v xml:space="preserve">   Togo</v>
      </c>
      <c r="C5367">
        <v>61131699</v>
      </c>
      <c r="D5367">
        <v>234000</v>
      </c>
    </row>
    <row r="5368" spans="1:4" x14ac:dyDescent="0.25">
      <c r="A5368" t="str">
        <f>T("441019")</f>
        <v>441019</v>
      </c>
      <c r="B5368" t="str">
        <f>T("PANNEAUX DITS 'WAFERBOARD' ET PANNEAUX SIMIL., EN BOIS, MÊME AGGLOMÉRÉS AVEC DES RÉSINES OU D'AUTRES LIANTS ORGANIQUES (SAUF BRUTS OU SIMPL. PONCÉS AINSI QUE DES PANNEAUX DITS 'ORIENTED STRAND BOARD', DES PANNEAUX DE FIBRES ET DES PANNEAUX CELLULAIRES)")</f>
        <v>PANNEAUX DITS 'WAFERBOARD' ET PANNEAUX SIMIL., EN BOIS, MÊME AGGLOMÉRÉS AVEC DES RÉSINES OU D'AUTRES LIANTS ORGANIQUES (SAUF BRUTS OU SIMPL. PONCÉS AINSI QUE DES PANNEAUX DITS 'ORIENTED STRAND BOARD', DES PANNEAUX DE FIBRES ET DES PANNEAUX CELLULAIRES)</v>
      </c>
    </row>
    <row r="5369" spans="1:4" x14ac:dyDescent="0.25">
      <c r="A5369" t="str">
        <f>T("   ZZZ_Monde")</f>
        <v xml:space="preserve">   ZZZ_Monde</v>
      </c>
      <c r="B5369" t="str">
        <f>T("   ZZZ_Monde")</f>
        <v xml:space="preserve">   ZZZ_Monde</v>
      </c>
      <c r="C5369">
        <v>177122</v>
      </c>
      <c r="D5369">
        <v>9220</v>
      </c>
    </row>
    <row r="5370" spans="1:4" x14ac:dyDescent="0.25">
      <c r="A5370" t="str">
        <f>T("   TG")</f>
        <v xml:space="preserve">   TG</v>
      </c>
      <c r="B5370" t="str">
        <f>T("   Togo")</f>
        <v xml:space="preserve">   Togo</v>
      </c>
      <c r="C5370">
        <v>177122</v>
      </c>
      <c r="D5370">
        <v>9220</v>
      </c>
    </row>
    <row r="5371" spans="1:4" x14ac:dyDescent="0.25">
      <c r="A5371" t="str">
        <f>T("441029")</f>
        <v>441029</v>
      </c>
      <c r="B5371" t="str">
        <f>T("Panneaux dits 'oriented strand board' et panneaux dits 'waferboard', en bois (sauf bruts ou simplement poncés)")</f>
        <v>Panneaux dits 'oriented strand board' et panneaux dits 'waferboard', en bois (sauf bruts ou simplement poncés)</v>
      </c>
    </row>
    <row r="5372" spans="1:4" x14ac:dyDescent="0.25">
      <c r="A5372" t="str">
        <f>T("   ZZZ_Monde")</f>
        <v xml:space="preserve">   ZZZ_Monde</v>
      </c>
      <c r="B5372" t="str">
        <f>T("   ZZZ_Monde")</f>
        <v xml:space="preserve">   ZZZ_Monde</v>
      </c>
      <c r="C5372">
        <v>13397331</v>
      </c>
      <c r="D5372">
        <v>105616</v>
      </c>
    </row>
    <row r="5373" spans="1:4" x14ac:dyDescent="0.25">
      <c r="A5373" t="str">
        <f>T("   SE")</f>
        <v xml:space="preserve">   SE</v>
      </c>
      <c r="B5373" t="str">
        <f>T("   Suède")</f>
        <v xml:space="preserve">   Suède</v>
      </c>
      <c r="C5373">
        <v>13338291</v>
      </c>
      <c r="D5373">
        <v>105416</v>
      </c>
    </row>
    <row r="5374" spans="1:4" x14ac:dyDescent="0.25">
      <c r="A5374" t="str">
        <f>T("   TG")</f>
        <v xml:space="preserve">   TG</v>
      </c>
      <c r="B5374" t="str">
        <f>T("   Togo")</f>
        <v xml:space="preserve">   Togo</v>
      </c>
      <c r="C5374">
        <v>59040</v>
      </c>
      <c r="D5374">
        <v>200</v>
      </c>
    </row>
    <row r="5375" spans="1:4" x14ac:dyDescent="0.25">
      <c r="A5375" t="str">
        <f>T("441111")</f>
        <v>441111</v>
      </c>
      <c r="B5375" t="str">
        <f>T("PANNEAUX DE FIBRES DE BOIS OU AUTRES MATIÈRES LIGNEUSES, MÊME AGGLOMÉRÉES AVEC DES LIANTS ORGANIQUES, D'UNE MASSE VOLUMIQUE &gt; 0,8 G/CM³, NON-OUVRÉS MÉCANIQUEMENT NI RECOUVERTS EN SURFACE (SAUF CARTON, PANNEAUX DE PARTICULES, MÊME STRATIFIÉS, BOIS STRATIFI")</f>
        <v>PANNEAUX DE FIBRES DE BOIS OU AUTRES MATIÈRES LIGNEUSES, MÊME AGGLOMÉRÉES AVEC DES LIANTS ORGANIQUES, D'UNE MASSE VOLUMIQUE &gt; 0,8 G/CM³, NON-OUVRÉS MÉCANIQUEMENT NI RECOUVERTS EN SURFACE (SAUF CARTON, PANNEAUX DE PARTICULES, MÊME STRATIFIÉS, BOIS STRATIFI</v>
      </c>
    </row>
    <row r="5376" spans="1:4" x14ac:dyDescent="0.25">
      <c r="A5376" t="str">
        <f>T("   ZZZ_Monde")</f>
        <v xml:space="preserve">   ZZZ_Monde</v>
      </c>
      <c r="B5376" t="str">
        <f>T("   ZZZ_Monde")</f>
        <v xml:space="preserve">   ZZZ_Monde</v>
      </c>
      <c r="C5376">
        <v>631304</v>
      </c>
      <c r="D5376">
        <v>769</v>
      </c>
    </row>
    <row r="5377" spans="1:4" x14ac:dyDescent="0.25">
      <c r="A5377" t="str">
        <f>T("   GH")</f>
        <v xml:space="preserve">   GH</v>
      </c>
      <c r="B5377" t="str">
        <f>T("   Ghana")</f>
        <v xml:space="preserve">   Ghana</v>
      </c>
      <c r="C5377">
        <v>631304</v>
      </c>
      <c r="D5377">
        <v>769</v>
      </c>
    </row>
    <row r="5378" spans="1:4" x14ac:dyDescent="0.25">
      <c r="A5378" t="str">
        <f>T("441119")</f>
        <v>441119</v>
      </c>
      <c r="B5378" t="str">
        <f>T("Panneaux de fibres de bois ou autres matières ligneuses, même agglomérées avec des liants organiques, d'une masse volumique &gt; 0,8 g/cm³, ouvrés mécaniquement ou recouverts en surface (sauf carton, panneaux simpl. poncés ou de particules, même stratifiés,")</f>
        <v>Panneaux de fibres de bois ou autres matières ligneuses, même agglomérées avec des liants organiques, d'une masse volumique &gt; 0,8 g/cm³, ouvrés mécaniquement ou recouverts en surface (sauf carton, panneaux simpl. poncés ou de particules, même stratifiés,</v>
      </c>
    </row>
    <row r="5379" spans="1:4" x14ac:dyDescent="0.25">
      <c r="A5379" t="str">
        <f>T("   ZZZ_Monde")</f>
        <v xml:space="preserve">   ZZZ_Monde</v>
      </c>
      <c r="B5379" t="str">
        <f>T("   ZZZ_Monde")</f>
        <v xml:space="preserve">   ZZZ_Monde</v>
      </c>
      <c r="C5379">
        <v>45909983</v>
      </c>
      <c r="D5379">
        <v>304878</v>
      </c>
    </row>
    <row r="5380" spans="1:4" x14ac:dyDescent="0.25">
      <c r="A5380" t="str">
        <f>T("   AR")</f>
        <v xml:space="preserve">   AR</v>
      </c>
      <c r="B5380" t="str">
        <f>T("   Argentine")</f>
        <v xml:space="preserve">   Argentine</v>
      </c>
      <c r="C5380">
        <v>26338762</v>
      </c>
      <c r="D5380">
        <v>184478</v>
      </c>
    </row>
    <row r="5381" spans="1:4" x14ac:dyDescent="0.25">
      <c r="A5381" t="str">
        <f>T("   FR")</f>
        <v xml:space="preserve">   FR</v>
      </c>
      <c r="B5381" t="str">
        <f>T("   France")</f>
        <v xml:space="preserve">   France</v>
      </c>
      <c r="C5381">
        <v>19571221</v>
      </c>
      <c r="D5381">
        <v>120400</v>
      </c>
    </row>
    <row r="5382" spans="1:4" x14ac:dyDescent="0.25">
      <c r="A5382" t="str">
        <f>T("441129")</f>
        <v>441129</v>
      </c>
      <c r="B5382" t="str">
        <f>T("Panneaux de fibres de bois ou autres matières ligneuses, même agglomérées avec des liants organiques, d'une masse volumique &gt; 0,5 g/cm³ mais &lt;= 0,8 g/cm³, ouvrés mécaniquement ou recouverts en surface (sauf carton, panneaux simpl. poncés ou de particules,")</f>
        <v>Panneaux de fibres de bois ou autres matières ligneuses, même agglomérées avec des liants organiques, d'une masse volumique &gt; 0,5 g/cm³ mais &lt;= 0,8 g/cm³, ouvrés mécaniquement ou recouverts en surface (sauf carton, panneaux simpl. poncés ou de particules,</v>
      </c>
    </row>
    <row r="5383" spans="1:4" x14ac:dyDescent="0.25">
      <c r="A5383" t="str">
        <f>T("   ZZZ_Monde")</f>
        <v xml:space="preserve">   ZZZ_Monde</v>
      </c>
      <c r="B5383" t="str">
        <f>T("   ZZZ_Monde")</f>
        <v xml:space="preserve">   ZZZ_Monde</v>
      </c>
      <c r="C5383">
        <v>3656961</v>
      </c>
      <c r="D5383">
        <v>23376</v>
      </c>
    </row>
    <row r="5384" spans="1:4" x14ac:dyDescent="0.25">
      <c r="A5384" t="str">
        <f>T("   BR")</f>
        <v xml:space="preserve">   BR</v>
      </c>
      <c r="B5384" t="str">
        <f>T("   Brésil")</f>
        <v xml:space="preserve">   Brésil</v>
      </c>
      <c r="C5384">
        <v>3656961</v>
      </c>
      <c r="D5384">
        <v>23376</v>
      </c>
    </row>
    <row r="5385" spans="1:4" x14ac:dyDescent="0.25">
      <c r="A5385" t="str">
        <f>T("441199")</f>
        <v>441199</v>
      </c>
      <c r="B5385" t="str">
        <f>T("Panneaux de fibres de bois ou autres matières ligneuses, même agglomérées avec des liants organiques, d'une masse volumique &lt;= 0,35 g/cm³, ouvrés mécaniquement ou recouverts en surface (sauf carton, panneaux simplement poncés ou de particules, même strati")</f>
        <v>Panneaux de fibres de bois ou autres matières ligneuses, même agglomérées avec des liants organiques, d'une masse volumique &lt;= 0,35 g/cm³, ouvrés mécaniquement ou recouverts en surface (sauf carton, panneaux simplement poncés ou de particules, même strati</v>
      </c>
    </row>
    <row r="5386" spans="1:4" x14ac:dyDescent="0.25">
      <c r="A5386" t="str">
        <f>T("   ZZZ_Monde")</f>
        <v xml:space="preserve">   ZZZ_Monde</v>
      </c>
      <c r="B5386" t="str">
        <f>T("   ZZZ_Monde")</f>
        <v xml:space="preserve">   ZZZ_Monde</v>
      </c>
      <c r="C5386">
        <v>95585767</v>
      </c>
      <c r="D5386">
        <v>473626</v>
      </c>
    </row>
    <row r="5387" spans="1:4" x14ac:dyDescent="0.25">
      <c r="A5387" t="str">
        <f>T("   BR")</f>
        <v xml:space="preserve">   BR</v>
      </c>
      <c r="B5387" t="str">
        <f>T("   Brésil")</f>
        <v xml:space="preserve">   Brésil</v>
      </c>
      <c r="C5387">
        <v>43880661</v>
      </c>
      <c r="D5387">
        <v>280307</v>
      </c>
    </row>
    <row r="5388" spans="1:4" x14ac:dyDescent="0.25">
      <c r="A5388" t="str">
        <f>T("   DE")</f>
        <v xml:space="preserve">   DE</v>
      </c>
      <c r="B5388" t="str">
        <f>T("   Allemagne")</f>
        <v xml:space="preserve">   Allemagne</v>
      </c>
      <c r="C5388">
        <v>22100431</v>
      </c>
      <c r="D5388">
        <v>98500</v>
      </c>
    </row>
    <row r="5389" spans="1:4" x14ac:dyDescent="0.25">
      <c r="A5389" t="str">
        <f>T("   FR")</f>
        <v xml:space="preserve">   FR</v>
      </c>
      <c r="B5389" t="str">
        <f>T("   France")</f>
        <v xml:space="preserve">   France</v>
      </c>
      <c r="C5389">
        <v>13350098</v>
      </c>
      <c r="D5389">
        <v>44150</v>
      </c>
    </row>
    <row r="5390" spans="1:4" x14ac:dyDescent="0.25">
      <c r="A5390" t="str">
        <f>T("   IT")</f>
        <v xml:space="preserve">   IT</v>
      </c>
      <c r="B5390" t="str">
        <f>T("   Italie")</f>
        <v xml:space="preserve">   Italie</v>
      </c>
      <c r="C5390">
        <v>9224654</v>
      </c>
      <c r="D5390">
        <v>9919</v>
      </c>
    </row>
    <row r="5391" spans="1:4" x14ac:dyDescent="0.25">
      <c r="A5391" t="str">
        <f>T("   PA")</f>
        <v xml:space="preserve">   PA</v>
      </c>
      <c r="B5391" t="str">
        <f>T("   Panama")</f>
        <v xml:space="preserve">   Panama</v>
      </c>
      <c r="C5391">
        <v>7029923</v>
      </c>
      <c r="D5391">
        <v>40750</v>
      </c>
    </row>
    <row r="5392" spans="1:4" x14ac:dyDescent="0.25">
      <c r="A5392" t="str">
        <f>T("441211")</f>
        <v>441211</v>
      </c>
      <c r="B5392" t="str">
        <f>T("BOIS CONTRE-PLAQUÉS CONSTITUES EXCLUSIVEMENT DE FEUILLES DE BOIS DONT CHACUNE A UNE ÉPAISSEUR =&lt; 6 MM, AYANT AU MOINS UN PLI EXTERIEUR EN BOIS TROPICAUX ENUMERES CI-APRES : DARK RED OU LIGHT RED MERANTI, WHITE LAUAN, SIPO, LIMBA, OKOUME, OBECHE, ACAJOU D'")</f>
        <v>BOIS CONTRE-PLAQUÉS CONSTITUES EXCLUSIVEMENT DE FEUILLES DE BOIS DONT CHACUNE A UNE ÉPAISSEUR =&lt; 6 MM, AYANT AU MOINS UN PLI EXTERIEUR EN BOIS TROPICAUX ENUMERES CI-APRES : DARK RED OU LIGHT RED MERANTI, WHITE LAUAN, SIPO, LIMBA, OKOUME, OBECHE, ACAJOU D'</v>
      </c>
    </row>
    <row r="5393" spans="1:4" x14ac:dyDescent="0.25">
      <c r="A5393" t="str">
        <f>T("   ZZZ_Monde")</f>
        <v xml:space="preserve">   ZZZ_Monde</v>
      </c>
      <c r="B5393" t="str">
        <f>T("   ZZZ_Monde")</f>
        <v xml:space="preserve">   ZZZ_Monde</v>
      </c>
      <c r="C5393">
        <v>32769</v>
      </c>
      <c r="D5393">
        <v>180</v>
      </c>
    </row>
    <row r="5394" spans="1:4" x14ac:dyDescent="0.25">
      <c r="A5394" t="str">
        <f>T("   TG")</f>
        <v xml:space="preserve">   TG</v>
      </c>
      <c r="B5394" t="str">
        <f>T("   Togo")</f>
        <v xml:space="preserve">   Togo</v>
      </c>
      <c r="C5394">
        <v>32769</v>
      </c>
      <c r="D5394">
        <v>180</v>
      </c>
    </row>
    <row r="5395" spans="1:4" x14ac:dyDescent="0.25">
      <c r="A5395" t="str">
        <f>T("441213")</f>
        <v>441213</v>
      </c>
      <c r="B5395" t="str">
        <f>T("Bois contre-plaqués constitués exclusivement de feuilles de bois dont chacune a une épaisseur &lt;= 6 mm, ayant au moins un pli extérieur en bois tropicaux visés à la note 1 de sous-position du présent chapitre (à l'excl. des panneaux en bois dits 'densifiés")</f>
        <v>Bois contre-plaqués constitués exclusivement de feuilles de bois dont chacune a une épaisseur &lt;= 6 mm, ayant au moins un pli extérieur en bois tropicaux visés à la note 1 de sous-position du présent chapitre (à l'excl. des panneaux en bois dits 'densifiés</v>
      </c>
    </row>
    <row r="5396" spans="1:4" x14ac:dyDescent="0.25">
      <c r="A5396" t="str">
        <f>T("   ZZZ_Monde")</f>
        <v xml:space="preserve">   ZZZ_Monde</v>
      </c>
      <c r="B5396" t="str">
        <f>T("   ZZZ_Monde")</f>
        <v xml:space="preserve">   ZZZ_Monde</v>
      </c>
      <c r="C5396">
        <v>340678800</v>
      </c>
      <c r="D5396">
        <v>1696845</v>
      </c>
    </row>
    <row r="5397" spans="1:4" x14ac:dyDescent="0.25">
      <c r="A5397" t="str">
        <f>T("   BR")</f>
        <v xml:space="preserve">   BR</v>
      </c>
      <c r="B5397" t="str">
        <f>T("   Brésil")</f>
        <v xml:space="preserve">   Brésil</v>
      </c>
      <c r="C5397">
        <v>16000000</v>
      </c>
      <c r="D5397">
        <v>200000</v>
      </c>
    </row>
    <row r="5398" spans="1:4" x14ac:dyDescent="0.25">
      <c r="A5398" t="str">
        <f>T("   CN")</f>
        <v xml:space="preserve">   CN</v>
      </c>
      <c r="B5398" t="str">
        <f>T("   Chine")</f>
        <v xml:space="preserve">   Chine</v>
      </c>
      <c r="C5398">
        <v>66596944</v>
      </c>
      <c r="D5398">
        <v>561840</v>
      </c>
    </row>
    <row r="5399" spans="1:4" x14ac:dyDescent="0.25">
      <c r="A5399" t="str">
        <f>T("   GH")</f>
        <v xml:space="preserve">   GH</v>
      </c>
      <c r="B5399" t="str">
        <f>T("   Ghana")</f>
        <v xml:space="preserve">   Ghana</v>
      </c>
      <c r="C5399">
        <v>201769268</v>
      </c>
      <c r="D5399">
        <v>727385</v>
      </c>
    </row>
    <row r="5400" spans="1:4" x14ac:dyDescent="0.25">
      <c r="A5400" t="str">
        <f>T("   SG")</f>
        <v xml:space="preserve">   SG</v>
      </c>
      <c r="B5400" t="str">
        <f>T("   Singapour")</f>
        <v xml:space="preserve">   Singapour</v>
      </c>
      <c r="C5400">
        <v>4359295</v>
      </c>
      <c r="D5400">
        <v>14800</v>
      </c>
    </row>
    <row r="5401" spans="1:4" x14ac:dyDescent="0.25">
      <c r="A5401" t="str">
        <f>T("   TG")</f>
        <v xml:space="preserve">   TG</v>
      </c>
      <c r="B5401" t="str">
        <f>T("   Togo")</f>
        <v xml:space="preserve">   Togo</v>
      </c>
      <c r="C5401">
        <v>51953293</v>
      </c>
      <c r="D5401">
        <v>192820</v>
      </c>
    </row>
    <row r="5402" spans="1:4" x14ac:dyDescent="0.25">
      <c r="A5402" t="str">
        <f>T("441219")</f>
        <v>441219</v>
      </c>
      <c r="B5402" t="str">
        <f>T("Bois contre-plaqués constitués exclusivement de feuilles de bois dont chacune a une épaisseur &lt;= 6 mm (à l'excl. des bois contre-plaqués du n° 4412.13 et 4412.14, des panneaux en bois dits 'densifiés', des panneaux cellulaires en bois, des bois marquetés")</f>
        <v>Bois contre-plaqués constitués exclusivement de feuilles de bois dont chacune a une épaisseur &lt;= 6 mm (à l'excl. des bois contre-plaqués du n° 4412.13 et 4412.14, des panneaux en bois dits 'densifiés', des panneaux cellulaires en bois, des bois marquetés</v>
      </c>
    </row>
    <row r="5403" spans="1:4" x14ac:dyDescent="0.25">
      <c r="A5403" t="str">
        <f>T("   ZZZ_Monde")</f>
        <v xml:space="preserve">   ZZZ_Monde</v>
      </c>
      <c r="B5403" t="str">
        <f>T("   ZZZ_Monde")</f>
        <v xml:space="preserve">   ZZZ_Monde</v>
      </c>
      <c r="C5403">
        <v>308552948</v>
      </c>
      <c r="D5403">
        <v>949798</v>
      </c>
    </row>
    <row r="5404" spans="1:4" x14ac:dyDescent="0.25">
      <c r="A5404" t="str">
        <f>T("   CI")</f>
        <v xml:space="preserve">   CI</v>
      </c>
      <c r="B5404" t="str">
        <f>T("   Côte d'Ivoire")</f>
        <v xml:space="preserve">   Côte d'Ivoire</v>
      </c>
      <c r="C5404">
        <v>71479511</v>
      </c>
      <c r="D5404">
        <v>174633</v>
      </c>
    </row>
    <row r="5405" spans="1:4" x14ac:dyDescent="0.25">
      <c r="A5405" t="str">
        <f>T("   CN")</f>
        <v xml:space="preserve">   CN</v>
      </c>
      <c r="B5405" t="str">
        <f>T("   Chine")</f>
        <v xml:space="preserve">   Chine</v>
      </c>
      <c r="C5405">
        <v>97797203</v>
      </c>
      <c r="D5405">
        <v>359365</v>
      </c>
    </row>
    <row r="5406" spans="1:4" x14ac:dyDescent="0.25">
      <c r="A5406" t="str">
        <f>T("   FR")</f>
        <v xml:space="preserve">   FR</v>
      </c>
      <c r="B5406" t="str">
        <f>T("   France")</f>
        <v xml:space="preserve">   France</v>
      </c>
      <c r="C5406">
        <v>44037219</v>
      </c>
      <c r="D5406">
        <v>161925</v>
      </c>
    </row>
    <row r="5407" spans="1:4" x14ac:dyDescent="0.25">
      <c r="A5407" t="str">
        <f>T("   GH")</f>
        <v xml:space="preserve">   GH</v>
      </c>
      <c r="B5407" t="str">
        <f>T("   Ghana")</f>
        <v xml:space="preserve">   Ghana</v>
      </c>
      <c r="C5407">
        <v>73903651</v>
      </c>
      <c r="D5407">
        <v>159240</v>
      </c>
    </row>
    <row r="5408" spans="1:4" x14ac:dyDescent="0.25">
      <c r="A5408" t="str">
        <f>T("   IT")</f>
        <v xml:space="preserve">   IT</v>
      </c>
      <c r="B5408" t="str">
        <f>T("   Italie")</f>
        <v xml:space="preserve">   Italie</v>
      </c>
      <c r="C5408">
        <v>98394</v>
      </c>
      <c r="D5408">
        <v>1000</v>
      </c>
    </row>
    <row r="5409" spans="1:4" x14ac:dyDescent="0.25">
      <c r="A5409" t="str">
        <f>T("   TG")</f>
        <v xml:space="preserve">   TG</v>
      </c>
      <c r="B5409" t="str">
        <f>T("   Togo")</f>
        <v xml:space="preserve">   Togo</v>
      </c>
      <c r="C5409">
        <v>21236970</v>
      </c>
      <c r="D5409">
        <v>93635</v>
      </c>
    </row>
    <row r="5410" spans="1:4" x14ac:dyDescent="0.25">
      <c r="A5410" t="str">
        <f>T("441223")</f>
        <v>441223</v>
      </c>
      <c r="B5410" t="str">
        <f>T("Bois plaqués et bois stratifiés simil., ayant au moins un pli extérieur en bois autres que de conifères et autres que de bois tropicaux visés à la note 1 de sous-position du présent chapitre et contenant au moins un panneau de particules (à l'excl. des pa")</f>
        <v>Bois plaqués et bois stratifiés simil., ayant au moins un pli extérieur en bois autres que de conifères et autres que de bois tropicaux visés à la note 1 de sous-position du présent chapitre et contenant au moins un panneau de particules (à l'excl. des pa</v>
      </c>
    </row>
    <row r="5411" spans="1:4" x14ac:dyDescent="0.25">
      <c r="A5411" t="str">
        <f>T("   ZZZ_Monde")</f>
        <v xml:space="preserve">   ZZZ_Monde</v>
      </c>
      <c r="B5411" t="str">
        <f>T("   ZZZ_Monde")</f>
        <v xml:space="preserve">   ZZZ_Monde</v>
      </c>
      <c r="C5411">
        <v>22276837</v>
      </c>
      <c r="D5411">
        <v>69760</v>
      </c>
    </row>
    <row r="5412" spans="1:4" x14ac:dyDescent="0.25">
      <c r="A5412" t="str">
        <f>T("   GH")</f>
        <v xml:space="preserve">   GH</v>
      </c>
      <c r="B5412" t="str">
        <f>T("   Ghana")</f>
        <v xml:space="preserve">   Ghana</v>
      </c>
      <c r="C5412">
        <v>22276837</v>
      </c>
      <c r="D5412">
        <v>69760</v>
      </c>
    </row>
    <row r="5413" spans="1:4" x14ac:dyDescent="0.25">
      <c r="A5413" t="str">
        <f>T("441229")</f>
        <v>441229</v>
      </c>
      <c r="B5413" t="str">
        <f>T("Bois plaqués et bois stratifiés simil., ayant au moins un pli extérieur en bois autres que de conifères et autres que de bois tropicaux visés à la note 1 de sous-position du présent chapitre, ne contenant pas de panneaux de particules (à l'excl. des bois")</f>
        <v>Bois plaqués et bois stratifiés simil., ayant au moins un pli extérieur en bois autres que de conifères et autres que de bois tropicaux visés à la note 1 de sous-position du présent chapitre, ne contenant pas de panneaux de particules (à l'excl. des bois</v>
      </c>
    </row>
    <row r="5414" spans="1:4" x14ac:dyDescent="0.25">
      <c r="A5414" t="str">
        <f>T("   ZZZ_Monde")</f>
        <v xml:space="preserve">   ZZZ_Monde</v>
      </c>
      <c r="B5414" t="str">
        <f>T("   ZZZ_Monde")</f>
        <v xml:space="preserve">   ZZZ_Monde</v>
      </c>
      <c r="C5414">
        <v>94927795</v>
      </c>
      <c r="D5414">
        <v>541666</v>
      </c>
    </row>
    <row r="5415" spans="1:4" x14ac:dyDescent="0.25">
      <c r="A5415" t="str">
        <f>T("   CI")</f>
        <v xml:space="preserve">   CI</v>
      </c>
      <c r="B5415" t="str">
        <f>T("   Côte d'Ivoire")</f>
        <v xml:space="preserve">   Côte d'Ivoire</v>
      </c>
      <c r="C5415">
        <v>21359882</v>
      </c>
      <c r="D5415">
        <v>46821</v>
      </c>
    </row>
    <row r="5416" spans="1:4" x14ac:dyDescent="0.25">
      <c r="A5416" t="str">
        <f>T("   CN")</f>
        <v xml:space="preserve">   CN</v>
      </c>
      <c r="B5416" t="str">
        <f>T("   Chine")</f>
        <v xml:space="preserve">   Chine</v>
      </c>
      <c r="C5416">
        <v>10300000</v>
      </c>
      <c r="D5416">
        <v>93100</v>
      </c>
    </row>
    <row r="5417" spans="1:4" x14ac:dyDescent="0.25">
      <c r="A5417" t="str">
        <f>T("   GH")</f>
        <v xml:space="preserve">   GH</v>
      </c>
      <c r="B5417" t="str">
        <f>T("   Ghana")</f>
        <v xml:space="preserve">   Ghana</v>
      </c>
      <c r="C5417">
        <v>17735000</v>
      </c>
      <c r="D5417">
        <v>55000</v>
      </c>
    </row>
    <row r="5418" spans="1:4" x14ac:dyDescent="0.25">
      <c r="A5418" t="str">
        <f>T("   NG")</f>
        <v xml:space="preserve">   NG</v>
      </c>
      <c r="B5418" t="str">
        <f>T("   Nigéria")</f>
        <v xml:space="preserve">   Nigéria</v>
      </c>
      <c r="C5418">
        <v>5077804</v>
      </c>
      <c r="D5418">
        <v>5320</v>
      </c>
    </row>
    <row r="5419" spans="1:4" x14ac:dyDescent="0.25">
      <c r="A5419" t="str">
        <f>T("   TG")</f>
        <v xml:space="preserve">   TG</v>
      </c>
      <c r="B5419" t="str">
        <f>T("   Togo")</f>
        <v xml:space="preserve">   Togo</v>
      </c>
      <c r="C5419">
        <v>40455109</v>
      </c>
      <c r="D5419">
        <v>341425</v>
      </c>
    </row>
    <row r="5420" spans="1:4" x14ac:dyDescent="0.25">
      <c r="A5420" t="str">
        <f>T("441299")</f>
        <v>441299</v>
      </c>
      <c r="B5420" t="str">
        <f>T("BOIS PLAQUÉS ET BOIS STRATIFIÉS SIMIL., SANS ÂME PANNEAUTÉE, LATTÉE OU LAMELLÉE (À L'EXCL. DE BAMBOO, DES BOIS CONTRE-PLAQUÉS CONSTITUÉS EXCLUSIVEMENT DE FEUILLES DE BOIS DONT CHACUNE A UNE ÉPAISSEUR &lt;= 6 MM, DES PANNEAUX EN BOIS DITS 'DENSIFIÉS', DES PAN")</f>
        <v>BOIS PLAQUÉS ET BOIS STRATIFIÉS SIMIL., SANS ÂME PANNEAUTÉE, LATTÉE OU LAMELLÉE (À L'EXCL. DE BAMBOO, DES BOIS CONTRE-PLAQUÉS CONSTITUÉS EXCLUSIVEMENT DE FEUILLES DE BOIS DONT CHACUNE A UNE ÉPAISSEUR &lt;= 6 MM, DES PANNEAUX EN BOIS DITS 'DENSIFIÉS', DES PAN</v>
      </c>
    </row>
    <row r="5421" spans="1:4" x14ac:dyDescent="0.25">
      <c r="A5421" t="str">
        <f>T("   ZZZ_Monde")</f>
        <v xml:space="preserve">   ZZZ_Monde</v>
      </c>
      <c r="B5421" t="str">
        <f>T("   ZZZ_Monde")</f>
        <v xml:space="preserve">   ZZZ_Monde</v>
      </c>
      <c r="C5421">
        <v>217031402</v>
      </c>
      <c r="D5421">
        <v>600432</v>
      </c>
    </row>
    <row r="5422" spans="1:4" x14ac:dyDescent="0.25">
      <c r="A5422" t="str">
        <f>T("   BE")</f>
        <v xml:space="preserve">   BE</v>
      </c>
      <c r="B5422" t="str">
        <f>T("   Belgique")</f>
        <v xml:space="preserve">   Belgique</v>
      </c>
      <c r="C5422">
        <v>130909937</v>
      </c>
      <c r="D5422">
        <v>259200</v>
      </c>
    </row>
    <row r="5423" spans="1:4" x14ac:dyDescent="0.25">
      <c r="A5423" t="str">
        <f>T("   CI")</f>
        <v xml:space="preserve">   CI</v>
      </c>
      <c r="B5423" t="str">
        <f>T("   Côte d'Ivoire")</f>
        <v xml:space="preserve">   Côte d'Ivoire</v>
      </c>
      <c r="C5423">
        <v>6400000</v>
      </c>
      <c r="D5423">
        <v>29000</v>
      </c>
    </row>
    <row r="5424" spans="1:4" x14ac:dyDescent="0.25">
      <c r="A5424" t="str">
        <f>T("   CN")</f>
        <v xml:space="preserve">   CN</v>
      </c>
      <c r="B5424" t="str">
        <f>T("   Chine")</f>
        <v xml:space="preserve">   Chine</v>
      </c>
      <c r="C5424">
        <v>14598780</v>
      </c>
      <c r="D5424">
        <v>64186</v>
      </c>
    </row>
    <row r="5425" spans="1:4" x14ac:dyDescent="0.25">
      <c r="A5425" t="str">
        <f>T("   SG")</f>
        <v xml:space="preserve">   SG</v>
      </c>
      <c r="B5425" t="str">
        <f>T("   Singapour")</f>
        <v xml:space="preserve">   Singapour</v>
      </c>
      <c r="C5425">
        <v>10904365</v>
      </c>
      <c r="D5425">
        <v>39600</v>
      </c>
    </row>
    <row r="5426" spans="1:4" x14ac:dyDescent="0.25">
      <c r="A5426" t="str">
        <f>T("   VN")</f>
        <v xml:space="preserve">   VN</v>
      </c>
      <c r="B5426" t="str">
        <f>T("   Vietnam")</f>
        <v xml:space="preserve">   Vietnam</v>
      </c>
      <c r="C5426">
        <v>54218320</v>
      </c>
      <c r="D5426">
        <v>208446</v>
      </c>
    </row>
    <row r="5427" spans="1:4" x14ac:dyDescent="0.25">
      <c r="A5427" t="str">
        <f>T("441400")</f>
        <v>441400</v>
      </c>
      <c r="B5427" t="str">
        <f>T("Cadres en bois pour tableaux, photographies, miroirs ou objets simil.")</f>
        <v>Cadres en bois pour tableaux, photographies, miroirs ou objets simil.</v>
      </c>
    </row>
    <row r="5428" spans="1:4" x14ac:dyDescent="0.25">
      <c r="A5428" t="str">
        <f>T("   ZZZ_Monde")</f>
        <v xml:space="preserve">   ZZZ_Monde</v>
      </c>
      <c r="B5428" t="str">
        <f>T("   ZZZ_Monde")</f>
        <v xml:space="preserve">   ZZZ_Monde</v>
      </c>
      <c r="C5428">
        <v>54318590</v>
      </c>
      <c r="D5428">
        <v>149338</v>
      </c>
    </row>
    <row r="5429" spans="1:4" x14ac:dyDescent="0.25">
      <c r="A5429" t="str">
        <f>T("   CN")</f>
        <v xml:space="preserve">   CN</v>
      </c>
      <c r="B5429" t="str">
        <f>T("   Chine")</f>
        <v xml:space="preserve">   Chine</v>
      </c>
      <c r="C5429">
        <v>47326369</v>
      </c>
      <c r="D5429">
        <v>144779</v>
      </c>
    </row>
    <row r="5430" spans="1:4" x14ac:dyDescent="0.25">
      <c r="A5430" t="str">
        <f>T("   FR")</f>
        <v xml:space="preserve">   FR</v>
      </c>
      <c r="B5430" t="str">
        <f>T("   France")</f>
        <v xml:space="preserve">   France</v>
      </c>
      <c r="C5430">
        <v>5637977</v>
      </c>
      <c r="D5430">
        <v>1679</v>
      </c>
    </row>
    <row r="5431" spans="1:4" x14ac:dyDescent="0.25">
      <c r="A5431" t="str">
        <f>T("   TG")</f>
        <v xml:space="preserve">   TG</v>
      </c>
      <c r="B5431" t="str">
        <f>T("   Togo")</f>
        <v xml:space="preserve">   Togo</v>
      </c>
      <c r="C5431">
        <v>1354244</v>
      </c>
      <c r="D5431">
        <v>2880</v>
      </c>
    </row>
    <row r="5432" spans="1:4" x14ac:dyDescent="0.25">
      <c r="A5432" t="str">
        <f>T("441510")</f>
        <v>441510</v>
      </c>
      <c r="B5432" t="str">
        <f>T("Caisses, caissettes, cageots, cylindres et emballages simil., en bois; tambours [tourets] pour câbles, en bois")</f>
        <v>Caisses, caissettes, cageots, cylindres et emballages simil., en bois; tambours [tourets] pour câbles, en bois</v>
      </c>
    </row>
    <row r="5433" spans="1:4" x14ac:dyDescent="0.25">
      <c r="A5433" t="str">
        <f>T("   ZZZ_Monde")</f>
        <v xml:space="preserve">   ZZZ_Monde</v>
      </c>
      <c r="B5433" t="str">
        <f>T("   ZZZ_Monde")</f>
        <v xml:space="preserve">   ZZZ_Monde</v>
      </c>
      <c r="C5433">
        <v>19922439</v>
      </c>
      <c r="D5433">
        <v>21751.9</v>
      </c>
    </row>
    <row r="5434" spans="1:4" x14ac:dyDescent="0.25">
      <c r="A5434" t="str">
        <f>T("   CI")</f>
        <v xml:space="preserve">   CI</v>
      </c>
      <c r="B5434" t="str">
        <f>T("   Côte d'Ivoire")</f>
        <v xml:space="preserve">   Côte d'Ivoire</v>
      </c>
      <c r="C5434">
        <v>108800</v>
      </c>
      <c r="D5434">
        <v>640</v>
      </c>
    </row>
    <row r="5435" spans="1:4" x14ac:dyDescent="0.25">
      <c r="A5435" t="str">
        <f>T("   FR")</f>
        <v xml:space="preserve">   FR</v>
      </c>
      <c r="B5435" t="str">
        <f>T("   France")</f>
        <v xml:space="preserve">   France</v>
      </c>
      <c r="C5435">
        <v>19809499</v>
      </c>
      <c r="D5435">
        <v>21111</v>
      </c>
    </row>
    <row r="5436" spans="1:4" x14ac:dyDescent="0.25">
      <c r="A5436" t="str">
        <f>T("   US")</f>
        <v xml:space="preserve">   US</v>
      </c>
      <c r="B5436" t="str">
        <f>T("   Etats-Unis")</f>
        <v xml:space="preserve">   Etats-Unis</v>
      </c>
      <c r="C5436">
        <v>4140</v>
      </c>
      <c r="D5436">
        <v>0.9</v>
      </c>
    </row>
    <row r="5437" spans="1:4" x14ac:dyDescent="0.25">
      <c r="A5437" t="str">
        <f>T("441520")</f>
        <v>441520</v>
      </c>
      <c r="B5437" t="str">
        <f>T("Palettes simples, palettes-caisses et autres plateaux de chargement, en bois; rehausses de palettes en bois (à l'excl. des cadres et conteneurs spécialement conçus et équipés pour un ou plusieurs modes de transport)")</f>
        <v>Palettes simples, palettes-caisses et autres plateaux de chargement, en bois; rehausses de palettes en bois (à l'excl. des cadres et conteneurs spécialement conçus et équipés pour un ou plusieurs modes de transport)</v>
      </c>
    </row>
    <row r="5438" spans="1:4" x14ac:dyDescent="0.25">
      <c r="A5438" t="str">
        <f>T("   ZZZ_Monde")</f>
        <v xml:space="preserve">   ZZZ_Monde</v>
      </c>
      <c r="B5438" t="str">
        <f>T("   ZZZ_Monde")</f>
        <v xml:space="preserve">   ZZZ_Monde</v>
      </c>
      <c r="C5438">
        <v>7476271</v>
      </c>
      <c r="D5438">
        <v>7589</v>
      </c>
    </row>
    <row r="5439" spans="1:4" x14ac:dyDescent="0.25">
      <c r="A5439" t="str">
        <f>T("   FR")</f>
        <v xml:space="preserve">   FR</v>
      </c>
      <c r="B5439" t="str">
        <f>T("   France")</f>
        <v xml:space="preserve">   France</v>
      </c>
      <c r="C5439">
        <v>3925960</v>
      </c>
      <c r="D5439">
        <v>5151</v>
      </c>
    </row>
    <row r="5440" spans="1:4" x14ac:dyDescent="0.25">
      <c r="A5440" t="str">
        <f>T("   TW")</f>
        <v xml:space="preserve">   TW</v>
      </c>
      <c r="B5440" t="str">
        <f>T("   Taïwan, Province de Chine")</f>
        <v xml:space="preserve">   Taïwan, Province de Chine</v>
      </c>
      <c r="C5440">
        <v>3550311</v>
      </c>
      <c r="D5440">
        <v>2438</v>
      </c>
    </row>
    <row r="5441" spans="1:4" x14ac:dyDescent="0.25">
      <c r="A5441" t="str">
        <f>T("441600")</f>
        <v>441600</v>
      </c>
      <c r="B5441" t="str">
        <f>T("Futailles, cuves, baquets et autres ouvrages de tonnellerie et leurs parties reconnaissables, en bois, y.c. les merrains")</f>
        <v>Futailles, cuves, baquets et autres ouvrages de tonnellerie et leurs parties reconnaissables, en bois, y.c. les merrains</v>
      </c>
    </row>
    <row r="5442" spans="1:4" x14ac:dyDescent="0.25">
      <c r="A5442" t="str">
        <f>T("   ZZZ_Monde")</f>
        <v xml:space="preserve">   ZZZ_Monde</v>
      </c>
      <c r="B5442" t="str">
        <f>T("   ZZZ_Monde")</f>
        <v xml:space="preserve">   ZZZ_Monde</v>
      </c>
      <c r="C5442">
        <v>370537</v>
      </c>
      <c r="D5442">
        <v>1585</v>
      </c>
    </row>
    <row r="5443" spans="1:4" x14ac:dyDescent="0.25">
      <c r="A5443" t="str">
        <f>T("   CN")</f>
        <v xml:space="preserve">   CN</v>
      </c>
      <c r="B5443" t="str">
        <f>T("   Chine")</f>
        <v xml:space="preserve">   Chine</v>
      </c>
      <c r="C5443">
        <v>370537</v>
      </c>
      <c r="D5443">
        <v>1585</v>
      </c>
    </row>
    <row r="5444" spans="1:4" x14ac:dyDescent="0.25">
      <c r="A5444" t="str">
        <f>T("441700")</f>
        <v>441700</v>
      </c>
      <c r="B5444" t="str">
        <f>T("Outils, montures et manches d'outils, montures de brosses, manches de balais ou de brosses, en bois; formes, embauchoirs et tendeurs pour chaussures, en bois (à l'excl. des moules du n° 8480, des formes de chapellerie ainsi que des machines et parties de")</f>
        <v>Outils, montures et manches d'outils, montures de brosses, manches de balais ou de brosses, en bois; formes, embauchoirs et tendeurs pour chaussures, en bois (à l'excl. des moules du n° 8480, des formes de chapellerie ainsi que des machines et parties de</v>
      </c>
    </row>
    <row r="5445" spans="1:4" x14ac:dyDescent="0.25">
      <c r="A5445" t="str">
        <f>T("   ZZZ_Monde")</f>
        <v xml:space="preserve">   ZZZ_Monde</v>
      </c>
      <c r="B5445" t="str">
        <f>T("   ZZZ_Monde")</f>
        <v xml:space="preserve">   ZZZ_Monde</v>
      </c>
      <c r="C5445">
        <v>1667767</v>
      </c>
      <c r="D5445">
        <v>7700</v>
      </c>
    </row>
    <row r="5446" spans="1:4" x14ac:dyDescent="0.25">
      <c r="A5446" t="str">
        <f>T("   AE")</f>
        <v xml:space="preserve">   AE</v>
      </c>
      <c r="B5446" t="str">
        <f>T("   Emirats Arabes Unis")</f>
        <v xml:space="preserve">   Emirats Arabes Unis</v>
      </c>
      <c r="C5446">
        <v>310619</v>
      </c>
      <c r="D5446">
        <v>1150</v>
      </c>
    </row>
    <row r="5447" spans="1:4" x14ac:dyDescent="0.25">
      <c r="A5447" t="str">
        <f>T("   CN")</f>
        <v xml:space="preserve">   CN</v>
      </c>
      <c r="B5447" t="str">
        <f>T("   Chine")</f>
        <v xml:space="preserve">   Chine</v>
      </c>
      <c r="C5447">
        <v>140449</v>
      </c>
      <c r="D5447">
        <v>2000</v>
      </c>
    </row>
    <row r="5448" spans="1:4" x14ac:dyDescent="0.25">
      <c r="A5448" t="str">
        <f>T("   IT")</f>
        <v xml:space="preserve">   IT</v>
      </c>
      <c r="B5448" t="str">
        <f>T("   Italie")</f>
        <v xml:space="preserve">   Italie</v>
      </c>
      <c r="C5448">
        <v>1176793</v>
      </c>
      <c r="D5448">
        <v>3100</v>
      </c>
    </row>
    <row r="5449" spans="1:4" x14ac:dyDescent="0.25">
      <c r="A5449" t="str">
        <f>T("   LB")</f>
        <v xml:space="preserve">   LB</v>
      </c>
      <c r="B5449" t="str">
        <f>T("   Liban")</f>
        <v xml:space="preserve">   Liban</v>
      </c>
      <c r="C5449">
        <v>39906</v>
      </c>
      <c r="D5449">
        <v>1450</v>
      </c>
    </row>
    <row r="5450" spans="1:4" x14ac:dyDescent="0.25">
      <c r="A5450" t="str">
        <f>T("441810")</f>
        <v>441810</v>
      </c>
      <c r="B5450" t="str">
        <f>T("Fenêtres, portes-fenêtres et leurs cadres et chambranles, en bois")</f>
        <v>Fenêtres, portes-fenêtres et leurs cadres et chambranles, en bois</v>
      </c>
    </row>
    <row r="5451" spans="1:4" x14ac:dyDescent="0.25">
      <c r="A5451" t="str">
        <f>T("   ZZZ_Monde")</f>
        <v xml:space="preserve">   ZZZ_Monde</v>
      </c>
      <c r="B5451" t="str">
        <f>T("   ZZZ_Monde")</f>
        <v xml:space="preserve">   ZZZ_Monde</v>
      </c>
      <c r="C5451">
        <v>5282032</v>
      </c>
      <c r="D5451">
        <v>16660</v>
      </c>
    </row>
    <row r="5452" spans="1:4" x14ac:dyDescent="0.25">
      <c r="A5452" t="str">
        <f>T("   AE")</f>
        <v xml:space="preserve">   AE</v>
      </c>
      <c r="B5452" t="str">
        <f>T("   Emirats Arabes Unis")</f>
        <v xml:space="preserve">   Emirats Arabes Unis</v>
      </c>
      <c r="C5452">
        <v>1617840</v>
      </c>
      <c r="D5452">
        <v>9000</v>
      </c>
    </row>
    <row r="5453" spans="1:4" x14ac:dyDescent="0.25">
      <c r="A5453" t="str">
        <f>T("   CN")</f>
        <v xml:space="preserve">   CN</v>
      </c>
      <c r="B5453" t="str">
        <f>T("   Chine")</f>
        <v xml:space="preserve">   Chine</v>
      </c>
      <c r="C5453">
        <v>427030</v>
      </c>
      <c r="D5453">
        <v>800</v>
      </c>
    </row>
    <row r="5454" spans="1:4" x14ac:dyDescent="0.25">
      <c r="A5454" t="str">
        <f>T("   DE")</f>
        <v xml:space="preserve">   DE</v>
      </c>
      <c r="B5454" t="str">
        <f>T("   Allemagne")</f>
        <v xml:space="preserve">   Allemagne</v>
      </c>
      <c r="C5454">
        <v>505089</v>
      </c>
      <c r="D5454">
        <v>1260</v>
      </c>
    </row>
    <row r="5455" spans="1:4" x14ac:dyDescent="0.25">
      <c r="A5455" t="str">
        <f>T("   ES")</f>
        <v xml:space="preserve">   ES</v>
      </c>
      <c r="B5455" t="str">
        <f>T("   Espagne")</f>
        <v xml:space="preserve">   Espagne</v>
      </c>
      <c r="C5455">
        <v>2732073</v>
      </c>
      <c r="D5455">
        <v>5600</v>
      </c>
    </row>
    <row r="5456" spans="1:4" x14ac:dyDescent="0.25">
      <c r="A5456" t="str">
        <f>T("441820")</f>
        <v>441820</v>
      </c>
      <c r="B5456" t="str">
        <f>T("Portes et leurs cadres, chambranles et seuils, en bois")</f>
        <v>Portes et leurs cadres, chambranles et seuils, en bois</v>
      </c>
    </row>
    <row r="5457" spans="1:4" x14ac:dyDescent="0.25">
      <c r="A5457" t="str">
        <f>T("   ZZZ_Monde")</f>
        <v xml:space="preserve">   ZZZ_Monde</v>
      </c>
      <c r="B5457" t="str">
        <f>T("   ZZZ_Monde")</f>
        <v xml:space="preserve">   ZZZ_Monde</v>
      </c>
      <c r="C5457">
        <v>71231222</v>
      </c>
      <c r="D5457">
        <v>168527</v>
      </c>
    </row>
    <row r="5458" spans="1:4" x14ac:dyDescent="0.25">
      <c r="A5458" t="str">
        <f>T("   BR")</f>
        <v xml:space="preserve">   BR</v>
      </c>
      <c r="B5458" t="str">
        <f>T("   Brésil")</f>
        <v xml:space="preserve">   Brésil</v>
      </c>
      <c r="C5458">
        <v>9932128</v>
      </c>
      <c r="D5458">
        <v>37350</v>
      </c>
    </row>
    <row r="5459" spans="1:4" x14ac:dyDescent="0.25">
      <c r="A5459" t="str">
        <f>T("   CN")</f>
        <v xml:space="preserve">   CN</v>
      </c>
      <c r="B5459" t="str">
        <f>T("   Chine")</f>
        <v xml:space="preserve">   Chine</v>
      </c>
      <c r="C5459">
        <v>16542546</v>
      </c>
      <c r="D5459">
        <v>38893</v>
      </c>
    </row>
    <row r="5460" spans="1:4" x14ac:dyDescent="0.25">
      <c r="A5460" t="str">
        <f>T("   DE")</f>
        <v xml:space="preserve">   DE</v>
      </c>
      <c r="B5460" t="str">
        <f>T("   Allemagne")</f>
        <v xml:space="preserve">   Allemagne</v>
      </c>
      <c r="C5460">
        <v>1233940</v>
      </c>
      <c r="D5460">
        <v>3380</v>
      </c>
    </row>
    <row r="5461" spans="1:4" x14ac:dyDescent="0.25">
      <c r="A5461" t="str">
        <f>T("   FR")</f>
        <v xml:space="preserve">   FR</v>
      </c>
      <c r="B5461" t="str">
        <f>T("   France")</f>
        <v xml:space="preserve">   France</v>
      </c>
      <c r="C5461">
        <v>5506291</v>
      </c>
      <c r="D5461">
        <v>6600</v>
      </c>
    </row>
    <row r="5462" spans="1:4" x14ac:dyDescent="0.25">
      <c r="A5462" t="str">
        <f>T("   IT")</f>
        <v xml:space="preserve">   IT</v>
      </c>
      <c r="B5462" t="str">
        <f>T("   Italie")</f>
        <v xml:space="preserve">   Italie</v>
      </c>
      <c r="C5462">
        <v>9756077</v>
      </c>
      <c r="D5462">
        <v>24766</v>
      </c>
    </row>
    <row r="5463" spans="1:4" x14ac:dyDescent="0.25">
      <c r="A5463" t="str">
        <f>T("   SE")</f>
        <v xml:space="preserve">   SE</v>
      </c>
      <c r="B5463" t="str">
        <f>T("   Suède")</f>
        <v xml:space="preserve">   Suède</v>
      </c>
      <c r="C5463">
        <v>23151009</v>
      </c>
      <c r="D5463">
        <v>37898</v>
      </c>
    </row>
    <row r="5464" spans="1:4" x14ac:dyDescent="0.25">
      <c r="A5464" t="str">
        <f>T("   TG")</f>
        <v xml:space="preserve">   TG</v>
      </c>
      <c r="B5464" t="str">
        <f>T("   Togo")</f>
        <v xml:space="preserve">   Togo</v>
      </c>
      <c r="C5464">
        <v>5109231</v>
      </c>
      <c r="D5464">
        <v>19640</v>
      </c>
    </row>
    <row r="5465" spans="1:4" x14ac:dyDescent="0.25">
      <c r="A5465" t="str">
        <f>T("441830")</f>
        <v>441830</v>
      </c>
      <c r="B5465" t="str">
        <f>T("PANNEAUX POUR PARQUETS, EN BOIS (À L'EXCL. DES LAMES ET FRISES POUR PARQUETS, NON-ASSEMBLÉES)")</f>
        <v>PANNEAUX POUR PARQUETS, EN BOIS (À L'EXCL. DES LAMES ET FRISES POUR PARQUETS, NON-ASSEMBLÉES)</v>
      </c>
    </row>
    <row r="5466" spans="1:4" x14ac:dyDescent="0.25">
      <c r="A5466" t="str">
        <f>T("   ZZZ_Monde")</f>
        <v xml:space="preserve">   ZZZ_Monde</v>
      </c>
      <c r="B5466" t="str">
        <f>T("   ZZZ_Monde")</f>
        <v xml:space="preserve">   ZZZ_Monde</v>
      </c>
      <c r="C5466">
        <v>871110</v>
      </c>
      <c r="D5466">
        <v>1240</v>
      </c>
    </row>
    <row r="5467" spans="1:4" x14ac:dyDescent="0.25">
      <c r="A5467" t="str">
        <f>T("   IT")</f>
        <v xml:space="preserve">   IT</v>
      </c>
      <c r="B5467" t="str">
        <f>T("   Italie")</f>
        <v xml:space="preserve">   Italie</v>
      </c>
      <c r="C5467">
        <v>820298</v>
      </c>
      <c r="D5467">
        <v>290</v>
      </c>
    </row>
    <row r="5468" spans="1:4" x14ac:dyDescent="0.25">
      <c r="A5468" t="str">
        <f>T("   NG")</f>
        <v xml:space="preserve">   NG</v>
      </c>
      <c r="B5468" t="str">
        <f>T("   Nigéria")</f>
        <v xml:space="preserve">   Nigéria</v>
      </c>
      <c r="C5468">
        <v>50812</v>
      </c>
      <c r="D5468">
        <v>950</v>
      </c>
    </row>
    <row r="5469" spans="1:4" x14ac:dyDescent="0.25">
      <c r="A5469" t="str">
        <f>T("441840")</f>
        <v>441840</v>
      </c>
      <c r="B5469" t="str">
        <f>T("Coffrages pour le bétonnage, en bois (à l'excl. des panneaux en bois contre-plaqués)")</f>
        <v>Coffrages pour le bétonnage, en bois (à l'excl. des panneaux en bois contre-plaqués)</v>
      </c>
    </row>
    <row r="5470" spans="1:4" x14ac:dyDescent="0.25">
      <c r="A5470" t="str">
        <f>T("   ZZZ_Monde")</f>
        <v xml:space="preserve">   ZZZ_Monde</v>
      </c>
      <c r="B5470" t="str">
        <f>T("   ZZZ_Monde")</f>
        <v xml:space="preserve">   ZZZ_Monde</v>
      </c>
      <c r="C5470">
        <v>49426356</v>
      </c>
      <c r="D5470">
        <v>19198</v>
      </c>
    </row>
    <row r="5471" spans="1:4" x14ac:dyDescent="0.25">
      <c r="A5471" t="str">
        <f>T("   FR")</f>
        <v xml:space="preserve">   FR</v>
      </c>
      <c r="B5471" t="str">
        <f>T("   France")</f>
        <v xml:space="preserve">   France</v>
      </c>
      <c r="C5471">
        <v>48919529</v>
      </c>
      <c r="D5471">
        <v>12698</v>
      </c>
    </row>
    <row r="5472" spans="1:4" x14ac:dyDescent="0.25">
      <c r="A5472" t="str">
        <f>T("   TG")</f>
        <v xml:space="preserve">   TG</v>
      </c>
      <c r="B5472" t="str">
        <f>T("   Togo")</f>
        <v xml:space="preserve">   Togo</v>
      </c>
      <c r="C5472">
        <v>506827</v>
      </c>
      <c r="D5472">
        <v>6500</v>
      </c>
    </row>
    <row r="5473" spans="1:4" x14ac:dyDescent="0.25">
      <c r="A5473" t="str">
        <f>T("441890")</f>
        <v>441890</v>
      </c>
      <c r="B5473" t="str">
        <f>T("OUVRAGES DE MENUISERIE ET PIÈCES DE CHARPENTE POUR CONSTRUCTION, Y.C. LES PANNEAUX CELLULAIRES (À L'EXCL. DES FENÊTRES, PORTES-FENÊTRES ET LEURS CADRES ET CHAMBRANLES, DES PORTES ET LEURS CADRES, CHAMBRANLES ET SEUILS, DES POTEAUX ET POUTRES, DES PANNEAUX")</f>
        <v>OUVRAGES DE MENUISERIE ET PIÈCES DE CHARPENTE POUR CONSTRUCTION, Y.C. LES PANNEAUX CELLULAIRES (À L'EXCL. DES FENÊTRES, PORTES-FENÊTRES ET LEURS CADRES ET CHAMBRANLES, DES PORTES ET LEURS CADRES, CHAMBRANLES ET SEUILS, DES POTEAUX ET POUTRES, DES PANNEAUX</v>
      </c>
    </row>
    <row r="5474" spans="1:4" x14ac:dyDescent="0.25">
      <c r="A5474" t="str">
        <f>T("   ZZZ_Monde")</f>
        <v xml:space="preserve">   ZZZ_Monde</v>
      </c>
      <c r="B5474" t="str">
        <f>T("   ZZZ_Monde")</f>
        <v xml:space="preserve">   ZZZ_Monde</v>
      </c>
      <c r="C5474">
        <v>36259435</v>
      </c>
      <c r="D5474">
        <v>54830</v>
      </c>
    </row>
    <row r="5475" spans="1:4" x14ac:dyDescent="0.25">
      <c r="A5475" t="str">
        <f>T("   CN")</f>
        <v xml:space="preserve">   CN</v>
      </c>
      <c r="B5475" t="str">
        <f>T("   Chine")</f>
        <v xml:space="preserve">   Chine</v>
      </c>
      <c r="C5475">
        <v>1154936</v>
      </c>
      <c r="D5475">
        <v>6020</v>
      </c>
    </row>
    <row r="5476" spans="1:4" x14ac:dyDescent="0.25">
      <c r="A5476" t="str">
        <f>T("   ES")</f>
        <v xml:space="preserve">   ES</v>
      </c>
      <c r="B5476" t="str">
        <f>T("   Espagne")</f>
        <v xml:space="preserve">   Espagne</v>
      </c>
      <c r="C5476">
        <v>52188</v>
      </c>
      <c r="D5476">
        <v>1000</v>
      </c>
    </row>
    <row r="5477" spans="1:4" x14ac:dyDescent="0.25">
      <c r="A5477" t="str">
        <f>T("   FR")</f>
        <v xml:space="preserve">   FR</v>
      </c>
      <c r="B5477" t="str">
        <f>T("   France")</f>
        <v xml:space="preserve">   France</v>
      </c>
      <c r="C5477">
        <v>1092986</v>
      </c>
      <c r="D5477">
        <v>2358</v>
      </c>
    </row>
    <row r="5478" spans="1:4" x14ac:dyDescent="0.25">
      <c r="A5478" t="str">
        <f>T("   GA")</f>
        <v xml:space="preserve">   GA</v>
      </c>
      <c r="B5478" t="str">
        <f>T("   Gabon")</f>
        <v xml:space="preserve">   Gabon</v>
      </c>
      <c r="C5478">
        <v>14050000</v>
      </c>
      <c r="D5478">
        <v>18350</v>
      </c>
    </row>
    <row r="5479" spans="1:4" x14ac:dyDescent="0.25">
      <c r="A5479" t="str">
        <f>T("   IT")</f>
        <v xml:space="preserve">   IT</v>
      </c>
      <c r="B5479" t="str">
        <f>T("   Italie")</f>
        <v xml:space="preserve">   Italie</v>
      </c>
      <c r="C5479">
        <v>2552539</v>
      </c>
      <c r="D5479">
        <v>92</v>
      </c>
    </row>
    <row r="5480" spans="1:4" x14ac:dyDescent="0.25">
      <c r="A5480" t="str">
        <f>T("   LB")</f>
        <v xml:space="preserve">   LB</v>
      </c>
      <c r="B5480" t="str">
        <f>T("   Liban")</f>
        <v xml:space="preserve">   Liban</v>
      </c>
      <c r="C5480">
        <v>6808578</v>
      </c>
      <c r="D5480">
        <v>4150</v>
      </c>
    </row>
    <row r="5481" spans="1:4" x14ac:dyDescent="0.25">
      <c r="A5481" t="str">
        <f>T("   NG")</f>
        <v xml:space="preserve">   NG</v>
      </c>
      <c r="B5481" t="str">
        <f>T("   Nigéria")</f>
        <v xml:space="preserve">   Nigéria</v>
      </c>
      <c r="C5481">
        <v>472544</v>
      </c>
      <c r="D5481">
        <v>2100</v>
      </c>
    </row>
    <row r="5482" spans="1:4" x14ac:dyDescent="0.25">
      <c r="A5482" t="str">
        <f>T("   SI")</f>
        <v xml:space="preserve">   SI</v>
      </c>
      <c r="B5482" t="str">
        <f>T("   Slovénie")</f>
        <v xml:space="preserve">   Slovénie</v>
      </c>
      <c r="C5482">
        <v>10075664</v>
      </c>
      <c r="D5482">
        <v>20760</v>
      </c>
    </row>
    <row r="5483" spans="1:4" x14ac:dyDescent="0.25">
      <c r="A5483" t="str">
        <f>T("441900")</f>
        <v>441900</v>
      </c>
      <c r="B5483" t="str">
        <f>T("Articles en bois pour la table ou la cuisine (à l'excl. des articles d'ameublement, des objets d'ornement, des ouvrages de tonnellerie, des parties d'articles en bois pour la table ou la cuisine, des balais, des brosses ainsi que des tamis et cribles à ma")</f>
        <v>Articles en bois pour la table ou la cuisine (à l'excl. des articles d'ameublement, des objets d'ornement, des ouvrages de tonnellerie, des parties d'articles en bois pour la table ou la cuisine, des balais, des brosses ainsi que des tamis et cribles à ma</v>
      </c>
    </row>
    <row r="5484" spans="1:4" x14ac:dyDescent="0.25">
      <c r="A5484" t="str">
        <f>T("   ZZZ_Monde")</f>
        <v xml:space="preserve">   ZZZ_Monde</v>
      </c>
      <c r="B5484" t="str">
        <f>T("   ZZZ_Monde")</f>
        <v xml:space="preserve">   ZZZ_Monde</v>
      </c>
      <c r="C5484">
        <v>4197578</v>
      </c>
      <c r="D5484">
        <v>18380</v>
      </c>
    </row>
    <row r="5485" spans="1:4" x14ac:dyDescent="0.25">
      <c r="A5485" t="str">
        <f>T("   CN")</f>
        <v xml:space="preserve">   CN</v>
      </c>
      <c r="B5485" t="str">
        <f>T("   Chine")</f>
        <v xml:space="preserve">   Chine</v>
      </c>
      <c r="C5485">
        <v>3849118</v>
      </c>
      <c r="D5485">
        <v>17955</v>
      </c>
    </row>
    <row r="5486" spans="1:4" x14ac:dyDescent="0.25">
      <c r="A5486" t="str">
        <f>T("   NG")</f>
        <v xml:space="preserve">   NG</v>
      </c>
      <c r="B5486" t="str">
        <f>T("   Nigéria")</f>
        <v xml:space="preserve">   Nigéria</v>
      </c>
      <c r="C5486">
        <v>130000</v>
      </c>
      <c r="D5486">
        <v>115</v>
      </c>
    </row>
    <row r="5487" spans="1:4" x14ac:dyDescent="0.25">
      <c r="A5487" t="str">
        <f>T("   TG")</f>
        <v xml:space="preserve">   TG</v>
      </c>
      <c r="B5487" t="str">
        <f>T("   Togo")</f>
        <v xml:space="preserve">   Togo</v>
      </c>
      <c r="C5487">
        <v>218460</v>
      </c>
      <c r="D5487">
        <v>310</v>
      </c>
    </row>
    <row r="5488" spans="1:4" x14ac:dyDescent="0.25">
      <c r="A5488" t="str">
        <f>T("442010")</f>
        <v>442010</v>
      </c>
      <c r="B5488" t="str">
        <f>T("Statuettes et autres objets d'ornement, en bois (autres que marquetés ou incrustés)")</f>
        <v>Statuettes et autres objets d'ornement, en bois (autres que marquetés ou incrustés)</v>
      </c>
    </row>
    <row r="5489" spans="1:4" x14ac:dyDescent="0.25">
      <c r="A5489" t="str">
        <f>T("   ZZZ_Monde")</f>
        <v xml:space="preserve">   ZZZ_Monde</v>
      </c>
      <c r="B5489" t="str">
        <f>T("   ZZZ_Monde")</f>
        <v xml:space="preserve">   ZZZ_Monde</v>
      </c>
      <c r="C5489">
        <v>2369237</v>
      </c>
      <c r="D5489">
        <v>7551</v>
      </c>
    </row>
    <row r="5490" spans="1:4" x14ac:dyDescent="0.25">
      <c r="A5490" t="str">
        <f>T("   CN")</f>
        <v xml:space="preserve">   CN</v>
      </c>
      <c r="B5490" t="str">
        <f>T("   Chine")</f>
        <v xml:space="preserve">   Chine</v>
      </c>
      <c r="C5490">
        <v>1681201</v>
      </c>
      <c r="D5490">
        <v>6181</v>
      </c>
    </row>
    <row r="5491" spans="1:4" x14ac:dyDescent="0.25">
      <c r="A5491" t="str">
        <f>T("   HK")</f>
        <v xml:space="preserve">   HK</v>
      </c>
      <c r="B5491" t="str">
        <f>T("   Hong-Kong")</f>
        <v xml:space="preserve">   Hong-Kong</v>
      </c>
      <c r="C5491">
        <v>688036</v>
      </c>
      <c r="D5491">
        <v>1370</v>
      </c>
    </row>
    <row r="5492" spans="1:4" x14ac:dyDescent="0.25">
      <c r="A5492" t="str">
        <f>T("442090")</f>
        <v>442090</v>
      </c>
      <c r="B5492" t="str">
        <f>T("Bois marquetés et bois incrustés; coffrets, écrins et étuis pour bijouterie ou orfèvrerie et ouvrages simil., en bois; articles d'ameublement en bois (à l'excl. des statuettes et autres objets d'ornement, des meubles, des appareils d'éclairage ainsi que d")</f>
        <v>Bois marquetés et bois incrustés; coffrets, écrins et étuis pour bijouterie ou orfèvrerie et ouvrages simil., en bois; articles d'ameublement en bois (à l'excl. des statuettes et autres objets d'ornement, des meubles, des appareils d'éclairage ainsi que d</v>
      </c>
    </row>
    <row r="5493" spans="1:4" x14ac:dyDescent="0.25">
      <c r="A5493" t="str">
        <f>T("   ZZZ_Monde")</f>
        <v xml:space="preserve">   ZZZ_Monde</v>
      </c>
      <c r="B5493" t="str">
        <f>T("   ZZZ_Monde")</f>
        <v xml:space="preserve">   ZZZ_Monde</v>
      </c>
      <c r="C5493">
        <v>3605858</v>
      </c>
      <c r="D5493">
        <v>16116</v>
      </c>
    </row>
    <row r="5494" spans="1:4" x14ac:dyDescent="0.25">
      <c r="A5494" t="str">
        <f>T("   ES")</f>
        <v xml:space="preserve">   ES</v>
      </c>
      <c r="B5494" t="str">
        <f>T("   Espagne")</f>
        <v xml:space="preserve">   Espagne</v>
      </c>
      <c r="C5494">
        <v>40014</v>
      </c>
      <c r="D5494">
        <v>65</v>
      </c>
    </row>
    <row r="5495" spans="1:4" x14ac:dyDescent="0.25">
      <c r="A5495" t="str">
        <f>T("   FR")</f>
        <v xml:space="preserve">   FR</v>
      </c>
      <c r="B5495" t="str">
        <f>T("   France")</f>
        <v xml:space="preserve">   France</v>
      </c>
      <c r="C5495">
        <v>1660890</v>
      </c>
      <c r="D5495">
        <v>7951</v>
      </c>
    </row>
    <row r="5496" spans="1:4" x14ac:dyDescent="0.25">
      <c r="A5496" t="str">
        <f>T("   IT")</f>
        <v xml:space="preserve">   IT</v>
      </c>
      <c r="B5496" t="str">
        <f>T("   Italie")</f>
        <v xml:space="preserve">   Italie</v>
      </c>
      <c r="C5496">
        <v>104954</v>
      </c>
      <c r="D5496">
        <v>180</v>
      </c>
    </row>
    <row r="5497" spans="1:4" x14ac:dyDescent="0.25">
      <c r="A5497" t="str">
        <f>T("   Z2")</f>
        <v xml:space="preserve">   Z2</v>
      </c>
      <c r="B5497" t="str">
        <f>T("   Pays non défini")</f>
        <v xml:space="preserve">   Pays non défini</v>
      </c>
      <c r="C5497">
        <v>1800000</v>
      </c>
      <c r="D5497">
        <v>7920</v>
      </c>
    </row>
    <row r="5498" spans="1:4" x14ac:dyDescent="0.25">
      <c r="A5498" t="str">
        <f>T("442110")</f>
        <v>442110</v>
      </c>
      <c r="B5498" t="str">
        <f>T("Cintres pour vêtements, en bois")</f>
        <v>Cintres pour vêtements, en bois</v>
      </c>
    </row>
    <row r="5499" spans="1:4" x14ac:dyDescent="0.25">
      <c r="A5499" t="str">
        <f>T("   ZZZ_Monde")</f>
        <v xml:space="preserve">   ZZZ_Monde</v>
      </c>
      <c r="B5499" t="str">
        <f>T("   ZZZ_Monde")</f>
        <v xml:space="preserve">   ZZZ_Monde</v>
      </c>
      <c r="C5499">
        <v>12213259</v>
      </c>
      <c r="D5499">
        <v>58029</v>
      </c>
    </row>
    <row r="5500" spans="1:4" x14ac:dyDescent="0.25">
      <c r="A5500" t="str">
        <f>T("   CN")</f>
        <v xml:space="preserve">   CN</v>
      </c>
      <c r="B5500" t="str">
        <f>T("   Chine")</f>
        <v xml:space="preserve">   Chine</v>
      </c>
      <c r="C5500">
        <v>6092826</v>
      </c>
      <c r="D5500">
        <v>25082</v>
      </c>
    </row>
    <row r="5501" spans="1:4" x14ac:dyDescent="0.25">
      <c r="A5501" t="str">
        <f>T("   GH")</f>
        <v xml:space="preserve">   GH</v>
      </c>
      <c r="B5501" t="str">
        <f>T("   Ghana")</f>
        <v xml:space="preserve">   Ghana</v>
      </c>
      <c r="C5501">
        <v>1441593</v>
      </c>
      <c r="D5501">
        <v>6880</v>
      </c>
    </row>
    <row r="5502" spans="1:4" x14ac:dyDescent="0.25">
      <c r="A5502" t="str">
        <f>T("   HK")</f>
        <v xml:space="preserve">   HK</v>
      </c>
      <c r="B5502" t="str">
        <f>T("   Hong-Kong")</f>
        <v xml:space="preserve">   Hong-Kong</v>
      </c>
      <c r="C5502">
        <v>946543</v>
      </c>
      <c r="D5502">
        <v>1877</v>
      </c>
    </row>
    <row r="5503" spans="1:4" x14ac:dyDescent="0.25">
      <c r="A5503" t="str">
        <f>T("   TG")</f>
        <v xml:space="preserve">   TG</v>
      </c>
      <c r="B5503" t="str">
        <f>T("   Togo")</f>
        <v xml:space="preserve">   Togo</v>
      </c>
      <c r="C5503">
        <v>3732297</v>
      </c>
      <c r="D5503">
        <v>24190</v>
      </c>
    </row>
    <row r="5504" spans="1:4" x14ac:dyDescent="0.25">
      <c r="A5504" t="str">
        <f>T("442190")</f>
        <v>442190</v>
      </c>
      <c r="B5504" t="str">
        <f>T("Ouvrages, en bois, n.d.a.")</f>
        <v>Ouvrages, en bois, n.d.a.</v>
      </c>
    </row>
    <row r="5505" spans="1:4" x14ac:dyDescent="0.25">
      <c r="A5505" t="str">
        <f>T("   ZZZ_Monde")</f>
        <v xml:space="preserve">   ZZZ_Monde</v>
      </c>
      <c r="B5505" t="str">
        <f>T("   ZZZ_Monde")</f>
        <v xml:space="preserve">   ZZZ_Monde</v>
      </c>
      <c r="C5505">
        <v>25279119</v>
      </c>
      <c r="D5505">
        <v>80461</v>
      </c>
    </row>
    <row r="5506" spans="1:4" x14ac:dyDescent="0.25">
      <c r="A5506" t="str">
        <f>T("   CN")</f>
        <v xml:space="preserve">   CN</v>
      </c>
      <c r="B5506" t="str">
        <f>T("   Chine")</f>
        <v xml:space="preserve">   Chine</v>
      </c>
      <c r="C5506">
        <v>11939970</v>
      </c>
      <c r="D5506">
        <v>43805</v>
      </c>
    </row>
    <row r="5507" spans="1:4" x14ac:dyDescent="0.25">
      <c r="A5507" t="str">
        <f>T("   ES")</f>
        <v xml:space="preserve">   ES</v>
      </c>
      <c r="B5507" t="str">
        <f>T("   Espagne")</f>
        <v xml:space="preserve">   Espagne</v>
      </c>
      <c r="C5507">
        <v>472021</v>
      </c>
      <c r="D5507">
        <v>3264</v>
      </c>
    </row>
    <row r="5508" spans="1:4" x14ac:dyDescent="0.25">
      <c r="A5508" t="str">
        <f>T("   FR")</f>
        <v xml:space="preserve">   FR</v>
      </c>
      <c r="B5508" t="str">
        <f>T("   France")</f>
        <v xml:space="preserve">   France</v>
      </c>
      <c r="C5508">
        <v>9583718</v>
      </c>
      <c r="D5508">
        <v>26498</v>
      </c>
    </row>
    <row r="5509" spans="1:4" x14ac:dyDescent="0.25">
      <c r="A5509" t="str">
        <f>T("   GB")</f>
        <v xml:space="preserve">   GB</v>
      </c>
      <c r="B5509" t="str">
        <f>T("   Royaume-Uni")</f>
        <v xml:space="preserve">   Royaume-Uni</v>
      </c>
      <c r="C5509">
        <v>824341</v>
      </c>
      <c r="D5509">
        <v>158</v>
      </c>
    </row>
    <row r="5510" spans="1:4" x14ac:dyDescent="0.25">
      <c r="A5510" t="str">
        <f>T("   TG")</f>
        <v xml:space="preserve">   TG</v>
      </c>
      <c r="B5510" t="str">
        <f>T("   Togo")</f>
        <v xml:space="preserve">   Togo</v>
      </c>
      <c r="C5510">
        <v>1456269</v>
      </c>
      <c r="D5510">
        <v>5289</v>
      </c>
    </row>
    <row r="5511" spans="1:4" x14ac:dyDescent="0.25">
      <c r="A5511" t="str">
        <f>T("   TN")</f>
        <v xml:space="preserve">   TN</v>
      </c>
      <c r="B5511" t="str">
        <f>T("   Tunisie")</f>
        <v xml:space="preserve">   Tunisie</v>
      </c>
      <c r="C5511">
        <v>1002800</v>
      </c>
      <c r="D5511">
        <v>1447</v>
      </c>
    </row>
    <row r="5512" spans="1:4" x14ac:dyDescent="0.25">
      <c r="A5512" t="str">
        <f>T("460120")</f>
        <v>460120</v>
      </c>
      <c r="B5512" t="str">
        <f>T("Nattes, paillassons et claies en matières à tresser végétales, tissés ou parallélisés, à plat")</f>
        <v>Nattes, paillassons et claies en matières à tresser végétales, tissés ou parallélisés, à plat</v>
      </c>
    </row>
    <row r="5513" spans="1:4" x14ac:dyDescent="0.25">
      <c r="A5513" t="str">
        <f>T("   ZZZ_Monde")</f>
        <v xml:space="preserve">   ZZZ_Monde</v>
      </c>
      <c r="B5513" t="str">
        <f>T("   ZZZ_Monde")</f>
        <v xml:space="preserve">   ZZZ_Monde</v>
      </c>
      <c r="C5513">
        <v>6000000</v>
      </c>
      <c r="D5513">
        <v>13820</v>
      </c>
    </row>
    <row r="5514" spans="1:4" x14ac:dyDescent="0.25">
      <c r="A5514" t="str">
        <f>T("   TG")</f>
        <v xml:space="preserve">   TG</v>
      </c>
      <c r="B5514" t="str">
        <f>T("   Togo")</f>
        <v xml:space="preserve">   Togo</v>
      </c>
      <c r="C5514">
        <v>6000000</v>
      </c>
      <c r="D5514">
        <v>13820</v>
      </c>
    </row>
    <row r="5515" spans="1:4" x14ac:dyDescent="0.25">
      <c r="A5515" t="str">
        <f>T("460199")</f>
        <v>460199</v>
      </c>
      <c r="B5515" t="str">
        <f>T("MATIÈRES À TRESSER, TRESSES ET ARTICLES SIMIL., EN MATIÈRES À TRESSER NON-VÉGÉTALES, TISSÉS OU PARALLÉLISÉS, À PLAT (À L'EXCL. DES REVÊTEMENTS MURAUX DU N° 4814 AINSI QUE DES PARTIES DE CHAUSSURES OU DE COIFFURES)")</f>
        <v>MATIÈRES À TRESSER, TRESSES ET ARTICLES SIMIL., EN MATIÈRES À TRESSER NON-VÉGÉTALES, TISSÉS OU PARALLÉLISÉS, À PLAT (À L'EXCL. DES REVÊTEMENTS MURAUX DU N° 4814 AINSI QUE DES PARTIES DE CHAUSSURES OU DE COIFFURES)</v>
      </c>
    </row>
    <row r="5516" spans="1:4" x14ac:dyDescent="0.25">
      <c r="A5516" t="str">
        <f>T("   ZZZ_Monde")</f>
        <v xml:space="preserve">   ZZZ_Monde</v>
      </c>
      <c r="B5516" t="str">
        <f>T("   ZZZ_Monde")</f>
        <v xml:space="preserve">   ZZZ_Monde</v>
      </c>
      <c r="C5516">
        <v>12307508</v>
      </c>
      <c r="D5516">
        <v>49944</v>
      </c>
    </row>
    <row r="5517" spans="1:4" x14ac:dyDescent="0.25">
      <c r="A5517" t="str">
        <f>T("   CN")</f>
        <v xml:space="preserve">   CN</v>
      </c>
      <c r="B5517" t="str">
        <f>T("   Chine")</f>
        <v xml:space="preserve">   Chine</v>
      </c>
      <c r="C5517">
        <v>1092355</v>
      </c>
      <c r="D5517">
        <v>3650</v>
      </c>
    </row>
    <row r="5518" spans="1:4" x14ac:dyDescent="0.25">
      <c r="A5518" t="str">
        <f>T("   GH")</f>
        <v xml:space="preserve">   GH</v>
      </c>
      <c r="B5518" t="str">
        <f>T("   Ghana")</f>
        <v xml:space="preserve">   Ghana</v>
      </c>
      <c r="C5518">
        <v>2725000</v>
      </c>
      <c r="D5518">
        <v>16855</v>
      </c>
    </row>
    <row r="5519" spans="1:4" x14ac:dyDescent="0.25">
      <c r="A5519" t="str">
        <f>T("   TG")</f>
        <v xml:space="preserve">   TG</v>
      </c>
      <c r="B5519" t="str">
        <f>T("   Togo")</f>
        <v xml:space="preserve">   Togo</v>
      </c>
      <c r="C5519">
        <v>8490153</v>
      </c>
      <c r="D5519">
        <v>29439</v>
      </c>
    </row>
    <row r="5520" spans="1:4" x14ac:dyDescent="0.25">
      <c r="A5520" t="str">
        <f>T("460210")</f>
        <v>460210</v>
      </c>
      <c r="B5520" t="str">
        <f>T("Ouvrages de vannerie obtenus directement en forme à partir de matières à tresser végétales ou confectionnés à l'aide des matières à tresser végétales du n° 4601; ouvrages en luffa (sauf revêtements muraux du n° 4814, ficelles, cordes et cordages, chaussur")</f>
        <v>Ouvrages de vannerie obtenus directement en forme à partir de matières à tresser végétales ou confectionnés à l'aide des matières à tresser végétales du n° 4601; ouvrages en luffa (sauf revêtements muraux du n° 4814, ficelles, cordes et cordages, chaussur</v>
      </c>
    </row>
    <row r="5521" spans="1:4" x14ac:dyDescent="0.25">
      <c r="A5521" t="str">
        <f>T("   ZZZ_Monde")</f>
        <v xml:space="preserve">   ZZZ_Monde</v>
      </c>
      <c r="B5521" t="str">
        <f>T("   ZZZ_Monde")</f>
        <v xml:space="preserve">   ZZZ_Monde</v>
      </c>
      <c r="C5521">
        <v>125000</v>
      </c>
      <c r="D5521">
        <v>100</v>
      </c>
    </row>
    <row r="5522" spans="1:4" x14ac:dyDescent="0.25">
      <c r="A5522" t="str">
        <f>T("   NG")</f>
        <v xml:space="preserve">   NG</v>
      </c>
      <c r="B5522" t="str">
        <f>T("   Nigéria")</f>
        <v xml:space="preserve">   Nigéria</v>
      </c>
      <c r="C5522">
        <v>125000</v>
      </c>
      <c r="D5522">
        <v>100</v>
      </c>
    </row>
    <row r="5523" spans="1:4" x14ac:dyDescent="0.25">
      <c r="A5523" t="str">
        <f>T("460290")</f>
        <v>460290</v>
      </c>
      <c r="B5523" t="str">
        <f>T("Ouvrages de vannerie obtenus directement en forme à partir de matières à tresser non végétales ou confectionnés à l'aide de matières à tresser non végétales du n° 4601 (à l'excl. des revêtements muraux du n° 4814, des ficelles, cordes et cordages, des cha")</f>
        <v>Ouvrages de vannerie obtenus directement en forme à partir de matières à tresser non végétales ou confectionnés à l'aide de matières à tresser non végétales du n° 4601 (à l'excl. des revêtements muraux du n° 4814, des ficelles, cordes et cordages, des cha</v>
      </c>
    </row>
    <row r="5524" spans="1:4" x14ac:dyDescent="0.25">
      <c r="A5524" t="str">
        <f>T("   ZZZ_Monde")</f>
        <v xml:space="preserve">   ZZZ_Monde</v>
      </c>
      <c r="B5524" t="str">
        <f>T("   ZZZ_Monde")</f>
        <v xml:space="preserve">   ZZZ_Monde</v>
      </c>
      <c r="C5524">
        <v>6075527</v>
      </c>
      <c r="D5524">
        <v>1435</v>
      </c>
    </row>
    <row r="5525" spans="1:4" x14ac:dyDescent="0.25">
      <c r="A5525" t="str">
        <f>T("   BE")</f>
        <v xml:space="preserve">   BE</v>
      </c>
      <c r="B5525" t="str">
        <f>T("   Belgique")</f>
        <v xml:space="preserve">   Belgique</v>
      </c>
      <c r="C5525">
        <v>5857067</v>
      </c>
      <c r="D5525">
        <v>1375</v>
      </c>
    </row>
    <row r="5526" spans="1:4" x14ac:dyDescent="0.25">
      <c r="A5526" t="str">
        <f>T("   TG")</f>
        <v xml:space="preserve">   TG</v>
      </c>
      <c r="B5526" t="str">
        <f>T("   Togo")</f>
        <v xml:space="preserve">   Togo</v>
      </c>
      <c r="C5526">
        <v>218460</v>
      </c>
      <c r="D5526">
        <v>60</v>
      </c>
    </row>
    <row r="5527" spans="1:4" x14ac:dyDescent="0.25">
      <c r="A5527" t="str">
        <f>T("470790")</f>
        <v>470790</v>
      </c>
      <c r="B5527" t="str">
        <f>T("PAPIERS OU CARTONS À RECYCLER [DÉCHETS ET REBUTS], Y.C. LES DÉCHETS ET REBUTS NON-TRIÉS (À L'EXCL. DE LA LAINE DE PAPIER, DES DÉCHETS ET REBUTS DE PAPIERS OU CARTONS KRAFT ÉCRUS OU DE PAPIERS OU CARTONS ONDULÉS AINSI QUE DES PRODUITS NON-COLORÉS DANS LA M")</f>
        <v>PAPIERS OU CARTONS À RECYCLER [DÉCHETS ET REBUTS], Y.C. LES DÉCHETS ET REBUTS NON-TRIÉS (À L'EXCL. DE LA LAINE DE PAPIER, DES DÉCHETS ET REBUTS DE PAPIERS OU CARTONS KRAFT ÉCRUS OU DE PAPIERS OU CARTONS ONDULÉS AINSI QUE DES PRODUITS NON-COLORÉS DANS LA M</v>
      </c>
    </row>
    <row r="5528" spans="1:4" x14ac:dyDescent="0.25">
      <c r="A5528" t="str">
        <f>T("   ZZZ_Monde")</f>
        <v xml:space="preserve">   ZZZ_Monde</v>
      </c>
      <c r="B5528" t="str">
        <f>T("   ZZZ_Monde")</f>
        <v xml:space="preserve">   ZZZ_Monde</v>
      </c>
      <c r="C5528">
        <v>23693487</v>
      </c>
      <c r="D5528">
        <v>225350</v>
      </c>
    </row>
    <row r="5529" spans="1:4" x14ac:dyDescent="0.25">
      <c r="A5529" t="str">
        <f>T("   GH")</f>
        <v xml:space="preserve">   GH</v>
      </c>
      <c r="B5529" t="str">
        <f>T("   Ghana")</f>
        <v xml:space="preserve">   Ghana</v>
      </c>
      <c r="C5529">
        <v>13380278</v>
      </c>
      <c r="D5529">
        <v>118690</v>
      </c>
    </row>
    <row r="5530" spans="1:4" x14ac:dyDescent="0.25">
      <c r="A5530" t="str">
        <f>T("   NG")</f>
        <v xml:space="preserve">   NG</v>
      </c>
      <c r="B5530" t="str">
        <f>T("   Nigéria")</f>
        <v xml:space="preserve">   Nigéria</v>
      </c>
      <c r="C5530">
        <v>2584025</v>
      </c>
      <c r="D5530">
        <v>25000</v>
      </c>
    </row>
    <row r="5531" spans="1:4" x14ac:dyDescent="0.25">
      <c r="A5531" t="str">
        <f>T("   TG")</f>
        <v xml:space="preserve">   TG</v>
      </c>
      <c r="B5531" t="str">
        <f>T("   Togo")</f>
        <v xml:space="preserve">   Togo</v>
      </c>
      <c r="C5531">
        <v>7729184</v>
      </c>
      <c r="D5531">
        <v>81660</v>
      </c>
    </row>
    <row r="5532" spans="1:4" x14ac:dyDescent="0.25">
      <c r="A5532" t="str">
        <f>T("480100")</f>
        <v>480100</v>
      </c>
      <c r="B5532" t="str">
        <f>T("Papier journal, en rouleaux d'une largeur &gt; 36 cm ou en feuilles de forme carrée ou rectangulaire dont au moins un coté &gt; 36 cm et l'autre &gt; 15 cm à l'état non plié")</f>
        <v>Papier journal, en rouleaux d'une largeur &gt; 36 cm ou en feuilles de forme carrée ou rectangulaire dont au moins un coté &gt; 36 cm et l'autre &gt; 15 cm à l'état non plié</v>
      </c>
    </row>
    <row r="5533" spans="1:4" x14ac:dyDescent="0.25">
      <c r="A5533" t="str">
        <f>T("   ZZZ_Monde")</f>
        <v xml:space="preserve">   ZZZ_Monde</v>
      </c>
      <c r="B5533" t="str">
        <f>T("   ZZZ_Monde")</f>
        <v xml:space="preserve">   ZZZ_Monde</v>
      </c>
      <c r="C5533">
        <v>127763287</v>
      </c>
      <c r="D5533">
        <v>343554</v>
      </c>
    </row>
    <row r="5534" spans="1:4" x14ac:dyDescent="0.25">
      <c r="A5534" t="str">
        <f>T("   CN")</f>
        <v xml:space="preserve">   CN</v>
      </c>
      <c r="B5534" t="str">
        <f>T("   Chine")</f>
        <v xml:space="preserve">   Chine</v>
      </c>
      <c r="C5534">
        <v>6444663</v>
      </c>
      <c r="D5534">
        <v>17820</v>
      </c>
    </row>
    <row r="5535" spans="1:4" x14ac:dyDescent="0.25">
      <c r="A5535" t="str">
        <f>T("   FR")</f>
        <v xml:space="preserve">   FR</v>
      </c>
      <c r="B5535" t="str">
        <f>T("   France")</f>
        <v xml:space="preserve">   France</v>
      </c>
      <c r="C5535">
        <v>64720607</v>
      </c>
      <c r="D5535">
        <v>179014</v>
      </c>
    </row>
    <row r="5536" spans="1:4" x14ac:dyDescent="0.25">
      <c r="A5536" t="str">
        <f>T("   IN")</f>
        <v xml:space="preserve">   IN</v>
      </c>
      <c r="B5536" t="str">
        <f>T("   Inde")</f>
        <v xml:space="preserve">   Inde</v>
      </c>
      <c r="C5536">
        <v>7021939</v>
      </c>
      <c r="D5536">
        <v>17520</v>
      </c>
    </row>
    <row r="5537" spans="1:4" x14ac:dyDescent="0.25">
      <c r="A5537" t="str">
        <f>T("   NG")</f>
        <v xml:space="preserve">   NG</v>
      </c>
      <c r="B5537" t="str">
        <f>T("   Nigéria")</f>
        <v xml:space="preserve">   Nigéria</v>
      </c>
      <c r="C5537">
        <v>7894880</v>
      </c>
      <c r="D5537">
        <v>5936</v>
      </c>
    </row>
    <row r="5538" spans="1:4" x14ac:dyDescent="0.25">
      <c r="A5538" t="str">
        <f>T("   SG")</f>
        <v xml:space="preserve">   SG</v>
      </c>
      <c r="B5538" t="str">
        <f>T("   Singapour")</f>
        <v xml:space="preserve">   Singapour</v>
      </c>
      <c r="C5538">
        <v>41476420</v>
      </c>
      <c r="D5538">
        <v>120584</v>
      </c>
    </row>
    <row r="5539" spans="1:4" x14ac:dyDescent="0.25">
      <c r="A5539" t="str">
        <f>T("   TG")</f>
        <v xml:space="preserve">   TG</v>
      </c>
      <c r="B5539" t="str">
        <f>T("   Togo")</f>
        <v xml:space="preserve">   Togo</v>
      </c>
      <c r="C5539">
        <v>204778</v>
      </c>
      <c r="D5539">
        <v>2680</v>
      </c>
    </row>
    <row r="5540" spans="1:4" x14ac:dyDescent="0.25">
      <c r="A5540" t="str">
        <f>T("480210")</f>
        <v>480210</v>
      </c>
      <c r="B5540" t="str">
        <f>T("Papiers et cartons formés feuille à feuille [papiers à la main], de tout format et de toute forme")</f>
        <v>Papiers et cartons formés feuille à feuille [papiers à la main], de tout format et de toute forme</v>
      </c>
    </row>
    <row r="5541" spans="1:4" x14ac:dyDescent="0.25">
      <c r="A5541" t="str">
        <f>T("   ZZZ_Monde")</f>
        <v xml:space="preserve">   ZZZ_Monde</v>
      </c>
      <c r="B5541" t="str">
        <f>T("   ZZZ_Monde")</f>
        <v xml:space="preserve">   ZZZ_Monde</v>
      </c>
      <c r="C5541">
        <v>44803118</v>
      </c>
      <c r="D5541">
        <v>99614</v>
      </c>
    </row>
    <row r="5542" spans="1:4" x14ac:dyDescent="0.25">
      <c r="A5542" t="str">
        <f>T("   CN")</f>
        <v xml:space="preserve">   CN</v>
      </c>
      <c r="B5542" t="str">
        <f>T("   Chine")</f>
        <v xml:space="preserve">   Chine</v>
      </c>
      <c r="C5542">
        <v>845170</v>
      </c>
      <c r="D5542">
        <v>2036</v>
      </c>
    </row>
    <row r="5543" spans="1:4" x14ac:dyDescent="0.25">
      <c r="A5543" t="str">
        <f>T("   DE")</f>
        <v xml:space="preserve">   DE</v>
      </c>
      <c r="B5543" t="str">
        <f>T("   Allemagne")</f>
        <v xml:space="preserve">   Allemagne</v>
      </c>
      <c r="C5543">
        <v>11157224</v>
      </c>
      <c r="D5543">
        <v>21728</v>
      </c>
    </row>
    <row r="5544" spans="1:4" x14ac:dyDescent="0.25">
      <c r="A5544" t="str">
        <f>T("   FR")</f>
        <v xml:space="preserve">   FR</v>
      </c>
      <c r="B5544" t="str">
        <f>T("   France")</f>
        <v xml:space="preserve">   France</v>
      </c>
      <c r="C5544">
        <v>616780</v>
      </c>
      <c r="D5544">
        <v>2099</v>
      </c>
    </row>
    <row r="5545" spans="1:4" x14ac:dyDescent="0.25">
      <c r="A5545" t="str">
        <f>T("   IN")</f>
        <v xml:space="preserve">   IN</v>
      </c>
      <c r="B5545" t="str">
        <f>T("   Inde")</f>
        <v xml:space="preserve">   Inde</v>
      </c>
      <c r="C5545">
        <v>11828017</v>
      </c>
      <c r="D5545">
        <v>38675</v>
      </c>
    </row>
    <row r="5546" spans="1:4" x14ac:dyDescent="0.25">
      <c r="A5546" t="str">
        <f>T("   NG")</f>
        <v xml:space="preserve">   NG</v>
      </c>
      <c r="B5546" t="str">
        <f>T("   Nigéria")</f>
        <v xml:space="preserve">   Nigéria</v>
      </c>
      <c r="C5546">
        <v>6240075</v>
      </c>
      <c r="D5546">
        <v>10514</v>
      </c>
    </row>
    <row r="5547" spans="1:4" x14ac:dyDescent="0.25">
      <c r="A5547" t="str">
        <f>T("   SG")</f>
        <v xml:space="preserve">   SG</v>
      </c>
      <c r="B5547" t="str">
        <f>T("   Singapour")</f>
        <v xml:space="preserve">   Singapour</v>
      </c>
      <c r="C5547">
        <v>13936801</v>
      </c>
      <c r="D5547">
        <v>23722</v>
      </c>
    </row>
    <row r="5548" spans="1:4" x14ac:dyDescent="0.25">
      <c r="A5548" t="str">
        <f>T("   TG")</f>
        <v xml:space="preserve">   TG</v>
      </c>
      <c r="B5548" t="str">
        <f>T("   Togo")</f>
        <v xml:space="preserve">   Togo</v>
      </c>
      <c r="C5548">
        <v>179051</v>
      </c>
      <c r="D5548">
        <v>840</v>
      </c>
    </row>
    <row r="5549" spans="1:4" x14ac:dyDescent="0.25">
      <c r="A5549" t="str">
        <f>T("480220")</f>
        <v>480220</v>
      </c>
      <c r="B5549" t="str">
        <f>T("Papiers et cartons supports pour papiers ou cartons photosensibles, sensibles à la chaleur ou électrosensibles, non couchés ni enduits, en rouleaux ou en feuilles de forme carrée ou rectangulaire, de tout format")</f>
        <v>Papiers et cartons supports pour papiers ou cartons photosensibles, sensibles à la chaleur ou électrosensibles, non couchés ni enduits, en rouleaux ou en feuilles de forme carrée ou rectangulaire, de tout format</v>
      </c>
    </row>
    <row r="5550" spans="1:4" x14ac:dyDescent="0.25">
      <c r="A5550" t="str">
        <f>T("   ZZZ_Monde")</f>
        <v xml:space="preserve">   ZZZ_Monde</v>
      </c>
      <c r="B5550" t="str">
        <f>T("   ZZZ_Monde")</f>
        <v xml:space="preserve">   ZZZ_Monde</v>
      </c>
      <c r="C5550">
        <v>14498171</v>
      </c>
      <c r="D5550">
        <v>37601</v>
      </c>
    </row>
    <row r="5551" spans="1:4" x14ac:dyDescent="0.25">
      <c r="A5551" t="str">
        <f>T("   DE")</f>
        <v xml:space="preserve">   DE</v>
      </c>
      <c r="B5551" t="str">
        <f>T("   Allemagne")</f>
        <v xml:space="preserve">   Allemagne</v>
      </c>
      <c r="C5551">
        <v>3467187</v>
      </c>
      <c r="D5551">
        <v>9000</v>
      </c>
    </row>
    <row r="5552" spans="1:4" x14ac:dyDescent="0.25">
      <c r="A5552" t="str">
        <f>T("   LB")</f>
        <v xml:space="preserve">   LB</v>
      </c>
      <c r="B5552" t="str">
        <f>T("   Liban")</f>
        <v xml:space="preserve">   Liban</v>
      </c>
      <c r="C5552">
        <v>11030984</v>
      </c>
      <c r="D5552">
        <v>28601</v>
      </c>
    </row>
    <row r="5553" spans="1:4" x14ac:dyDescent="0.25">
      <c r="A5553" t="str">
        <f>T("480254")</f>
        <v>480254</v>
      </c>
      <c r="B5553" t="str">
        <f>T("Papiers et cartons, non couchés ni enduits, utilisés pour l'écriture, l'impression ou d'autres fins graphiques, et papiers et cartons pour cartes ou bandes à perforer, non perforés, en rouleaux ou en feuilles de forme carrée ou rectangulaire, de tout form")</f>
        <v>Papiers et cartons, non couchés ni enduits, utilisés pour l'écriture, l'impression ou d'autres fins graphiques, et papiers et cartons pour cartes ou bandes à perforer, non perforés, en rouleaux ou en feuilles de forme carrée ou rectangulaire, de tout form</v>
      </c>
    </row>
    <row r="5554" spans="1:4" x14ac:dyDescent="0.25">
      <c r="A5554" t="str">
        <f>T("   ZZZ_Monde")</f>
        <v xml:space="preserve">   ZZZ_Monde</v>
      </c>
      <c r="B5554" t="str">
        <f>T("   ZZZ_Monde")</f>
        <v xml:space="preserve">   ZZZ_Monde</v>
      </c>
      <c r="C5554">
        <v>7789417</v>
      </c>
      <c r="D5554">
        <v>15261</v>
      </c>
    </row>
    <row r="5555" spans="1:4" x14ac:dyDescent="0.25">
      <c r="A5555" t="str">
        <f>T("   CN")</f>
        <v xml:space="preserve">   CN</v>
      </c>
      <c r="B5555" t="str">
        <f>T("   Chine")</f>
        <v xml:space="preserve">   Chine</v>
      </c>
      <c r="C5555">
        <v>7789417</v>
      </c>
      <c r="D5555">
        <v>15261</v>
      </c>
    </row>
    <row r="5556" spans="1:4" x14ac:dyDescent="0.25">
      <c r="A5556" t="str">
        <f>T("480255")</f>
        <v>480255</v>
      </c>
      <c r="B5556" t="str">
        <f>T("PAPIERS ET CARTONS, NON-COUCHÉS NI ENDUITS, UTILISÉS POUR L'ÉCRITURE, L'IMPRESSION OU D'AUTRES FINS GRAPHIQUES, ET PAPIERS ET CARTONS POUR CARTES OU BANDES À PERFORER, NON-PERFORÉS, EN ROULEAUX DE TOUT FORMAT, SANS FIBRES OBTENUES PAR UN PROCÉDÉ MÉCANIQUE")</f>
        <v>PAPIERS ET CARTONS, NON-COUCHÉS NI ENDUITS, UTILISÉS POUR L'ÉCRITURE, L'IMPRESSION OU D'AUTRES FINS GRAPHIQUES, ET PAPIERS ET CARTONS POUR CARTES OU BANDES À PERFORER, NON-PERFORÉS, EN ROULEAUX DE TOUT FORMAT, SANS FIBRES OBTENUES PAR UN PROCÉDÉ MÉCANIQUE</v>
      </c>
    </row>
    <row r="5557" spans="1:4" x14ac:dyDescent="0.25">
      <c r="A5557" t="str">
        <f>T("   ZZZ_Monde")</f>
        <v xml:space="preserve">   ZZZ_Monde</v>
      </c>
      <c r="B5557" t="str">
        <f>T("   ZZZ_Monde")</f>
        <v xml:space="preserve">   ZZZ_Monde</v>
      </c>
      <c r="C5557">
        <v>73168089</v>
      </c>
      <c r="D5557">
        <v>100134</v>
      </c>
    </row>
    <row r="5558" spans="1:4" x14ac:dyDescent="0.25">
      <c r="A5558" t="str">
        <f>T("   FR")</f>
        <v xml:space="preserve">   FR</v>
      </c>
      <c r="B5558" t="str">
        <f>T("   France")</f>
        <v xml:space="preserve">   France</v>
      </c>
      <c r="C5558">
        <v>40749009</v>
      </c>
      <c r="D5558">
        <v>77969</v>
      </c>
    </row>
    <row r="5559" spans="1:4" x14ac:dyDescent="0.25">
      <c r="A5559" t="str">
        <f>T("   NL")</f>
        <v xml:space="preserve">   NL</v>
      </c>
      <c r="B5559" t="str">
        <f>T("   Pays-bas")</f>
        <v xml:space="preserve">   Pays-bas</v>
      </c>
      <c r="C5559">
        <v>32419080</v>
      </c>
      <c r="D5559">
        <v>22165</v>
      </c>
    </row>
    <row r="5560" spans="1:4" x14ac:dyDescent="0.25">
      <c r="A5560" t="str">
        <f>T("480256")</f>
        <v>480256</v>
      </c>
      <c r="B5560" t="str">
        <f>T("PAPIERS ET CARTONS, NON-COUCHÉS NI ENDUITS, UTILISÉS POUR L'ÉCRITURE, L'IMPRESSION OU D'AUTRES FINS GRAPHIQUES, ET PAPIERS ET CARTONS POUR CARTES OU BANDES À PERFORER, NON-PERFORÉS, EN FEUILLES DE FORME CARRÉE OU RECTANGULAIRE DONT UN CÔTÉ &lt;= 435 MM ET L'")</f>
        <v>PAPIERS ET CARTONS, NON-COUCHÉS NI ENDUITS, UTILISÉS POUR L'ÉCRITURE, L'IMPRESSION OU D'AUTRES FINS GRAPHIQUES, ET PAPIERS ET CARTONS POUR CARTES OU BANDES À PERFORER, NON-PERFORÉS, EN FEUILLES DE FORME CARRÉE OU RECTANGULAIRE DONT UN CÔTÉ &lt;= 435 MM ET L'</v>
      </c>
    </row>
    <row r="5561" spans="1:4" x14ac:dyDescent="0.25">
      <c r="A5561" t="str">
        <f>T("   ZZZ_Monde")</f>
        <v xml:space="preserve">   ZZZ_Monde</v>
      </c>
      <c r="B5561" t="str">
        <f>T("   ZZZ_Monde")</f>
        <v xml:space="preserve">   ZZZ_Monde</v>
      </c>
      <c r="C5561">
        <v>1085984629</v>
      </c>
      <c r="D5561">
        <v>2725147.13</v>
      </c>
    </row>
    <row r="5562" spans="1:4" x14ac:dyDescent="0.25">
      <c r="A5562" t="str">
        <f>T("   CN")</f>
        <v xml:space="preserve">   CN</v>
      </c>
      <c r="B5562" t="str">
        <f>T("   Chine")</f>
        <v xml:space="preserve">   Chine</v>
      </c>
      <c r="C5562">
        <v>4265904</v>
      </c>
      <c r="D5562">
        <v>6682</v>
      </c>
    </row>
    <row r="5563" spans="1:4" x14ac:dyDescent="0.25">
      <c r="A5563" t="str">
        <f>T("   NL")</f>
        <v xml:space="preserve">   NL</v>
      </c>
      <c r="B5563" t="str">
        <f>T("   Pays-bas")</f>
        <v xml:space="preserve">   Pays-bas</v>
      </c>
      <c r="C5563">
        <v>10219893</v>
      </c>
      <c r="D5563">
        <v>33280</v>
      </c>
    </row>
    <row r="5564" spans="1:4" x14ac:dyDescent="0.25">
      <c r="A5564" t="str">
        <f>T("   PT")</f>
        <v xml:space="preserve">   PT</v>
      </c>
      <c r="B5564" t="str">
        <f>T("   Portugal")</f>
        <v xml:space="preserve">   Portugal</v>
      </c>
      <c r="C5564">
        <v>137527371</v>
      </c>
      <c r="D5564">
        <v>438470</v>
      </c>
    </row>
    <row r="5565" spans="1:4" x14ac:dyDescent="0.25">
      <c r="A5565" t="str">
        <f>T("   SE")</f>
        <v xml:space="preserve">   SE</v>
      </c>
      <c r="B5565" t="str">
        <f>T("   Suède")</f>
        <v xml:space="preserve">   Suède</v>
      </c>
      <c r="C5565">
        <v>303677800</v>
      </c>
      <c r="D5565">
        <v>611756</v>
      </c>
    </row>
    <row r="5566" spans="1:4" x14ac:dyDescent="0.25">
      <c r="A5566" t="str">
        <f>T("   SG")</f>
        <v xml:space="preserve">   SG</v>
      </c>
      <c r="B5566" t="str">
        <f>T("   Singapour")</f>
        <v xml:space="preserve">   Singapour</v>
      </c>
      <c r="C5566">
        <v>508608779</v>
      </c>
      <c r="D5566">
        <v>1234549.1299999999</v>
      </c>
    </row>
    <row r="5567" spans="1:4" x14ac:dyDescent="0.25">
      <c r="A5567" t="str">
        <f>T("   TG")</f>
        <v xml:space="preserve">   TG</v>
      </c>
      <c r="B5567" t="str">
        <f>T("   Togo")</f>
        <v xml:space="preserve">   Togo</v>
      </c>
      <c r="C5567">
        <v>3345000</v>
      </c>
      <c r="D5567">
        <v>62950</v>
      </c>
    </row>
    <row r="5568" spans="1:4" x14ac:dyDescent="0.25">
      <c r="A5568" t="str">
        <f>T("   TH")</f>
        <v xml:space="preserve">   TH</v>
      </c>
      <c r="B5568" t="str">
        <f>T("   Thaïlande")</f>
        <v xml:space="preserve">   Thaïlande</v>
      </c>
      <c r="C5568">
        <v>21896049</v>
      </c>
      <c r="D5568">
        <v>38444</v>
      </c>
    </row>
    <row r="5569" spans="1:4" x14ac:dyDescent="0.25">
      <c r="A5569" t="str">
        <f>T("   ZA")</f>
        <v xml:space="preserve">   ZA</v>
      </c>
      <c r="B5569" t="str">
        <f>T("   Afrique du Sud")</f>
        <v xml:space="preserve">   Afrique du Sud</v>
      </c>
      <c r="C5569">
        <v>96443833</v>
      </c>
      <c r="D5569">
        <v>299016</v>
      </c>
    </row>
    <row r="5570" spans="1:4" x14ac:dyDescent="0.25">
      <c r="A5570" t="str">
        <f>T("480257")</f>
        <v>480257</v>
      </c>
      <c r="B5570" t="str">
        <f>T("Papiers et cartons, non couchés ni enduits, utilisés pour l'écriture, l'impression ou d'autres fins graphiques, et papiers et cartons pour cartes ou bandes à perforer, non perforés, en feuilles de forme carrée ou rectangulaire dont un coté &gt; 435 mm ou don")</f>
        <v>Papiers et cartons, non couchés ni enduits, utilisés pour l'écriture, l'impression ou d'autres fins graphiques, et papiers et cartons pour cartes ou bandes à perforer, non perforés, en feuilles de forme carrée ou rectangulaire dont un coté &gt; 435 mm ou don</v>
      </c>
    </row>
    <row r="5571" spans="1:4" x14ac:dyDescent="0.25">
      <c r="A5571" t="str">
        <f>T("   ZZZ_Monde")</f>
        <v xml:space="preserve">   ZZZ_Monde</v>
      </c>
      <c r="B5571" t="str">
        <f>T("   ZZZ_Monde")</f>
        <v xml:space="preserve">   ZZZ_Monde</v>
      </c>
      <c r="C5571">
        <v>874200475</v>
      </c>
      <c r="D5571">
        <v>1872227</v>
      </c>
    </row>
    <row r="5572" spans="1:4" x14ac:dyDescent="0.25">
      <c r="A5572" t="str">
        <f>T("   AE")</f>
        <v xml:space="preserve">   AE</v>
      </c>
      <c r="B5572" t="str">
        <f>T("   Emirats Arabes Unis")</f>
        <v xml:space="preserve">   Emirats Arabes Unis</v>
      </c>
      <c r="C5572">
        <v>61083234</v>
      </c>
      <c r="D5572">
        <v>136773</v>
      </c>
    </row>
    <row r="5573" spans="1:4" x14ac:dyDescent="0.25">
      <c r="A5573" t="str">
        <f>T("   CN")</f>
        <v xml:space="preserve">   CN</v>
      </c>
      <c r="B5573" t="str">
        <f>T("   Chine")</f>
        <v xml:space="preserve">   Chine</v>
      </c>
      <c r="C5573">
        <v>190036964</v>
      </c>
      <c r="D5573">
        <v>423528</v>
      </c>
    </row>
    <row r="5574" spans="1:4" x14ac:dyDescent="0.25">
      <c r="A5574" t="str">
        <f>T("   FR")</f>
        <v xml:space="preserve">   FR</v>
      </c>
      <c r="B5574" t="str">
        <f>T("   France")</f>
        <v xml:space="preserve">   France</v>
      </c>
      <c r="C5574">
        <v>3860774</v>
      </c>
      <c r="D5574">
        <v>21800</v>
      </c>
    </row>
    <row r="5575" spans="1:4" x14ac:dyDescent="0.25">
      <c r="A5575" t="str">
        <f>T("   ID")</f>
        <v xml:space="preserve">   ID</v>
      </c>
      <c r="B5575" t="str">
        <f>T("   Indonésie")</f>
        <v xml:space="preserve">   Indonésie</v>
      </c>
      <c r="C5575">
        <v>62254613</v>
      </c>
      <c r="D5575">
        <v>122024</v>
      </c>
    </row>
    <row r="5576" spans="1:4" x14ac:dyDescent="0.25">
      <c r="A5576" t="str">
        <f>T("   IN")</f>
        <v xml:space="preserve">   IN</v>
      </c>
      <c r="B5576" t="str">
        <f>T("   Inde")</f>
        <v xml:space="preserve">   Inde</v>
      </c>
      <c r="C5576">
        <v>27113647</v>
      </c>
      <c r="D5576">
        <v>59383</v>
      </c>
    </row>
    <row r="5577" spans="1:4" x14ac:dyDescent="0.25">
      <c r="A5577" t="str">
        <f>T("   IT")</f>
        <v xml:space="preserve">   IT</v>
      </c>
      <c r="B5577" t="str">
        <f>T("   Italie")</f>
        <v xml:space="preserve">   Italie</v>
      </c>
      <c r="C5577">
        <v>4498383</v>
      </c>
      <c r="D5577">
        <v>6518</v>
      </c>
    </row>
    <row r="5578" spans="1:4" x14ac:dyDescent="0.25">
      <c r="A5578" t="str">
        <f>T("   NL")</f>
        <v xml:space="preserve">   NL</v>
      </c>
      <c r="B5578" t="str">
        <f>T("   Pays-bas")</f>
        <v xml:space="preserve">   Pays-bas</v>
      </c>
      <c r="C5578">
        <v>47218293</v>
      </c>
      <c r="D5578">
        <v>99383</v>
      </c>
    </row>
    <row r="5579" spans="1:4" x14ac:dyDescent="0.25">
      <c r="A5579" t="str">
        <f>T("   PT")</f>
        <v xml:space="preserve">   PT</v>
      </c>
      <c r="B5579" t="str">
        <f>T("   Portugal")</f>
        <v xml:space="preserve">   Portugal</v>
      </c>
      <c r="C5579">
        <v>20494768</v>
      </c>
      <c r="D5579">
        <v>39824</v>
      </c>
    </row>
    <row r="5580" spans="1:4" x14ac:dyDescent="0.25">
      <c r="A5580" t="str">
        <f>T("   SE")</f>
        <v xml:space="preserve">   SE</v>
      </c>
      <c r="B5580" t="str">
        <f>T("   Suède")</f>
        <v xml:space="preserve">   Suède</v>
      </c>
      <c r="C5580">
        <v>133798695</v>
      </c>
      <c r="D5580">
        <v>258501</v>
      </c>
    </row>
    <row r="5581" spans="1:4" x14ac:dyDescent="0.25">
      <c r="A5581" t="str">
        <f>T("   SG")</f>
        <v xml:space="preserve">   SG</v>
      </c>
      <c r="B5581" t="str">
        <f>T("   Singapour")</f>
        <v xml:space="preserve">   Singapour</v>
      </c>
      <c r="C5581">
        <v>323841104</v>
      </c>
      <c r="D5581">
        <v>704493</v>
      </c>
    </row>
    <row r="5582" spans="1:4" x14ac:dyDescent="0.25">
      <c r="A5582" t="str">
        <f>T("480258")</f>
        <v>480258</v>
      </c>
      <c r="B5582" t="str">
        <f>T("PAPIERS ET CARTONS, NON-COUCHÉS NI ENDUITS, UTILISÉS POUR L'ÉCRITURE, L'IMPRESSION OU D'AUTRES FINS GRAPHIQUES, ET PAPIERS ET CARTONS POUR CARTES OU BANDES À PERFORER, NON-PERFORÉS, EN ROULEAUX OU EN FEUILLES DE FORME CARRÉE OU RECTANGULAIRE, DE TOUT FORM")</f>
        <v>PAPIERS ET CARTONS, NON-COUCHÉS NI ENDUITS, UTILISÉS POUR L'ÉCRITURE, L'IMPRESSION OU D'AUTRES FINS GRAPHIQUES, ET PAPIERS ET CARTONS POUR CARTES OU BANDES À PERFORER, NON-PERFORÉS, EN ROULEAUX OU EN FEUILLES DE FORME CARRÉE OU RECTANGULAIRE, DE TOUT FORM</v>
      </c>
    </row>
    <row r="5583" spans="1:4" x14ac:dyDescent="0.25">
      <c r="A5583" t="str">
        <f>T("   ZZZ_Monde")</f>
        <v xml:space="preserve">   ZZZ_Monde</v>
      </c>
      <c r="B5583" t="str">
        <f>T("   ZZZ_Monde")</f>
        <v xml:space="preserve">   ZZZ_Monde</v>
      </c>
      <c r="C5583">
        <v>410002659</v>
      </c>
      <c r="D5583">
        <v>1026351</v>
      </c>
    </row>
    <row r="5584" spans="1:4" x14ac:dyDescent="0.25">
      <c r="A5584" t="str">
        <f>T("   FR")</f>
        <v xml:space="preserve">   FR</v>
      </c>
      <c r="B5584" t="str">
        <f>T("   France")</f>
        <v xml:space="preserve">   France</v>
      </c>
      <c r="C5584">
        <v>35582131</v>
      </c>
      <c r="D5584">
        <v>43357</v>
      </c>
    </row>
    <row r="5585" spans="1:4" x14ac:dyDescent="0.25">
      <c r="A5585" t="str">
        <f>T("   ID")</f>
        <v xml:space="preserve">   ID</v>
      </c>
      <c r="B5585" t="str">
        <f>T("   Indonésie")</f>
        <v xml:space="preserve">   Indonésie</v>
      </c>
      <c r="C5585">
        <v>42849565</v>
      </c>
      <c r="D5585">
        <v>81174</v>
      </c>
    </row>
    <row r="5586" spans="1:4" x14ac:dyDescent="0.25">
      <c r="A5586" t="str">
        <f>T("   IT")</f>
        <v xml:space="preserve">   IT</v>
      </c>
      <c r="B5586" t="str">
        <f>T("   Italie")</f>
        <v xml:space="preserve">   Italie</v>
      </c>
      <c r="C5586">
        <v>6178527</v>
      </c>
      <c r="D5586">
        <v>9247</v>
      </c>
    </row>
    <row r="5587" spans="1:4" x14ac:dyDescent="0.25">
      <c r="A5587" t="str">
        <f>T("   SG")</f>
        <v xml:space="preserve">   SG</v>
      </c>
      <c r="B5587" t="str">
        <f>T("   Singapour")</f>
        <v xml:space="preserve">   Singapour</v>
      </c>
      <c r="C5587">
        <v>303792436</v>
      </c>
      <c r="D5587">
        <v>847773</v>
      </c>
    </row>
    <row r="5588" spans="1:4" x14ac:dyDescent="0.25">
      <c r="A5588" t="str">
        <f>T("   TG")</f>
        <v xml:space="preserve">   TG</v>
      </c>
      <c r="B5588" t="str">
        <f>T("   Togo")</f>
        <v xml:space="preserve">   Togo</v>
      </c>
      <c r="C5588">
        <v>21600000</v>
      </c>
      <c r="D5588">
        <v>44800</v>
      </c>
    </row>
    <row r="5589" spans="1:4" x14ac:dyDescent="0.25">
      <c r="A5589" t="str">
        <f>T("480261")</f>
        <v>480261</v>
      </c>
      <c r="B5589" t="str">
        <f>T("PAPIERS ET CARTONS, NON-COUCHÉS NI ENDUITS, UTILISÉS POUR L'ÉCRITURE, L'IMPRESSION OU D'AUTRES FINS GRAPHIQUES, ET PAPIERS ET CARTONS POUR CARTES OU BANDES À PERFORER, NON-PERFORÉS, EN ROULEAUX DE TOUT FORMAT, DONT &gt; 10% EN POIDS DE LA COMPOSITION FIBREUS")</f>
        <v>PAPIERS ET CARTONS, NON-COUCHÉS NI ENDUITS, UTILISÉS POUR L'ÉCRITURE, L'IMPRESSION OU D'AUTRES FINS GRAPHIQUES, ET PAPIERS ET CARTONS POUR CARTES OU BANDES À PERFORER, NON-PERFORÉS, EN ROULEAUX DE TOUT FORMAT, DONT &gt; 10% EN POIDS DE LA COMPOSITION FIBREUS</v>
      </c>
    </row>
    <row r="5590" spans="1:4" x14ac:dyDescent="0.25">
      <c r="A5590" t="str">
        <f>T("   ZZZ_Monde")</f>
        <v xml:space="preserve">   ZZZ_Monde</v>
      </c>
      <c r="B5590" t="str">
        <f>T("   ZZZ_Monde")</f>
        <v xml:space="preserve">   ZZZ_Monde</v>
      </c>
      <c r="C5590">
        <v>531002</v>
      </c>
      <c r="D5590">
        <v>1426</v>
      </c>
    </row>
    <row r="5591" spans="1:4" x14ac:dyDescent="0.25">
      <c r="A5591" t="str">
        <f>T("   SG")</f>
        <v xml:space="preserve">   SG</v>
      </c>
      <c r="B5591" t="str">
        <f>T("   Singapour")</f>
        <v xml:space="preserve">   Singapour</v>
      </c>
      <c r="C5591">
        <v>531002</v>
      </c>
      <c r="D5591">
        <v>1426</v>
      </c>
    </row>
    <row r="5592" spans="1:4" x14ac:dyDescent="0.25">
      <c r="A5592" t="str">
        <f>T("480269")</f>
        <v>480269</v>
      </c>
      <c r="B5592" t="str">
        <f>T("Papiers et cartons, non couchés ni enduits, utilisés pour l'écriture, l'impression ou d'autres fins graphiques, et papiers et cartons pour cartes ou bandes à perforer, non perforés, en feuilles de forme carrée ou rectangulaire dont un coté &gt; 435 mm ou don")</f>
        <v>Papiers et cartons, non couchés ni enduits, utilisés pour l'écriture, l'impression ou d'autres fins graphiques, et papiers et cartons pour cartes ou bandes à perforer, non perforés, en feuilles de forme carrée ou rectangulaire dont un coté &gt; 435 mm ou don</v>
      </c>
    </row>
    <row r="5593" spans="1:4" x14ac:dyDescent="0.25">
      <c r="A5593" t="str">
        <f>T("   ZZZ_Monde")</f>
        <v xml:space="preserve">   ZZZ_Monde</v>
      </c>
      <c r="B5593" t="str">
        <f>T("   ZZZ_Monde")</f>
        <v xml:space="preserve">   ZZZ_Monde</v>
      </c>
      <c r="C5593">
        <v>541490335</v>
      </c>
      <c r="D5593">
        <v>1064877</v>
      </c>
    </row>
    <row r="5594" spans="1:4" x14ac:dyDescent="0.25">
      <c r="A5594" t="str">
        <f>T("   BE")</f>
        <v xml:space="preserve">   BE</v>
      </c>
      <c r="B5594" t="str">
        <f>T("   Belgique")</f>
        <v xml:space="preserve">   Belgique</v>
      </c>
      <c r="C5594">
        <v>68839066</v>
      </c>
      <c r="D5594">
        <v>150442</v>
      </c>
    </row>
    <row r="5595" spans="1:4" x14ac:dyDescent="0.25">
      <c r="A5595" t="str">
        <f>T("   CN")</f>
        <v xml:space="preserve">   CN</v>
      </c>
      <c r="B5595" t="str">
        <f>T("   Chine")</f>
        <v xml:space="preserve">   Chine</v>
      </c>
      <c r="C5595">
        <v>60213</v>
      </c>
      <c r="D5595">
        <v>85</v>
      </c>
    </row>
    <row r="5596" spans="1:4" x14ac:dyDescent="0.25">
      <c r="A5596" t="str">
        <f>T("   FR")</f>
        <v xml:space="preserve">   FR</v>
      </c>
      <c r="B5596" t="str">
        <f>T("   France")</f>
        <v xml:space="preserve">   France</v>
      </c>
      <c r="C5596">
        <v>113632271</v>
      </c>
      <c r="D5596">
        <v>194897</v>
      </c>
    </row>
    <row r="5597" spans="1:4" x14ac:dyDescent="0.25">
      <c r="A5597" t="str">
        <f>T("   SE")</f>
        <v xml:space="preserve">   SE</v>
      </c>
      <c r="B5597" t="str">
        <f>T("   Suède")</f>
        <v xml:space="preserve">   Suède</v>
      </c>
      <c r="C5597">
        <v>337365110</v>
      </c>
      <c r="D5597">
        <v>679239</v>
      </c>
    </row>
    <row r="5598" spans="1:4" x14ac:dyDescent="0.25">
      <c r="A5598" t="str">
        <f>T("   SG")</f>
        <v xml:space="preserve">   SG</v>
      </c>
      <c r="B5598" t="str">
        <f>T("   Singapour")</f>
        <v xml:space="preserve">   Singapour</v>
      </c>
      <c r="C5598">
        <v>21593675</v>
      </c>
      <c r="D5598">
        <v>40214</v>
      </c>
    </row>
    <row r="5599" spans="1:4" x14ac:dyDescent="0.25">
      <c r="A5599" t="str">
        <f>T("480300")</f>
        <v>480300</v>
      </c>
      <c r="B5599" t="str">
        <f>T("Papiers utilisés pour papiers de toilette, serviettes à démaquiller, essuie-mains, serviettes ou papiers simil. à usages domestiques, d'hygiène ou de toilette, ouate de cellulose et nappes de fibres de cellulose, même crêpés, plissés, gaufrés, estampés, p")</f>
        <v>Papiers utilisés pour papiers de toilette, serviettes à démaquiller, essuie-mains, serviettes ou papiers simil. à usages domestiques, d'hygiène ou de toilette, ouate de cellulose et nappes de fibres de cellulose, même crêpés, plissés, gaufrés, estampés, p</v>
      </c>
    </row>
    <row r="5600" spans="1:4" x14ac:dyDescent="0.25">
      <c r="A5600" t="str">
        <f>T("   ZZZ_Monde")</f>
        <v xml:space="preserve">   ZZZ_Monde</v>
      </c>
      <c r="B5600" t="str">
        <f>T("   ZZZ_Monde")</f>
        <v xml:space="preserve">   ZZZ_Monde</v>
      </c>
      <c r="C5600">
        <v>155494080</v>
      </c>
      <c r="D5600">
        <v>428787</v>
      </c>
    </row>
    <row r="5601" spans="1:4" x14ac:dyDescent="0.25">
      <c r="A5601" t="str">
        <f>T("   CN")</f>
        <v xml:space="preserve">   CN</v>
      </c>
      <c r="B5601" t="str">
        <f>T("   Chine")</f>
        <v xml:space="preserve">   Chine</v>
      </c>
      <c r="C5601">
        <v>22446668</v>
      </c>
      <c r="D5601">
        <v>64498</v>
      </c>
    </row>
    <row r="5602" spans="1:4" x14ac:dyDescent="0.25">
      <c r="A5602" t="str">
        <f>T("   CZ")</f>
        <v xml:space="preserve">   CZ</v>
      </c>
      <c r="B5602" t="str">
        <f>T("   Tchèque, République")</f>
        <v xml:space="preserve">   Tchèque, République</v>
      </c>
      <c r="C5602">
        <v>10332104</v>
      </c>
      <c r="D5602">
        <v>10000</v>
      </c>
    </row>
    <row r="5603" spans="1:4" x14ac:dyDescent="0.25">
      <c r="A5603" t="str">
        <f>T("   FR")</f>
        <v xml:space="preserve">   FR</v>
      </c>
      <c r="B5603" t="str">
        <f>T("   France")</f>
        <v xml:space="preserve">   France</v>
      </c>
      <c r="C5603">
        <v>7012736</v>
      </c>
      <c r="D5603">
        <v>10728</v>
      </c>
    </row>
    <row r="5604" spans="1:4" x14ac:dyDescent="0.25">
      <c r="A5604" t="str">
        <f>T("   IT")</f>
        <v xml:space="preserve">   IT</v>
      </c>
      <c r="B5604" t="str">
        <f>T("   Italie")</f>
        <v xml:space="preserve">   Italie</v>
      </c>
      <c r="C5604">
        <v>20669392</v>
      </c>
      <c r="D5604">
        <v>18852</v>
      </c>
    </row>
    <row r="5605" spans="1:4" x14ac:dyDescent="0.25">
      <c r="A5605" t="str">
        <f>T("   LB")</f>
        <v xml:space="preserve">   LB</v>
      </c>
      <c r="B5605" t="str">
        <f>T("   Liban")</f>
        <v xml:space="preserve">   Liban</v>
      </c>
      <c r="C5605">
        <v>89833180</v>
      </c>
      <c r="D5605">
        <v>313689</v>
      </c>
    </row>
    <row r="5606" spans="1:4" x14ac:dyDescent="0.25">
      <c r="A5606" t="str">
        <f>T("   TG")</f>
        <v xml:space="preserve">   TG</v>
      </c>
      <c r="B5606" t="str">
        <f>T("   Togo")</f>
        <v xml:space="preserve">   Togo</v>
      </c>
      <c r="C5606">
        <v>5200000</v>
      </c>
      <c r="D5606">
        <v>11020</v>
      </c>
    </row>
    <row r="5607" spans="1:4" x14ac:dyDescent="0.25">
      <c r="A5607" t="str">
        <f>T("480419")</f>
        <v>480419</v>
      </c>
      <c r="B5607" t="str">
        <f>T("PAPIERS ET CARTONS POUR COUVERTURE, DITS 'KRAFTLINER', NON-COUCHÉS NI ENDUITS, EN ROULEAUX D'UNE LARGEUR &gt; 36 CM (À L'EXCL. DES PAPIERS ET CARTONS ÉCRUS AINSI QUE DES ARTICLES DU N° 4802 OU 4803)")</f>
        <v>PAPIERS ET CARTONS POUR COUVERTURE, DITS 'KRAFTLINER', NON-COUCHÉS NI ENDUITS, EN ROULEAUX D'UNE LARGEUR &gt; 36 CM (À L'EXCL. DES PAPIERS ET CARTONS ÉCRUS AINSI QUE DES ARTICLES DU N° 4802 OU 4803)</v>
      </c>
    </row>
    <row r="5608" spans="1:4" x14ac:dyDescent="0.25">
      <c r="A5608" t="str">
        <f>T("   ZZZ_Monde")</f>
        <v xml:space="preserve">   ZZZ_Monde</v>
      </c>
      <c r="B5608" t="str">
        <f>T("   ZZZ_Monde")</f>
        <v xml:space="preserve">   ZZZ_Monde</v>
      </c>
      <c r="C5608">
        <v>12000</v>
      </c>
      <c r="D5608">
        <v>20</v>
      </c>
    </row>
    <row r="5609" spans="1:4" x14ac:dyDescent="0.25">
      <c r="A5609" t="str">
        <f>T("   NG")</f>
        <v xml:space="preserve">   NG</v>
      </c>
      <c r="B5609" t="str">
        <f>T("   Nigéria")</f>
        <v xml:space="preserve">   Nigéria</v>
      </c>
      <c r="C5609">
        <v>12000</v>
      </c>
      <c r="D5609">
        <v>20</v>
      </c>
    </row>
    <row r="5610" spans="1:4" x14ac:dyDescent="0.25">
      <c r="A5610" t="str">
        <f>T("480421")</f>
        <v>480421</v>
      </c>
      <c r="B5610" t="str">
        <f>T("PAPIERS KRAFT POUR SACS DE GRANDE CONTENANCE, ÉCRUS, NON-COUCHÉS NI ENDUITS, EN ROULEAUX D'UNE LARGEUR &gt; 36 CM (À L'EXCL. DES ARTICLES DU N° 4802, 4803 OU 4808)")</f>
        <v>PAPIERS KRAFT POUR SACS DE GRANDE CONTENANCE, ÉCRUS, NON-COUCHÉS NI ENDUITS, EN ROULEAUX D'UNE LARGEUR &gt; 36 CM (À L'EXCL. DES ARTICLES DU N° 4802, 4803 OU 4808)</v>
      </c>
    </row>
    <row r="5611" spans="1:4" x14ac:dyDescent="0.25">
      <c r="A5611" t="str">
        <f>T("   ZZZ_Monde")</f>
        <v xml:space="preserve">   ZZZ_Monde</v>
      </c>
      <c r="B5611" t="str">
        <f>T("   ZZZ_Monde")</f>
        <v xml:space="preserve">   ZZZ_Monde</v>
      </c>
      <c r="C5611">
        <v>453741218</v>
      </c>
      <c r="D5611">
        <v>913037</v>
      </c>
    </row>
    <row r="5612" spans="1:4" x14ac:dyDescent="0.25">
      <c r="A5612" t="str">
        <f>T("   GB")</f>
        <v xml:space="preserve">   GB</v>
      </c>
      <c r="B5612" t="str">
        <f>T("   Royaume-Uni")</f>
        <v xml:space="preserve">   Royaume-Uni</v>
      </c>
      <c r="C5612">
        <v>242548131</v>
      </c>
      <c r="D5612">
        <v>467551</v>
      </c>
    </row>
    <row r="5613" spans="1:4" x14ac:dyDescent="0.25">
      <c r="A5613" t="str">
        <f>T("   SE")</f>
        <v xml:space="preserve">   SE</v>
      </c>
      <c r="B5613" t="str">
        <f>T("   Suède")</f>
        <v xml:space="preserve">   Suède</v>
      </c>
      <c r="C5613">
        <v>64456531</v>
      </c>
      <c r="D5613">
        <v>139625</v>
      </c>
    </row>
    <row r="5614" spans="1:4" x14ac:dyDescent="0.25">
      <c r="A5614" t="str">
        <f>T("   ZA")</f>
        <v xml:space="preserve">   ZA</v>
      </c>
      <c r="B5614" t="str">
        <f>T("   Afrique du Sud")</f>
        <v xml:space="preserve">   Afrique du Sud</v>
      </c>
      <c r="C5614">
        <v>146736556</v>
      </c>
      <c r="D5614">
        <v>305861</v>
      </c>
    </row>
    <row r="5615" spans="1:4" x14ac:dyDescent="0.25">
      <c r="A5615" t="str">
        <f>T("480429")</f>
        <v>480429</v>
      </c>
      <c r="B5615" t="str">
        <f>T("PAPIERS KRAFT POUR SACS DE GRANDE CONTENANCE, NON-COUCHÉS NI ENDUITS, EN ROULEAUX D'UNE LARGEUR &gt; 36 CM (À L'EXCL. DES PAPIERS ÉCRUS AINSI QUE DES ARTICLES DU N° 4802, 4803 OU 4808)")</f>
        <v>PAPIERS KRAFT POUR SACS DE GRANDE CONTENANCE, NON-COUCHÉS NI ENDUITS, EN ROULEAUX D'UNE LARGEUR &gt; 36 CM (À L'EXCL. DES PAPIERS ÉCRUS AINSI QUE DES ARTICLES DU N° 4802, 4803 OU 4808)</v>
      </c>
    </row>
    <row r="5616" spans="1:4" x14ac:dyDescent="0.25">
      <c r="A5616" t="str">
        <f>T("   ZZZ_Monde")</f>
        <v xml:space="preserve">   ZZZ_Monde</v>
      </c>
      <c r="B5616" t="str">
        <f>T("   ZZZ_Monde")</f>
        <v xml:space="preserve">   ZZZ_Monde</v>
      </c>
      <c r="C5616">
        <v>161961864</v>
      </c>
      <c r="D5616">
        <v>383885</v>
      </c>
    </row>
    <row r="5617" spans="1:4" x14ac:dyDescent="0.25">
      <c r="A5617" t="str">
        <f>T("   FR")</f>
        <v xml:space="preserve">   FR</v>
      </c>
      <c r="B5617" t="str">
        <f>T("   France")</f>
        <v xml:space="preserve">   France</v>
      </c>
      <c r="C5617">
        <v>279865</v>
      </c>
      <c r="D5617">
        <v>1000</v>
      </c>
    </row>
    <row r="5618" spans="1:4" x14ac:dyDescent="0.25">
      <c r="A5618" t="str">
        <f>T("   SE")</f>
        <v xml:space="preserve">   SE</v>
      </c>
      <c r="B5618" t="str">
        <f>T("   Suède")</f>
        <v xml:space="preserve">   Suède</v>
      </c>
      <c r="C5618">
        <v>85264128</v>
      </c>
      <c r="D5618">
        <v>186630</v>
      </c>
    </row>
    <row r="5619" spans="1:4" x14ac:dyDescent="0.25">
      <c r="A5619" t="str">
        <f>T("   SG")</f>
        <v xml:space="preserve">   SG</v>
      </c>
      <c r="B5619" t="str">
        <f>T("   Singapour")</f>
        <v xml:space="preserve">   Singapour</v>
      </c>
      <c r="C5619">
        <v>15881336</v>
      </c>
      <c r="D5619">
        <v>38160</v>
      </c>
    </row>
    <row r="5620" spans="1:4" x14ac:dyDescent="0.25">
      <c r="A5620" t="str">
        <f>T("   TG")</f>
        <v xml:space="preserve">   TG</v>
      </c>
      <c r="B5620" t="str">
        <f>T("   Togo")</f>
        <v xml:space="preserve">   Togo</v>
      </c>
      <c r="C5620">
        <v>286482</v>
      </c>
      <c r="D5620">
        <v>2040</v>
      </c>
    </row>
    <row r="5621" spans="1:4" x14ac:dyDescent="0.25">
      <c r="A5621" t="str">
        <f>T("   ZA")</f>
        <v xml:space="preserve">   ZA</v>
      </c>
      <c r="B5621" t="str">
        <f>T("   Afrique du Sud")</f>
        <v xml:space="preserve">   Afrique du Sud</v>
      </c>
      <c r="C5621">
        <v>60250053</v>
      </c>
      <c r="D5621">
        <v>156055</v>
      </c>
    </row>
    <row r="5622" spans="1:4" x14ac:dyDescent="0.25">
      <c r="A5622" t="str">
        <f>T("480431")</f>
        <v>480431</v>
      </c>
      <c r="B5622" t="str">
        <f>T("PAPIERS ET CARTONS KRAFT, ÉCRUS, NON-COUCHÉS NI ENDUITS, EN ROULEAUX D'UNE LARGEUR &gt; 36 CM OU EN FEUILLES DE FORME CARRÉE OU RECTANGULAIRE DONT AU MOINS UN CÔTÉ &gt; 36 CM ET L'AUTRE &gt; 15 CM À L'ÉTAT NON-PLIÉ, D'UN POIDS &lt;= 150 G/M² (À L'EXCL. DES PAPIERS ET")</f>
        <v>PAPIERS ET CARTONS KRAFT, ÉCRUS, NON-COUCHÉS NI ENDUITS, EN ROULEAUX D'UNE LARGEUR &gt; 36 CM OU EN FEUILLES DE FORME CARRÉE OU RECTANGULAIRE DONT AU MOINS UN CÔTÉ &gt; 36 CM ET L'AUTRE &gt; 15 CM À L'ÉTAT NON-PLIÉ, D'UN POIDS &lt;= 150 G/M² (À L'EXCL. DES PAPIERS ET</v>
      </c>
    </row>
    <row r="5623" spans="1:4" x14ac:dyDescent="0.25">
      <c r="A5623" t="str">
        <f>T("   ZZZ_Monde")</f>
        <v xml:space="preserve">   ZZZ_Monde</v>
      </c>
      <c r="B5623" t="str">
        <f>T("   ZZZ_Monde")</f>
        <v xml:space="preserve">   ZZZ_Monde</v>
      </c>
      <c r="C5623">
        <v>10261294</v>
      </c>
      <c r="D5623">
        <v>10179</v>
      </c>
    </row>
    <row r="5624" spans="1:4" x14ac:dyDescent="0.25">
      <c r="A5624" t="str">
        <f>T("   BE")</f>
        <v xml:space="preserve">   BE</v>
      </c>
      <c r="B5624" t="str">
        <f>T("   Belgique")</f>
        <v xml:space="preserve">   Belgique</v>
      </c>
      <c r="C5624">
        <v>10261294</v>
      </c>
      <c r="D5624">
        <v>10179</v>
      </c>
    </row>
    <row r="5625" spans="1:4" x14ac:dyDescent="0.25">
      <c r="A5625" t="str">
        <f>T("480439")</f>
        <v>480439</v>
      </c>
      <c r="B5625" t="str">
        <f>T("PAPIERS ET CARTONS KRAFT, NON-COUCHÉS NI ENDUITS, EN ROULEAUX D'UNE LARGEUR &gt; 36 CM OU EN FEUILLES DE FORME CARRÉE OU RECTANGULAIRE DONT AU MOINS UN CÔTÉ &gt; 36 CM ET L'AUTRE &gt; 15 CM À L'ÉTAT NON-PLIÉ, D'UN POIDS &lt;= 150 G/M² (À L'EXCL. DES PRODUITS ÉCRUS, D")</f>
        <v>PAPIERS ET CARTONS KRAFT, NON-COUCHÉS NI ENDUITS, EN ROULEAUX D'UNE LARGEUR &gt; 36 CM OU EN FEUILLES DE FORME CARRÉE OU RECTANGULAIRE DONT AU MOINS UN CÔTÉ &gt; 36 CM ET L'AUTRE &gt; 15 CM À L'ÉTAT NON-PLIÉ, D'UN POIDS &lt;= 150 G/M² (À L'EXCL. DES PRODUITS ÉCRUS, D</v>
      </c>
    </row>
    <row r="5626" spans="1:4" x14ac:dyDescent="0.25">
      <c r="A5626" t="str">
        <f>T("   ZZZ_Monde")</f>
        <v xml:space="preserve">   ZZZ_Monde</v>
      </c>
      <c r="B5626" t="str">
        <f>T("   ZZZ_Monde")</f>
        <v xml:space="preserve">   ZZZ_Monde</v>
      </c>
      <c r="C5626">
        <v>44940069</v>
      </c>
      <c r="D5626">
        <v>101513</v>
      </c>
    </row>
    <row r="5627" spans="1:4" x14ac:dyDescent="0.25">
      <c r="A5627" t="str">
        <f>T("   FR")</f>
        <v xml:space="preserve">   FR</v>
      </c>
      <c r="B5627" t="str">
        <f>T("   France")</f>
        <v xml:space="preserve">   France</v>
      </c>
      <c r="C5627">
        <v>38190450</v>
      </c>
      <c r="D5627">
        <v>74007</v>
      </c>
    </row>
    <row r="5628" spans="1:4" x14ac:dyDescent="0.25">
      <c r="A5628" t="str">
        <f>T("   SE")</f>
        <v xml:space="preserve">   SE</v>
      </c>
      <c r="B5628" t="str">
        <f>T("   Suède")</f>
        <v xml:space="preserve">   Suède</v>
      </c>
      <c r="C5628">
        <v>5259619</v>
      </c>
      <c r="D5628">
        <v>12238</v>
      </c>
    </row>
    <row r="5629" spans="1:4" x14ac:dyDescent="0.25">
      <c r="A5629" t="str">
        <f>T("   Z2")</f>
        <v xml:space="preserve">   Z2</v>
      </c>
      <c r="B5629" t="str">
        <f>T("   Pays non défini")</f>
        <v xml:space="preserve">   Pays non défini</v>
      </c>
      <c r="C5629">
        <v>1490000</v>
      </c>
      <c r="D5629">
        <v>15268</v>
      </c>
    </row>
    <row r="5630" spans="1:4" x14ac:dyDescent="0.25">
      <c r="A5630" t="str">
        <f>T("480459")</f>
        <v>480459</v>
      </c>
      <c r="B5630" t="str">
        <f>T("PAPIERS ET CARTONS KRAFT, NON-COUCHÉS NI ENDUITS, EN ROULEAUX D'UNE LARGEUR &gt; 36 CM OU EN FEUILLES DE FORME CARRÉE OU RECTANGULAIRE DONT AU MOINS UN CÔTÉ &gt; 36 CM ET L'AUTRE &gt; 15 CM À L'ÉTAT NON-PLIÉ, D'UN POIDS &gt;= 225 G/M² (SAUF PRODUITS 'KRAFTLINER', PAP")</f>
        <v>PAPIERS ET CARTONS KRAFT, NON-COUCHÉS NI ENDUITS, EN ROULEAUX D'UNE LARGEUR &gt; 36 CM OU EN FEUILLES DE FORME CARRÉE OU RECTANGULAIRE DONT AU MOINS UN CÔTÉ &gt; 36 CM ET L'AUTRE &gt; 15 CM À L'ÉTAT NON-PLIÉ, D'UN POIDS &gt;= 225 G/M² (SAUF PRODUITS 'KRAFTLINER', PAP</v>
      </c>
    </row>
    <row r="5631" spans="1:4" x14ac:dyDescent="0.25">
      <c r="A5631" t="str">
        <f>T("   ZZZ_Monde")</f>
        <v xml:space="preserve">   ZZZ_Monde</v>
      </c>
      <c r="B5631" t="str">
        <f>T("   ZZZ_Monde")</f>
        <v xml:space="preserve">   ZZZ_Monde</v>
      </c>
      <c r="C5631">
        <v>1769307</v>
      </c>
      <c r="D5631">
        <v>13979.5</v>
      </c>
    </row>
    <row r="5632" spans="1:4" x14ac:dyDescent="0.25">
      <c r="A5632" t="str">
        <f>T("   NG")</f>
        <v xml:space="preserve">   NG</v>
      </c>
      <c r="B5632" t="str">
        <f>T("   Nigéria")</f>
        <v xml:space="preserve">   Nigéria</v>
      </c>
      <c r="C5632">
        <v>1226050</v>
      </c>
      <c r="D5632">
        <v>4342.5</v>
      </c>
    </row>
    <row r="5633" spans="1:4" x14ac:dyDescent="0.25">
      <c r="A5633" t="str">
        <f>T("   SG")</f>
        <v xml:space="preserve">   SG</v>
      </c>
      <c r="B5633" t="str">
        <f>T("   Singapour")</f>
        <v xml:space="preserve">   Singapour</v>
      </c>
      <c r="C5633">
        <v>543257</v>
      </c>
      <c r="D5633">
        <v>9637</v>
      </c>
    </row>
    <row r="5634" spans="1:4" x14ac:dyDescent="0.25">
      <c r="A5634" t="str">
        <f>T("480519")</f>
        <v>480519</v>
      </c>
      <c r="B5634" t="str">
        <f>T("PAPIER POUR CANNELURE, NON-COUCHÉS NI ENDUITS, EN ROULEAUX D'UNE LARGEUR &gt; 36 CM OU EN FEUILLES DE FORME CARRÉE OU RECTANGULAIRE DONT AU MOINS UN CÔTÉ &gt; 36 CM ET L'AUTRE &gt; 15 CM À L'ÉTAT NON-PLIÉ (À L'EXCL. DU PAPIER MI-CHIMIQUE POUR CANNELURE ET DU PAPIE")</f>
        <v>PAPIER POUR CANNELURE, NON-COUCHÉS NI ENDUITS, EN ROULEAUX D'UNE LARGEUR &gt; 36 CM OU EN FEUILLES DE FORME CARRÉE OU RECTANGULAIRE DONT AU MOINS UN CÔTÉ &gt; 36 CM ET L'AUTRE &gt; 15 CM À L'ÉTAT NON-PLIÉ (À L'EXCL. DU PAPIER MI-CHIMIQUE POUR CANNELURE ET DU PAPIE</v>
      </c>
    </row>
    <row r="5635" spans="1:4" x14ac:dyDescent="0.25">
      <c r="A5635" t="str">
        <f>T("   ZZZ_Monde")</f>
        <v xml:space="preserve">   ZZZ_Monde</v>
      </c>
      <c r="B5635" t="str">
        <f>T("   ZZZ_Monde")</f>
        <v xml:space="preserve">   ZZZ_Monde</v>
      </c>
      <c r="C5635">
        <v>143241</v>
      </c>
      <c r="D5635">
        <v>1620</v>
      </c>
    </row>
    <row r="5636" spans="1:4" x14ac:dyDescent="0.25">
      <c r="A5636" t="str">
        <f>T("   TG")</f>
        <v xml:space="preserve">   TG</v>
      </c>
      <c r="B5636" t="str">
        <f>T("   Togo")</f>
        <v xml:space="preserve">   Togo</v>
      </c>
      <c r="C5636">
        <v>143241</v>
      </c>
      <c r="D5636">
        <v>1620</v>
      </c>
    </row>
    <row r="5637" spans="1:4" x14ac:dyDescent="0.25">
      <c r="A5637" t="str">
        <f>T("480530")</f>
        <v>480530</v>
      </c>
      <c r="B5637" t="str">
        <f>T("PAPIER SULFITE D'EMBALLAGE, NON-COUCHÉ NI ENDUIT, EN ROULEAUX D'UNE LARGEUR &gt; 36 CM OU EN FEUILLES DE FORME CARRÉE OU RECTANGULAIRE DONT AU MOINS UN CÔTÉ &gt; 36 CM ET L'AUTRE &gt; 15 CM À L'ÉTAT NON-PLIÉ")</f>
        <v>PAPIER SULFITE D'EMBALLAGE, NON-COUCHÉ NI ENDUIT, EN ROULEAUX D'UNE LARGEUR &gt; 36 CM OU EN FEUILLES DE FORME CARRÉE OU RECTANGULAIRE DONT AU MOINS UN CÔTÉ &gt; 36 CM ET L'AUTRE &gt; 15 CM À L'ÉTAT NON-PLIÉ</v>
      </c>
    </row>
    <row r="5638" spans="1:4" x14ac:dyDescent="0.25">
      <c r="A5638" t="str">
        <f>T("   ZZZ_Monde")</f>
        <v xml:space="preserve">   ZZZ_Monde</v>
      </c>
      <c r="B5638" t="str">
        <f>T("   ZZZ_Monde")</f>
        <v xml:space="preserve">   ZZZ_Monde</v>
      </c>
      <c r="C5638">
        <v>1333073</v>
      </c>
      <c r="D5638">
        <v>4500</v>
      </c>
    </row>
    <row r="5639" spans="1:4" x14ac:dyDescent="0.25">
      <c r="A5639" t="str">
        <f>T("   CN")</f>
        <v xml:space="preserve">   CN</v>
      </c>
      <c r="B5639" t="str">
        <f>T("   Chine")</f>
        <v xml:space="preserve">   Chine</v>
      </c>
      <c r="C5639">
        <v>1333073</v>
      </c>
      <c r="D5639">
        <v>4500</v>
      </c>
    </row>
    <row r="5640" spans="1:4" x14ac:dyDescent="0.25">
      <c r="A5640" t="str">
        <f>T("480591")</f>
        <v>480591</v>
      </c>
      <c r="B5640" t="str">
        <f>T("Papiers et cartons, non couchés ni enduits, en rouleaux d'une largeur &gt; 36 cm ou en feuilles de forme carrée ou rectangulaire dont au moins un coté &gt; 36 cm et l'autre &gt; 15 cm à l'état non plié, d'un poids &lt;= 150 g/m², n.d.a.")</f>
        <v>Papiers et cartons, non couchés ni enduits, en rouleaux d'une largeur &gt; 36 cm ou en feuilles de forme carrée ou rectangulaire dont au moins un coté &gt; 36 cm et l'autre &gt; 15 cm à l'état non plié, d'un poids &lt;= 150 g/m², n.d.a.</v>
      </c>
    </row>
    <row r="5641" spans="1:4" x14ac:dyDescent="0.25">
      <c r="A5641" t="str">
        <f>T("   ZZZ_Monde")</f>
        <v xml:space="preserve">   ZZZ_Monde</v>
      </c>
      <c r="B5641" t="str">
        <f>T("   ZZZ_Monde")</f>
        <v xml:space="preserve">   ZZZ_Monde</v>
      </c>
      <c r="C5641">
        <v>6246487</v>
      </c>
      <c r="D5641">
        <v>8400</v>
      </c>
    </row>
    <row r="5642" spans="1:4" x14ac:dyDescent="0.25">
      <c r="A5642" t="str">
        <f>T("   SG")</f>
        <v xml:space="preserve">   SG</v>
      </c>
      <c r="B5642" t="str">
        <f>T("   Singapour")</f>
        <v xml:space="preserve">   Singapour</v>
      </c>
      <c r="C5642">
        <v>6246487</v>
      </c>
      <c r="D5642">
        <v>8400</v>
      </c>
    </row>
    <row r="5643" spans="1:4" x14ac:dyDescent="0.25">
      <c r="A5643" t="str">
        <f>T("480592")</f>
        <v>480592</v>
      </c>
      <c r="B5643" t="str">
        <f>T("Papiers et cartons, non couchés ni enduits, en rouleaux d'une largeur &gt; 36 cm ou en feuilles de forme carrée ou rectangulaire dont au moins un coté &gt; 36 cm et l'autre &gt; 15 cm à l'état non plié, d'un poids &gt; 150 g/m² mais &lt; 225 g/m², n.d.a.")</f>
        <v>Papiers et cartons, non couchés ni enduits, en rouleaux d'une largeur &gt; 36 cm ou en feuilles de forme carrée ou rectangulaire dont au moins un coté &gt; 36 cm et l'autre &gt; 15 cm à l'état non plié, d'un poids &gt; 150 g/m² mais &lt; 225 g/m², n.d.a.</v>
      </c>
    </row>
    <row r="5644" spans="1:4" x14ac:dyDescent="0.25">
      <c r="A5644" t="str">
        <f>T("   ZZZ_Monde")</f>
        <v xml:space="preserve">   ZZZ_Monde</v>
      </c>
      <c r="B5644" t="str">
        <f>T("   ZZZ_Monde")</f>
        <v xml:space="preserve">   ZZZ_Monde</v>
      </c>
      <c r="C5644">
        <v>3112612</v>
      </c>
      <c r="D5644">
        <v>25191</v>
      </c>
    </row>
    <row r="5645" spans="1:4" x14ac:dyDescent="0.25">
      <c r="A5645" t="str">
        <f>T("   LB")</f>
        <v xml:space="preserve">   LB</v>
      </c>
      <c r="B5645" t="str">
        <f>T("   Liban")</f>
        <v xml:space="preserve">   Liban</v>
      </c>
      <c r="C5645">
        <v>2696824</v>
      </c>
      <c r="D5645">
        <v>24891</v>
      </c>
    </row>
    <row r="5646" spans="1:4" x14ac:dyDescent="0.25">
      <c r="A5646" t="str">
        <f>T("   SG")</f>
        <v xml:space="preserve">   SG</v>
      </c>
      <c r="B5646" t="str">
        <f>T("   Singapour")</f>
        <v xml:space="preserve">   Singapour</v>
      </c>
      <c r="C5646">
        <v>415788</v>
      </c>
      <c r="D5646">
        <v>300</v>
      </c>
    </row>
    <row r="5647" spans="1:4" x14ac:dyDescent="0.25">
      <c r="A5647" t="str">
        <f>T("480593")</f>
        <v>480593</v>
      </c>
      <c r="B5647" t="str">
        <f>T("PAPIERS ET CARTONS, NON-COUCHÉS NI ENDUITS, EN ROULEAUX D'UNE LARGEUR &gt; 36 CM OU EN FEUILLES DE FORME CARRÉE OU RECTANGULAIRE DONT AU MOINS UN CÔTÉ &gt; 36 CM ET L'AUTRE &gt; 15 CM À L'ÉTAT NON-PLIÉ, D'UN POIDS &gt;= 225 G/M², N.D.A.")</f>
        <v>PAPIERS ET CARTONS, NON-COUCHÉS NI ENDUITS, EN ROULEAUX D'UNE LARGEUR &gt; 36 CM OU EN FEUILLES DE FORME CARRÉE OU RECTANGULAIRE DONT AU MOINS UN CÔTÉ &gt; 36 CM ET L'AUTRE &gt; 15 CM À L'ÉTAT NON-PLIÉ, D'UN POIDS &gt;= 225 G/M², N.D.A.</v>
      </c>
    </row>
    <row r="5648" spans="1:4" x14ac:dyDescent="0.25">
      <c r="A5648" t="str">
        <f>T("   ZZZ_Monde")</f>
        <v xml:space="preserve">   ZZZ_Monde</v>
      </c>
      <c r="B5648" t="str">
        <f>T("   ZZZ_Monde")</f>
        <v xml:space="preserve">   ZZZ_Monde</v>
      </c>
      <c r="C5648">
        <v>106556393</v>
      </c>
      <c r="D5648">
        <v>292187</v>
      </c>
    </row>
    <row r="5649" spans="1:4" x14ac:dyDescent="0.25">
      <c r="A5649" t="str">
        <f>T("   CN")</f>
        <v xml:space="preserve">   CN</v>
      </c>
      <c r="B5649" t="str">
        <f>T("   Chine")</f>
        <v xml:space="preserve">   Chine</v>
      </c>
      <c r="C5649">
        <v>106556393</v>
      </c>
      <c r="D5649">
        <v>292187</v>
      </c>
    </row>
    <row r="5650" spans="1:4" x14ac:dyDescent="0.25">
      <c r="A5650" t="str">
        <f>T("480630")</f>
        <v>480630</v>
      </c>
      <c r="B5650" t="str">
        <f>T("Papiers-calques, en rouleaux d'une largeur &gt; 36 cm ou en feuilles de forme carrée ou rectangulaire dont au moins un coté &gt; 36 cm et l'autre &gt; 15 cm à l'état non plié")</f>
        <v>Papiers-calques, en rouleaux d'une largeur &gt; 36 cm ou en feuilles de forme carrée ou rectangulaire dont au moins un coté &gt; 36 cm et l'autre &gt; 15 cm à l'état non plié</v>
      </c>
    </row>
    <row r="5651" spans="1:4" x14ac:dyDescent="0.25">
      <c r="A5651" t="str">
        <f>T("   ZZZ_Monde")</f>
        <v xml:space="preserve">   ZZZ_Monde</v>
      </c>
      <c r="B5651" t="str">
        <f>T("   ZZZ_Monde")</f>
        <v xml:space="preserve">   ZZZ_Monde</v>
      </c>
      <c r="C5651">
        <v>1216248</v>
      </c>
      <c r="D5651">
        <v>261</v>
      </c>
    </row>
    <row r="5652" spans="1:4" x14ac:dyDescent="0.25">
      <c r="A5652" t="str">
        <f>T("   FR")</f>
        <v xml:space="preserve">   FR</v>
      </c>
      <c r="B5652" t="str">
        <f>T("   France")</f>
        <v xml:space="preserve">   France</v>
      </c>
      <c r="C5652">
        <v>1216248</v>
      </c>
      <c r="D5652">
        <v>261</v>
      </c>
    </row>
    <row r="5653" spans="1:4" x14ac:dyDescent="0.25">
      <c r="A5653" t="str">
        <f>T("480640")</f>
        <v>480640</v>
      </c>
      <c r="B5653" t="str">
        <f>T("PAPIER DIT 'CRISTAL' ET AUTRES PAPIERS CALANDRÉS TRANSPARENTS OU TRANSLUCIDES, EN ROULEAUX D'UNE LARGEUR &gt; 36 CM OU EN FEUILLES DE FORME CARRÉE OU RECTANGULAIRE DONT AU MOINS UN CÔTÉ &gt; 36 CM ET L'AUTRE &gt; 15 CM À L'ÉTAT NON-PLIÉ (À L'EXCL. DES PAPIERS-CALQ")</f>
        <v>PAPIER DIT 'CRISTAL' ET AUTRES PAPIERS CALANDRÉS TRANSPARENTS OU TRANSLUCIDES, EN ROULEAUX D'UNE LARGEUR &gt; 36 CM OU EN FEUILLES DE FORME CARRÉE OU RECTANGULAIRE DONT AU MOINS UN CÔTÉ &gt; 36 CM ET L'AUTRE &gt; 15 CM À L'ÉTAT NON-PLIÉ (À L'EXCL. DES PAPIERS-CALQ</v>
      </c>
    </row>
    <row r="5654" spans="1:4" x14ac:dyDescent="0.25">
      <c r="A5654" t="str">
        <f>T("   ZZZ_Monde")</f>
        <v xml:space="preserve">   ZZZ_Monde</v>
      </c>
      <c r="B5654" t="str">
        <f>T("   ZZZ_Monde")</f>
        <v xml:space="preserve">   ZZZ_Monde</v>
      </c>
      <c r="C5654">
        <v>2076769</v>
      </c>
      <c r="D5654">
        <v>862</v>
      </c>
    </row>
    <row r="5655" spans="1:4" x14ac:dyDescent="0.25">
      <c r="A5655" t="str">
        <f>T("   FI")</f>
        <v xml:space="preserve">   FI</v>
      </c>
      <c r="B5655" t="str">
        <f>T("   Finlande")</f>
        <v xml:space="preserve">   Finlande</v>
      </c>
      <c r="C5655">
        <v>2076769</v>
      </c>
      <c r="D5655">
        <v>862</v>
      </c>
    </row>
    <row r="5656" spans="1:4" x14ac:dyDescent="0.25">
      <c r="A5656" t="str">
        <f>T("480700")</f>
        <v>480700</v>
      </c>
      <c r="B5656" t="str">
        <f>T("PAPIERS ET CARTONS ASSEMBLÉS À PLAT PAR COLLAGE, NON-COUCHÉS NI ENDUITS À LA SURFACE NI IMPRÉGNÉS, MÊME RENFORCÉS INTÉRIEUREMENT, EN ROULEAUX D'UNE LARGEUR &gt; 36 CM OU EN FEUILLES DE FORME CARRÉE OU RECTANGULAIRE DONT AU MOINS UN CÔTÉ &gt; 36 CM ET L'AUTRE &gt;")</f>
        <v>PAPIERS ET CARTONS ASSEMBLÉS À PLAT PAR COLLAGE, NON-COUCHÉS NI ENDUITS À LA SURFACE NI IMPRÉGNÉS, MÊME RENFORCÉS INTÉRIEUREMENT, EN ROULEAUX D'UNE LARGEUR &gt; 36 CM OU EN FEUILLES DE FORME CARRÉE OU RECTANGULAIRE DONT AU MOINS UN CÔTÉ &gt; 36 CM ET L'AUTRE &gt;</v>
      </c>
    </row>
    <row r="5657" spans="1:4" x14ac:dyDescent="0.25">
      <c r="A5657" t="str">
        <f>T("   ZZZ_Monde")</f>
        <v xml:space="preserve">   ZZZ_Monde</v>
      </c>
      <c r="B5657" t="str">
        <f>T("   ZZZ_Monde")</f>
        <v xml:space="preserve">   ZZZ_Monde</v>
      </c>
      <c r="C5657">
        <v>31939500</v>
      </c>
      <c r="D5657">
        <v>63869</v>
      </c>
    </row>
    <row r="5658" spans="1:4" x14ac:dyDescent="0.25">
      <c r="A5658" t="str">
        <f>T("   NG")</f>
        <v xml:space="preserve">   NG</v>
      </c>
      <c r="B5658" t="str">
        <f>T("   Nigéria")</f>
        <v xml:space="preserve">   Nigéria</v>
      </c>
      <c r="C5658">
        <v>31939500</v>
      </c>
      <c r="D5658">
        <v>63869</v>
      </c>
    </row>
    <row r="5659" spans="1:4" x14ac:dyDescent="0.25">
      <c r="A5659" t="str">
        <f>T("480810")</f>
        <v>480810</v>
      </c>
      <c r="B5659" t="str">
        <f>T("Papiers et cartons ondulés, même avec recouvrement par collage, même perforés, en rouleaux d'une largeur &gt; 36 cm ou en feuilles de forme carrée ou rectangulaire dont au moins un coté &gt; 36 cm et l'autre &gt; 15 cm à l'état non plié")</f>
        <v>Papiers et cartons ondulés, même avec recouvrement par collage, même perforés, en rouleaux d'une largeur &gt; 36 cm ou en feuilles de forme carrée ou rectangulaire dont au moins un coté &gt; 36 cm et l'autre &gt; 15 cm à l'état non plié</v>
      </c>
    </row>
    <row r="5660" spans="1:4" x14ac:dyDescent="0.25">
      <c r="A5660" t="str">
        <f>T("   ZZZ_Monde")</f>
        <v xml:space="preserve">   ZZZ_Monde</v>
      </c>
      <c r="B5660" t="str">
        <f>T("   ZZZ_Monde")</f>
        <v xml:space="preserve">   ZZZ_Monde</v>
      </c>
      <c r="C5660">
        <v>14335203</v>
      </c>
      <c r="D5660">
        <v>15920</v>
      </c>
    </row>
    <row r="5661" spans="1:4" x14ac:dyDescent="0.25">
      <c r="A5661" t="str">
        <f>T("   TG")</f>
        <v xml:space="preserve">   TG</v>
      </c>
      <c r="B5661" t="str">
        <f>T("   Togo")</f>
        <v xml:space="preserve">   Togo</v>
      </c>
      <c r="C5661">
        <v>295203</v>
      </c>
      <c r="D5661">
        <v>5000</v>
      </c>
    </row>
    <row r="5662" spans="1:4" x14ac:dyDescent="0.25">
      <c r="A5662" t="str">
        <f>T("   ZA")</f>
        <v xml:space="preserve">   ZA</v>
      </c>
      <c r="B5662" t="str">
        <f>T("   Afrique du Sud")</f>
        <v xml:space="preserve">   Afrique du Sud</v>
      </c>
      <c r="C5662">
        <v>14040000</v>
      </c>
      <c r="D5662">
        <v>10920</v>
      </c>
    </row>
    <row r="5663" spans="1:4" x14ac:dyDescent="0.25">
      <c r="A5663" t="str">
        <f>T("480830")</f>
        <v>480830</v>
      </c>
      <c r="B5663" t="str">
        <f>T("Papiers kraft, crêpés ou plissés, même gaufrés, estampés ou perforés, en rouleaux d'une largeur &gt; 36 cm ou en feuilles de forme carrée ou rectangulaire dont au moins un coté &gt; 36 cm et l'autre &gt; 15 cm à l'état non plié (à l'excl. des papiers kraft pour sa")</f>
        <v>Papiers kraft, crêpés ou plissés, même gaufrés, estampés ou perforés, en rouleaux d'une largeur &gt; 36 cm ou en feuilles de forme carrée ou rectangulaire dont au moins un coté &gt; 36 cm et l'autre &gt; 15 cm à l'état non plié (à l'excl. des papiers kraft pour sa</v>
      </c>
    </row>
    <row r="5664" spans="1:4" x14ac:dyDescent="0.25">
      <c r="A5664" t="str">
        <f>T("   ZZZ_Monde")</f>
        <v xml:space="preserve">   ZZZ_Monde</v>
      </c>
      <c r="B5664" t="str">
        <f>T("   ZZZ_Monde")</f>
        <v xml:space="preserve">   ZZZ_Monde</v>
      </c>
      <c r="C5664">
        <v>40223028</v>
      </c>
      <c r="D5664">
        <v>100032</v>
      </c>
    </row>
    <row r="5665" spans="1:4" x14ac:dyDescent="0.25">
      <c r="A5665" t="str">
        <f>T("   FR")</f>
        <v xml:space="preserve">   FR</v>
      </c>
      <c r="B5665" t="str">
        <f>T("   France")</f>
        <v xml:space="preserve">   France</v>
      </c>
      <c r="C5665">
        <v>292191</v>
      </c>
      <c r="D5665">
        <v>87</v>
      </c>
    </row>
    <row r="5666" spans="1:4" x14ac:dyDescent="0.25">
      <c r="A5666" t="str">
        <f>T("   SE")</f>
        <v xml:space="preserve">   SE</v>
      </c>
      <c r="B5666" t="str">
        <f>T("   Suède")</f>
        <v xml:space="preserve">   Suède</v>
      </c>
      <c r="C5666">
        <v>23755690</v>
      </c>
      <c r="D5666">
        <v>58925</v>
      </c>
    </row>
    <row r="5667" spans="1:4" x14ac:dyDescent="0.25">
      <c r="A5667" t="str">
        <f>T("   SG")</f>
        <v xml:space="preserve">   SG</v>
      </c>
      <c r="B5667" t="str">
        <f>T("   Singapour")</f>
        <v xml:space="preserve">   Singapour</v>
      </c>
      <c r="C5667">
        <v>16175147</v>
      </c>
      <c r="D5667">
        <v>41020</v>
      </c>
    </row>
    <row r="5668" spans="1:4" x14ac:dyDescent="0.25">
      <c r="A5668" t="str">
        <f>T("480890")</f>
        <v>480890</v>
      </c>
      <c r="B5668" t="str">
        <f>T("Papiers et cartons crêpés, plissés, gaufrés, estampés ou perforés, en rouleaux d'une largeur &gt; 36 cm ou en feuilles de forme carrée ou rectangulaire dont au moins un coté &gt; 36 cm et l'autre &gt; 15 cm à l'état non plié (à l'excl. des articles du n° 4803 ains")</f>
        <v>Papiers et cartons crêpés, plissés, gaufrés, estampés ou perforés, en rouleaux d'une largeur &gt; 36 cm ou en feuilles de forme carrée ou rectangulaire dont au moins un coté &gt; 36 cm et l'autre &gt; 15 cm à l'état non plié (à l'excl. des articles du n° 4803 ains</v>
      </c>
    </row>
    <row r="5669" spans="1:4" x14ac:dyDescent="0.25">
      <c r="A5669" t="str">
        <f>T("   ZZZ_Monde")</f>
        <v xml:space="preserve">   ZZZ_Monde</v>
      </c>
      <c r="B5669" t="str">
        <f>T("   ZZZ_Monde")</f>
        <v xml:space="preserve">   ZZZ_Monde</v>
      </c>
      <c r="C5669">
        <v>5571547</v>
      </c>
      <c r="D5669">
        <v>19309</v>
      </c>
    </row>
    <row r="5670" spans="1:4" x14ac:dyDescent="0.25">
      <c r="A5670" t="str">
        <f>T("   CN")</f>
        <v xml:space="preserve">   CN</v>
      </c>
      <c r="B5670" t="str">
        <f>T("   Chine")</f>
        <v xml:space="preserve">   Chine</v>
      </c>
      <c r="C5670">
        <v>1613662</v>
      </c>
      <c r="D5670">
        <v>17433</v>
      </c>
    </row>
    <row r="5671" spans="1:4" x14ac:dyDescent="0.25">
      <c r="A5671" t="str">
        <f>T("   FR")</f>
        <v xml:space="preserve">   FR</v>
      </c>
      <c r="B5671" t="str">
        <f>T("   France")</f>
        <v xml:space="preserve">   France</v>
      </c>
      <c r="C5671">
        <v>3957885</v>
      </c>
      <c r="D5671">
        <v>1876</v>
      </c>
    </row>
    <row r="5672" spans="1:4" x14ac:dyDescent="0.25">
      <c r="A5672" t="str">
        <f>T("480910")</f>
        <v>480910</v>
      </c>
      <c r="B5672" t="str">
        <f>T("Papiers carbone et papiers simil., même imprimés, en rouleaux d'une largeur &gt; 36 cm ou en feuilles de forme carrée ou rectangulaire dont un côté au moins &gt; 36 cm à l'état non plié")</f>
        <v>Papiers carbone et papiers simil., même imprimés, en rouleaux d'une largeur &gt; 36 cm ou en feuilles de forme carrée ou rectangulaire dont un côté au moins &gt; 36 cm à l'état non plié</v>
      </c>
    </row>
    <row r="5673" spans="1:4" x14ac:dyDescent="0.25">
      <c r="A5673" t="str">
        <f>T("   ZZZ_Monde")</f>
        <v xml:space="preserve">   ZZZ_Monde</v>
      </c>
      <c r="B5673" t="str">
        <f>T("   ZZZ_Monde")</f>
        <v xml:space="preserve">   ZZZ_Monde</v>
      </c>
      <c r="C5673">
        <v>27212424</v>
      </c>
      <c r="D5673">
        <v>34880</v>
      </c>
    </row>
    <row r="5674" spans="1:4" x14ac:dyDescent="0.25">
      <c r="A5674" t="str">
        <f>T("   CN")</f>
        <v xml:space="preserve">   CN</v>
      </c>
      <c r="B5674" t="str">
        <f>T("   Chine")</f>
        <v xml:space="preserve">   Chine</v>
      </c>
      <c r="C5674">
        <v>27212424</v>
      </c>
      <c r="D5674">
        <v>34880</v>
      </c>
    </row>
    <row r="5675" spans="1:4" x14ac:dyDescent="0.25">
      <c r="A5675" t="str">
        <f>T("480920")</f>
        <v>480920</v>
      </c>
      <c r="B5675" t="str">
        <f>T("PAPIERS DITS 'AUTOCOPIANTS', MÊME IMPRIMÉS, EN ROULEAUX D'UNE LARGEUR &gt; 36 CM OU EN FEUILLES DE FORME CARRÉE OU RECTANGULAIRE DONT UN CÔTÉ AU MOINS &gt; 36 CM À L'ÉTAT NON-PLIÉ (À L'EXCL. DES PAPIERS CARBONE ET DES PAPIERS SIMIL.)")</f>
        <v>PAPIERS DITS 'AUTOCOPIANTS', MÊME IMPRIMÉS, EN ROULEAUX D'UNE LARGEUR &gt; 36 CM OU EN FEUILLES DE FORME CARRÉE OU RECTANGULAIRE DONT UN CÔTÉ AU MOINS &gt; 36 CM À L'ÉTAT NON-PLIÉ (À L'EXCL. DES PAPIERS CARBONE ET DES PAPIERS SIMIL.)</v>
      </c>
    </row>
    <row r="5676" spans="1:4" x14ac:dyDescent="0.25">
      <c r="A5676" t="str">
        <f>T("   ZZZ_Monde")</f>
        <v xml:space="preserve">   ZZZ_Monde</v>
      </c>
      <c r="B5676" t="str">
        <f>T("   ZZZ_Monde")</f>
        <v xml:space="preserve">   ZZZ_Monde</v>
      </c>
      <c r="C5676">
        <v>115382271</v>
      </c>
      <c r="D5676">
        <v>149003</v>
      </c>
    </row>
    <row r="5677" spans="1:4" x14ac:dyDescent="0.25">
      <c r="A5677" t="str">
        <f>T("   BE")</f>
        <v xml:space="preserve">   BE</v>
      </c>
      <c r="B5677" t="str">
        <f>T("   Belgique")</f>
        <v xml:space="preserve">   Belgique</v>
      </c>
      <c r="C5677">
        <v>14334779</v>
      </c>
      <c r="D5677">
        <v>13207</v>
      </c>
    </row>
    <row r="5678" spans="1:4" x14ac:dyDescent="0.25">
      <c r="A5678" t="str">
        <f>T("   CN")</f>
        <v xml:space="preserve">   CN</v>
      </c>
      <c r="B5678" t="str">
        <f>T("   Chine")</f>
        <v xml:space="preserve">   Chine</v>
      </c>
      <c r="C5678">
        <v>91547492</v>
      </c>
      <c r="D5678">
        <v>114996</v>
      </c>
    </row>
    <row r="5679" spans="1:4" x14ac:dyDescent="0.25">
      <c r="A5679" t="str">
        <f>T("   IN")</f>
        <v xml:space="preserve">   IN</v>
      </c>
      <c r="B5679" t="str">
        <f>T("   Inde")</f>
        <v xml:space="preserve">   Inde</v>
      </c>
      <c r="C5679">
        <v>9500000</v>
      </c>
      <c r="D5679">
        <v>20800</v>
      </c>
    </row>
    <row r="5680" spans="1:4" x14ac:dyDescent="0.25">
      <c r="A5680" t="str">
        <f>T("480990")</f>
        <v>480990</v>
      </c>
      <c r="B5680" t="str">
        <f>T("Papiers pour duplication ou reports - y.c. les papiers couchés, enduits ou imprégnés pour stencils ou pour plaques offset -, même imprimés, en rouleaux d'une largeur &gt; 36 cm ou en feuilles de forme carrée ou rectangulaire dont un côté au moins &gt; 36 cm à l")</f>
        <v>Papiers pour duplication ou reports - y.c. les papiers couchés, enduits ou imprégnés pour stencils ou pour plaques offset -, même imprimés, en rouleaux d'une largeur &gt; 36 cm ou en feuilles de forme carrée ou rectangulaire dont un côté au moins &gt; 36 cm à l</v>
      </c>
    </row>
    <row r="5681" spans="1:4" x14ac:dyDescent="0.25">
      <c r="A5681" t="str">
        <f>T("   ZZZ_Monde")</f>
        <v xml:space="preserve">   ZZZ_Monde</v>
      </c>
      <c r="B5681" t="str">
        <f>T("   ZZZ_Monde")</f>
        <v xml:space="preserve">   ZZZ_Monde</v>
      </c>
      <c r="C5681">
        <v>3342273</v>
      </c>
      <c r="D5681">
        <v>10478.459999999999</v>
      </c>
    </row>
    <row r="5682" spans="1:4" x14ac:dyDescent="0.25">
      <c r="A5682" t="str">
        <f>T("   CN")</f>
        <v xml:space="preserve">   CN</v>
      </c>
      <c r="B5682" t="str">
        <f>T("   Chine")</f>
        <v xml:space="preserve">   Chine</v>
      </c>
      <c r="C5682">
        <v>546710</v>
      </c>
      <c r="D5682">
        <v>1370</v>
      </c>
    </row>
    <row r="5683" spans="1:4" x14ac:dyDescent="0.25">
      <c r="A5683" t="str">
        <f>T("   FR")</f>
        <v xml:space="preserve">   FR</v>
      </c>
      <c r="B5683" t="str">
        <f>T("   France")</f>
        <v xml:space="preserve">   France</v>
      </c>
      <c r="C5683">
        <v>1061042</v>
      </c>
      <c r="D5683">
        <v>4679</v>
      </c>
    </row>
    <row r="5684" spans="1:4" x14ac:dyDescent="0.25">
      <c r="A5684" t="str">
        <f>T("   SG")</f>
        <v xml:space="preserve">   SG</v>
      </c>
      <c r="B5684" t="str">
        <f>T("   Singapour")</f>
        <v xml:space="preserve">   Singapour</v>
      </c>
      <c r="C5684">
        <v>1572160</v>
      </c>
      <c r="D5684">
        <v>3536</v>
      </c>
    </row>
    <row r="5685" spans="1:4" x14ac:dyDescent="0.25">
      <c r="A5685" t="str">
        <f>T("   TG")</f>
        <v xml:space="preserve">   TG</v>
      </c>
      <c r="B5685" t="str">
        <f>T("   Togo")</f>
        <v xml:space="preserve">   Togo</v>
      </c>
      <c r="C5685">
        <v>162361</v>
      </c>
      <c r="D5685">
        <v>893.46</v>
      </c>
    </row>
    <row r="5686" spans="1:4" x14ac:dyDescent="0.25">
      <c r="A5686" t="str">
        <f>T("481013")</f>
        <v>481013</v>
      </c>
      <c r="B5686" t="str">
        <f>T("Papiers et cartons, des types utilisés pour écriture, impression ou autres fins graphiques, sans fibres obtenues par un procédé mécanique ou chimico-mécanique ou dont &lt;= 10% en poids de la composition fibreuse totale sont constitués par de telles fibres,")</f>
        <v>Papiers et cartons, des types utilisés pour écriture, impression ou autres fins graphiques, sans fibres obtenues par un procédé mécanique ou chimico-mécanique ou dont &lt;= 10% en poids de la composition fibreuse totale sont constitués par de telles fibres,</v>
      </c>
    </row>
    <row r="5687" spans="1:4" x14ac:dyDescent="0.25">
      <c r="A5687" t="str">
        <f>T("   ZZZ_Monde")</f>
        <v xml:space="preserve">   ZZZ_Monde</v>
      </c>
      <c r="B5687" t="str">
        <f>T("   ZZZ_Monde")</f>
        <v xml:space="preserve">   ZZZ_Monde</v>
      </c>
      <c r="C5687">
        <v>320918</v>
      </c>
      <c r="D5687">
        <v>472</v>
      </c>
    </row>
    <row r="5688" spans="1:4" x14ac:dyDescent="0.25">
      <c r="A5688" t="str">
        <f>T("   SG")</f>
        <v xml:space="preserve">   SG</v>
      </c>
      <c r="B5688" t="str">
        <f>T("   Singapour")</f>
        <v xml:space="preserve">   Singapour</v>
      </c>
      <c r="C5688">
        <v>320918</v>
      </c>
      <c r="D5688">
        <v>472</v>
      </c>
    </row>
    <row r="5689" spans="1:4" x14ac:dyDescent="0.25">
      <c r="A5689" t="str">
        <f>T("481014")</f>
        <v>481014</v>
      </c>
      <c r="B5689" t="str">
        <f>T("Papiers et cartons, des types utilisés pour écriture, impression ou autres fins graphiques, sans fibres obtenues par un procédé mécanique ou chimico-mécanique ou dont &lt;= 10% en poids de la composition fibreuse totale sont constitués par de telles fibres,")</f>
        <v>Papiers et cartons, des types utilisés pour écriture, impression ou autres fins graphiques, sans fibres obtenues par un procédé mécanique ou chimico-mécanique ou dont &lt;= 10% en poids de la composition fibreuse totale sont constitués par de telles fibres,</v>
      </c>
    </row>
    <row r="5690" spans="1:4" x14ac:dyDescent="0.25">
      <c r="A5690" t="str">
        <f>T("   ZZZ_Monde")</f>
        <v xml:space="preserve">   ZZZ_Monde</v>
      </c>
      <c r="B5690" t="str">
        <f>T("   ZZZ_Monde")</f>
        <v xml:space="preserve">   ZZZ_Monde</v>
      </c>
      <c r="C5690">
        <v>1152043</v>
      </c>
      <c r="D5690">
        <v>214</v>
      </c>
    </row>
    <row r="5691" spans="1:4" x14ac:dyDescent="0.25">
      <c r="A5691" t="str">
        <f>T("   FR")</f>
        <v xml:space="preserve">   FR</v>
      </c>
      <c r="B5691" t="str">
        <f>T("   France")</f>
        <v xml:space="preserve">   France</v>
      </c>
      <c r="C5691">
        <v>1152043</v>
      </c>
      <c r="D5691">
        <v>214</v>
      </c>
    </row>
    <row r="5692" spans="1:4" x14ac:dyDescent="0.25">
      <c r="A5692" t="str">
        <f>T("481019")</f>
        <v>481019</v>
      </c>
      <c r="B5692" t="str">
        <f>T("Papiers et cartons, des types utilisés pour écriture, impression ou autres fins graphiques, sans fibres obtenues par un procédé mécanique ou chimico-mécanique ou dont &lt;= 10% en poids de la composition fibreuse totale sont constitués par de telles fibres,")</f>
        <v>Papiers et cartons, des types utilisés pour écriture, impression ou autres fins graphiques, sans fibres obtenues par un procédé mécanique ou chimico-mécanique ou dont &lt;= 10% en poids de la composition fibreuse totale sont constitués par de telles fibres,</v>
      </c>
    </row>
    <row r="5693" spans="1:4" x14ac:dyDescent="0.25">
      <c r="A5693" t="str">
        <f>T("   ZZZ_Monde")</f>
        <v xml:space="preserve">   ZZZ_Monde</v>
      </c>
      <c r="B5693" t="str">
        <f>T("   ZZZ_Monde")</f>
        <v xml:space="preserve">   ZZZ_Monde</v>
      </c>
      <c r="C5693">
        <v>25977333</v>
      </c>
      <c r="D5693">
        <v>96873</v>
      </c>
    </row>
    <row r="5694" spans="1:4" x14ac:dyDescent="0.25">
      <c r="A5694" t="str">
        <f>T("   CN")</f>
        <v xml:space="preserve">   CN</v>
      </c>
      <c r="B5694" t="str">
        <f>T("   Chine")</f>
        <v xml:space="preserve">   Chine</v>
      </c>
      <c r="C5694">
        <v>19313211</v>
      </c>
      <c r="D5694">
        <v>85249</v>
      </c>
    </row>
    <row r="5695" spans="1:4" x14ac:dyDescent="0.25">
      <c r="A5695" t="str">
        <f>T("   FR")</f>
        <v xml:space="preserve">   FR</v>
      </c>
      <c r="B5695" t="str">
        <f>T("   France")</f>
        <v xml:space="preserve">   France</v>
      </c>
      <c r="C5695">
        <v>1200965</v>
      </c>
      <c r="D5695">
        <v>324</v>
      </c>
    </row>
    <row r="5696" spans="1:4" x14ac:dyDescent="0.25">
      <c r="A5696" t="str">
        <f>T("   SG")</f>
        <v xml:space="preserve">   SG</v>
      </c>
      <c r="B5696" t="str">
        <f>T("   Singapour")</f>
        <v xml:space="preserve">   Singapour</v>
      </c>
      <c r="C5696">
        <v>5463157</v>
      </c>
      <c r="D5696">
        <v>11300</v>
      </c>
    </row>
    <row r="5697" spans="1:4" x14ac:dyDescent="0.25">
      <c r="A5697" t="str">
        <f>T("481029")</f>
        <v>481029</v>
      </c>
      <c r="B5697" t="str">
        <f>T("Papiers et cartons, des types utilisés pour écriture, impression ou autres fins graphiques, dont &gt; 10% en poids de la composition fibreuse totale sont constitués par des fibres obtenues par un procédé mécanique ou chimico-mécanique,  couché au kaolin ou à")</f>
        <v>Papiers et cartons, des types utilisés pour écriture, impression ou autres fins graphiques, dont &gt; 10% en poids de la composition fibreuse totale sont constitués par des fibres obtenues par un procédé mécanique ou chimico-mécanique,  couché au kaolin ou à</v>
      </c>
    </row>
    <row r="5698" spans="1:4" x14ac:dyDescent="0.25">
      <c r="A5698" t="str">
        <f>T("   ZZZ_Monde")</f>
        <v xml:space="preserve">   ZZZ_Monde</v>
      </c>
      <c r="B5698" t="str">
        <f>T("   ZZZ_Monde")</f>
        <v xml:space="preserve">   ZZZ_Monde</v>
      </c>
      <c r="C5698">
        <v>684136351</v>
      </c>
      <c r="D5698">
        <v>1436608</v>
      </c>
    </row>
    <row r="5699" spans="1:4" x14ac:dyDescent="0.25">
      <c r="A5699" t="str">
        <f>T("   AE")</f>
        <v xml:space="preserve">   AE</v>
      </c>
      <c r="B5699" t="str">
        <f>T("   Emirats Arabes Unis")</f>
        <v xml:space="preserve">   Emirats Arabes Unis</v>
      </c>
      <c r="C5699">
        <v>5000</v>
      </c>
      <c r="D5699">
        <v>5</v>
      </c>
    </row>
    <row r="5700" spans="1:4" x14ac:dyDescent="0.25">
      <c r="A5700" t="str">
        <f>T("   BE")</f>
        <v xml:space="preserve">   BE</v>
      </c>
      <c r="B5700" t="str">
        <f>T("   Belgique")</f>
        <v xml:space="preserve">   Belgique</v>
      </c>
      <c r="C5700">
        <v>28114098</v>
      </c>
      <c r="D5700">
        <v>61375</v>
      </c>
    </row>
    <row r="5701" spans="1:4" x14ac:dyDescent="0.25">
      <c r="A5701" t="str">
        <f>T("   CN")</f>
        <v xml:space="preserve">   CN</v>
      </c>
      <c r="B5701" t="str">
        <f>T("   Chine")</f>
        <v xml:space="preserve">   Chine</v>
      </c>
      <c r="C5701">
        <v>473641722</v>
      </c>
      <c r="D5701">
        <v>979401</v>
      </c>
    </row>
    <row r="5702" spans="1:4" x14ac:dyDescent="0.25">
      <c r="A5702" t="str">
        <f>T("   FR")</f>
        <v xml:space="preserve">   FR</v>
      </c>
      <c r="B5702" t="str">
        <f>T("   France")</f>
        <v xml:space="preserve">   France</v>
      </c>
      <c r="C5702">
        <v>55207197</v>
      </c>
      <c r="D5702">
        <v>96188</v>
      </c>
    </row>
    <row r="5703" spans="1:4" x14ac:dyDescent="0.25">
      <c r="A5703" t="str">
        <f>T("   ID")</f>
        <v xml:space="preserve">   ID</v>
      </c>
      <c r="B5703" t="str">
        <f>T("   Indonésie")</f>
        <v xml:space="preserve">   Indonésie</v>
      </c>
      <c r="C5703">
        <v>13282000</v>
      </c>
      <c r="D5703">
        <v>55786</v>
      </c>
    </row>
    <row r="5704" spans="1:4" x14ac:dyDescent="0.25">
      <c r="A5704" t="str">
        <f>T("   NL")</f>
        <v xml:space="preserve">   NL</v>
      </c>
      <c r="B5704" t="str">
        <f>T("   Pays-bas")</f>
        <v xml:space="preserve">   Pays-bas</v>
      </c>
      <c r="C5704">
        <v>34476215</v>
      </c>
      <c r="D5704">
        <v>86822</v>
      </c>
    </row>
    <row r="5705" spans="1:4" x14ac:dyDescent="0.25">
      <c r="A5705" t="str">
        <f>T("   SE")</f>
        <v xml:space="preserve">   SE</v>
      </c>
      <c r="B5705" t="str">
        <f>T("   Suède")</f>
        <v xml:space="preserve">   Suède</v>
      </c>
      <c r="C5705">
        <v>7920822</v>
      </c>
      <c r="D5705">
        <v>20404</v>
      </c>
    </row>
    <row r="5706" spans="1:4" x14ac:dyDescent="0.25">
      <c r="A5706" t="str">
        <f>T("   SG")</f>
        <v xml:space="preserve">   SG</v>
      </c>
      <c r="B5706" t="str">
        <f>T("   Singapour")</f>
        <v xml:space="preserve">   Singapour</v>
      </c>
      <c r="C5706">
        <v>71385976</v>
      </c>
      <c r="D5706">
        <v>136427</v>
      </c>
    </row>
    <row r="5707" spans="1:4" x14ac:dyDescent="0.25">
      <c r="A5707" t="str">
        <f>T("   TG")</f>
        <v xml:space="preserve">   TG</v>
      </c>
      <c r="B5707" t="str">
        <f>T("   Togo")</f>
        <v xml:space="preserve">   Togo</v>
      </c>
      <c r="C5707">
        <v>103321</v>
      </c>
      <c r="D5707">
        <v>200</v>
      </c>
    </row>
    <row r="5708" spans="1:4" x14ac:dyDescent="0.25">
      <c r="A5708" t="str">
        <f>T("481031")</f>
        <v>481031</v>
      </c>
      <c r="B5708" t="str">
        <f>T("Papiers et cartons kraft, couchés au kaolin ou à d'autres substances inorganiques sur une ou sur les deux faces, blanchis uniformément dans la masse et dont &gt; 95% en poids de la composition fibreuse totale sont constitués par des fibres de bois obtenues p")</f>
        <v>Papiers et cartons kraft, couchés au kaolin ou à d'autres substances inorganiques sur une ou sur les deux faces, blanchis uniformément dans la masse et dont &gt; 95% en poids de la composition fibreuse totale sont constitués par des fibres de bois obtenues p</v>
      </c>
    </row>
    <row r="5709" spans="1:4" x14ac:dyDescent="0.25">
      <c r="A5709" t="str">
        <f>T("   ZZZ_Monde")</f>
        <v xml:space="preserve">   ZZZ_Monde</v>
      </c>
      <c r="B5709" t="str">
        <f>T("   ZZZ_Monde")</f>
        <v xml:space="preserve">   ZZZ_Monde</v>
      </c>
      <c r="C5709">
        <v>2470690</v>
      </c>
      <c r="D5709">
        <v>2711</v>
      </c>
    </row>
    <row r="5710" spans="1:4" x14ac:dyDescent="0.25">
      <c r="A5710" t="str">
        <f>T("   CN")</f>
        <v xml:space="preserve">   CN</v>
      </c>
      <c r="B5710" t="str">
        <f>T("   Chine")</f>
        <v xml:space="preserve">   Chine</v>
      </c>
      <c r="C5710">
        <v>1444900</v>
      </c>
      <c r="D5710">
        <v>535</v>
      </c>
    </row>
    <row r="5711" spans="1:4" x14ac:dyDescent="0.25">
      <c r="A5711" t="str">
        <f>T("   FR")</f>
        <v xml:space="preserve">   FR</v>
      </c>
      <c r="B5711" t="str">
        <f>T("   France")</f>
        <v xml:space="preserve">   France</v>
      </c>
      <c r="C5711">
        <v>1025790</v>
      </c>
      <c r="D5711">
        <v>2176</v>
      </c>
    </row>
    <row r="5712" spans="1:4" x14ac:dyDescent="0.25">
      <c r="A5712" t="str">
        <f>T("481092")</f>
        <v>481092</v>
      </c>
      <c r="B5712" t="str">
        <f>T("Papiers et cartons multicouches, couchés au kaolin ou à d'autres substances inorganiques sur une ou sur les deux faces, en rouleaux ou en feuilles de forme carrée ou rectangulaire, de tout format (à l'excl. des papiers et cartons kraft ainsi que des produ")</f>
        <v>Papiers et cartons multicouches, couchés au kaolin ou à d'autres substances inorganiques sur une ou sur les deux faces, en rouleaux ou en feuilles de forme carrée ou rectangulaire, de tout format (à l'excl. des papiers et cartons kraft ainsi que des produ</v>
      </c>
    </row>
    <row r="5713" spans="1:4" x14ac:dyDescent="0.25">
      <c r="A5713" t="str">
        <f>T("   ZZZ_Monde")</f>
        <v xml:space="preserve">   ZZZ_Monde</v>
      </c>
      <c r="B5713" t="str">
        <f>T("   ZZZ_Monde")</f>
        <v xml:space="preserve">   ZZZ_Monde</v>
      </c>
      <c r="C5713">
        <v>80324407</v>
      </c>
      <c r="D5713">
        <v>267177</v>
      </c>
    </row>
    <row r="5714" spans="1:4" x14ac:dyDescent="0.25">
      <c r="A5714" t="str">
        <f>T("   CN")</f>
        <v xml:space="preserve">   CN</v>
      </c>
      <c r="B5714" t="str">
        <f>T("   Chine")</f>
        <v xml:space="preserve">   Chine</v>
      </c>
      <c r="C5714">
        <v>44947690</v>
      </c>
      <c r="D5714">
        <v>163508</v>
      </c>
    </row>
    <row r="5715" spans="1:4" x14ac:dyDescent="0.25">
      <c r="A5715" t="str">
        <f>T("   ID")</f>
        <v xml:space="preserve">   ID</v>
      </c>
      <c r="B5715" t="str">
        <f>T("   Indonésie")</f>
        <v xml:space="preserve">   Indonésie</v>
      </c>
      <c r="C5715">
        <v>12357834</v>
      </c>
      <c r="D5715">
        <v>19894</v>
      </c>
    </row>
    <row r="5716" spans="1:4" x14ac:dyDescent="0.25">
      <c r="A5716" t="str">
        <f>T("   IN")</f>
        <v xml:space="preserve">   IN</v>
      </c>
      <c r="B5716" t="str">
        <f>T("   Inde")</f>
        <v xml:space="preserve">   Inde</v>
      </c>
      <c r="C5716">
        <v>23018883</v>
      </c>
      <c r="D5716">
        <v>83775</v>
      </c>
    </row>
    <row r="5717" spans="1:4" x14ac:dyDescent="0.25">
      <c r="A5717" t="str">
        <f>T("481099")</f>
        <v>481099</v>
      </c>
      <c r="B5717" t="str">
        <f>T("Papiers et cartons couchés au kaolin ou à d'autres substances inorganiques sur une ou sur les deux faces, avec ou sans liants, même coloriés en surface, décorés en surface ou imprimés, en rouleaux ou en feuilles de forme carrée ou rectangulaire, de tout f")</f>
        <v>Papiers et cartons couchés au kaolin ou à d'autres substances inorganiques sur une ou sur les deux faces, avec ou sans liants, même coloriés en surface, décorés en surface ou imprimés, en rouleaux ou en feuilles de forme carrée ou rectangulaire, de tout f</v>
      </c>
    </row>
    <row r="5718" spans="1:4" x14ac:dyDescent="0.25">
      <c r="A5718" t="str">
        <f>T("   ZZZ_Monde")</f>
        <v xml:space="preserve">   ZZZ_Monde</v>
      </c>
      <c r="B5718" t="str">
        <f>T("   ZZZ_Monde")</f>
        <v xml:space="preserve">   ZZZ_Monde</v>
      </c>
      <c r="C5718">
        <v>70621653</v>
      </c>
      <c r="D5718">
        <v>153227</v>
      </c>
    </row>
    <row r="5719" spans="1:4" x14ac:dyDescent="0.25">
      <c r="A5719" t="str">
        <f>T("   CN")</f>
        <v xml:space="preserve">   CN</v>
      </c>
      <c r="B5719" t="str">
        <f>T("   Chine")</f>
        <v xml:space="preserve">   Chine</v>
      </c>
      <c r="C5719">
        <v>35275067</v>
      </c>
      <c r="D5719">
        <v>78970</v>
      </c>
    </row>
    <row r="5720" spans="1:4" x14ac:dyDescent="0.25">
      <c r="A5720" t="str">
        <f>T("   SE")</f>
        <v xml:space="preserve">   SE</v>
      </c>
      <c r="B5720" t="str">
        <f>T("   Suède")</f>
        <v xml:space="preserve">   Suède</v>
      </c>
      <c r="C5720">
        <v>7767747</v>
      </c>
      <c r="D5720">
        <v>14742</v>
      </c>
    </row>
    <row r="5721" spans="1:4" x14ac:dyDescent="0.25">
      <c r="A5721" t="str">
        <f>T("   SG")</f>
        <v xml:space="preserve">   SG</v>
      </c>
      <c r="B5721" t="str">
        <f>T("   Singapour")</f>
        <v xml:space="preserve">   Singapour</v>
      </c>
      <c r="C5721">
        <v>27578839</v>
      </c>
      <c r="D5721">
        <v>59515</v>
      </c>
    </row>
    <row r="5722" spans="1:4" x14ac:dyDescent="0.25">
      <c r="A5722" t="str">
        <f>T("481110")</f>
        <v>481110</v>
      </c>
      <c r="B5722" t="str">
        <f>T("Papiers et cartons goudronnés, bitumés ou asphaltés, en rouleaux ou en feuilles de forme carrée ou rectangulaire, de tout format")</f>
        <v>Papiers et cartons goudronnés, bitumés ou asphaltés, en rouleaux ou en feuilles de forme carrée ou rectangulaire, de tout format</v>
      </c>
    </row>
    <row r="5723" spans="1:4" x14ac:dyDescent="0.25">
      <c r="A5723" t="str">
        <f>T("   ZZZ_Monde")</f>
        <v xml:space="preserve">   ZZZ_Monde</v>
      </c>
      <c r="B5723" t="str">
        <f>T("   ZZZ_Monde")</f>
        <v xml:space="preserve">   ZZZ_Monde</v>
      </c>
      <c r="C5723">
        <v>23173441</v>
      </c>
      <c r="D5723">
        <v>67345</v>
      </c>
    </row>
    <row r="5724" spans="1:4" x14ac:dyDescent="0.25">
      <c r="A5724" t="str">
        <f>T("   FR")</f>
        <v xml:space="preserve">   FR</v>
      </c>
      <c r="B5724" t="str">
        <f>T("   France")</f>
        <v xml:space="preserve">   France</v>
      </c>
      <c r="C5724">
        <v>23090941</v>
      </c>
      <c r="D5724">
        <v>66845</v>
      </c>
    </row>
    <row r="5725" spans="1:4" x14ac:dyDescent="0.25">
      <c r="A5725" t="str">
        <f>T("   NG")</f>
        <v xml:space="preserve">   NG</v>
      </c>
      <c r="B5725" t="str">
        <f>T("   Nigéria")</f>
        <v xml:space="preserve">   Nigéria</v>
      </c>
      <c r="C5725">
        <v>82500</v>
      </c>
      <c r="D5725">
        <v>500</v>
      </c>
    </row>
    <row r="5726" spans="1:4" x14ac:dyDescent="0.25">
      <c r="A5726" t="str">
        <f>T("481129")</f>
        <v>481129</v>
      </c>
      <c r="B5726" t="str">
        <f>T("PAPIERS ET CARTONS GOMMES OU ADHÉSIFS, EN ROULEAUX OU EN FEUILLES DES TYPES DEFINIS DANS LES NOTES 7A) OU 7B) DU PRESENT CHAPITRE (À L'EXCL. DES PAPIERS ET CARTONS AUTO-ADHÉSIFS AINSI QUE DES PRODUITS DU N° 4810)")</f>
        <v>PAPIERS ET CARTONS GOMMES OU ADHÉSIFS, EN ROULEAUX OU EN FEUILLES DES TYPES DEFINIS DANS LES NOTES 7A) OU 7B) DU PRESENT CHAPITRE (À L'EXCL. DES PAPIERS ET CARTONS AUTO-ADHÉSIFS AINSI QUE DES PRODUITS DU N° 4810)</v>
      </c>
    </row>
    <row r="5727" spans="1:4" x14ac:dyDescent="0.25">
      <c r="A5727" t="str">
        <f>T("   ZZZ_Monde")</f>
        <v xml:space="preserve">   ZZZ_Monde</v>
      </c>
      <c r="B5727" t="str">
        <f>T("   ZZZ_Monde")</f>
        <v xml:space="preserve">   ZZZ_Monde</v>
      </c>
      <c r="C5727">
        <v>591000</v>
      </c>
      <c r="D5727">
        <v>985</v>
      </c>
    </row>
    <row r="5728" spans="1:4" x14ac:dyDescent="0.25">
      <c r="A5728" t="str">
        <f>T("   NG")</f>
        <v xml:space="preserve">   NG</v>
      </c>
      <c r="B5728" t="str">
        <f>T("   Nigéria")</f>
        <v xml:space="preserve">   Nigéria</v>
      </c>
      <c r="C5728">
        <v>591000</v>
      </c>
      <c r="D5728">
        <v>985</v>
      </c>
    </row>
    <row r="5729" spans="1:4" x14ac:dyDescent="0.25">
      <c r="A5729" t="str">
        <f>T("481141")</f>
        <v>481141</v>
      </c>
      <c r="B5729" t="str">
        <f>T("Papiers et cartons, auto-adhésifs, coloriés en surface, décorés en surface ou imprimés, en rouleaux ou en feuilles de forme carrée ou rectangulaire, de tout format (à l'excl. des produits du n° 4810)")</f>
        <v>Papiers et cartons, auto-adhésifs, coloriés en surface, décorés en surface ou imprimés, en rouleaux ou en feuilles de forme carrée ou rectangulaire, de tout format (à l'excl. des produits du n° 4810)</v>
      </c>
    </row>
    <row r="5730" spans="1:4" x14ac:dyDescent="0.25">
      <c r="A5730" t="str">
        <f>T("   ZZZ_Monde")</f>
        <v xml:space="preserve">   ZZZ_Monde</v>
      </c>
      <c r="B5730" t="str">
        <f>T("   ZZZ_Monde")</f>
        <v xml:space="preserve">   ZZZ_Monde</v>
      </c>
      <c r="C5730">
        <v>8587813</v>
      </c>
      <c r="D5730">
        <v>4414</v>
      </c>
    </row>
    <row r="5731" spans="1:4" x14ac:dyDescent="0.25">
      <c r="A5731" t="str">
        <f>T("   CN")</f>
        <v xml:space="preserve">   CN</v>
      </c>
      <c r="B5731" t="str">
        <f>T("   Chine")</f>
        <v xml:space="preserve">   Chine</v>
      </c>
      <c r="C5731">
        <v>58131</v>
      </c>
      <c r="D5731">
        <v>100</v>
      </c>
    </row>
    <row r="5732" spans="1:4" x14ac:dyDescent="0.25">
      <c r="A5732" t="str">
        <f>T("   FR")</f>
        <v xml:space="preserve">   FR</v>
      </c>
      <c r="B5732" t="str">
        <f>T("   France")</f>
        <v xml:space="preserve">   France</v>
      </c>
      <c r="C5732">
        <v>8459482</v>
      </c>
      <c r="D5732">
        <v>4194</v>
      </c>
    </row>
    <row r="5733" spans="1:4" x14ac:dyDescent="0.25">
      <c r="A5733" t="str">
        <f>T("   NG")</f>
        <v xml:space="preserve">   NG</v>
      </c>
      <c r="B5733" t="str">
        <f>T("   Nigéria")</f>
        <v xml:space="preserve">   Nigéria</v>
      </c>
      <c r="C5733">
        <v>70200</v>
      </c>
      <c r="D5733">
        <v>120</v>
      </c>
    </row>
    <row r="5734" spans="1:4" x14ac:dyDescent="0.25">
      <c r="A5734" t="str">
        <f>T("481149")</f>
        <v>481149</v>
      </c>
      <c r="B5734" t="str">
        <f>T("Papiers et cartons gommés ou adhésifs, coloriés en surface, décorés en surface ou imprimés, en rouleaux ou en feuilles de forme carrée ou rectangulaire, de tout format (à l'excl. des papiers et cartons auto-adhésifs ainsi que des produits du n° 4810)")</f>
        <v>Papiers et cartons gommés ou adhésifs, coloriés en surface, décorés en surface ou imprimés, en rouleaux ou en feuilles de forme carrée ou rectangulaire, de tout format (à l'excl. des papiers et cartons auto-adhésifs ainsi que des produits du n° 4810)</v>
      </c>
    </row>
    <row r="5735" spans="1:4" x14ac:dyDescent="0.25">
      <c r="A5735" t="str">
        <f>T("   ZZZ_Monde")</f>
        <v xml:space="preserve">   ZZZ_Monde</v>
      </c>
      <c r="B5735" t="str">
        <f>T("   ZZZ_Monde")</f>
        <v xml:space="preserve">   ZZZ_Monde</v>
      </c>
      <c r="C5735">
        <v>103037</v>
      </c>
      <c r="D5735">
        <v>214</v>
      </c>
    </row>
    <row r="5736" spans="1:4" x14ac:dyDescent="0.25">
      <c r="A5736" t="str">
        <f>T("   CN")</f>
        <v xml:space="preserve">   CN</v>
      </c>
      <c r="B5736" t="str">
        <f>T("   Chine")</f>
        <v xml:space="preserve">   Chine</v>
      </c>
      <c r="C5736">
        <v>14477</v>
      </c>
      <c r="D5736">
        <v>24</v>
      </c>
    </row>
    <row r="5737" spans="1:4" x14ac:dyDescent="0.25">
      <c r="A5737" t="str">
        <f>T("   TG")</f>
        <v xml:space="preserve">   TG</v>
      </c>
      <c r="B5737" t="str">
        <f>T("   Togo")</f>
        <v xml:space="preserve">   Togo</v>
      </c>
      <c r="C5737">
        <v>88560</v>
      </c>
      <c r="D5737">
        <v>190</v>
      </c>
    </row>
    <row r="5738" spans="1:4" x14ac:dyDescent="0.25">
      <c r="A5738" t="str">
        <f>T("481159")</f>
        <v>481159</v>
      </c>
      <c r="B5738" t="str">
        <f>T("Papiers et cartons, coloriés en surface, décorés en surface ou imprimés, enduits, imprégnés ou recouverts de matière plastique, en rouleaux ou en feuilles de forme carrée ou rectangulaire, de tout format (à l'excl. des adhésifs ainsi que des papiers et ca")</f>
        <v>Papiers et cartons, coloriés en surface, décorés en surface ou imprimés, enduits, imprégnés ou recouverts de matière plastique, en rouleaux ou en feuilles de forme carrée ou rectangulaire, de tout format (à l'excl. des adhésifs ainsi que des papiers et ca</v>
      </c>
    </row>
    <row r="5739" spans="1:4" x14ac:dyDescent="0.25">
      <c r="A5739" t="str">
        <f>T("   ZZZ_Monde")</f>
        <v xml:space="preserve">   ZZZ_Monde</v>
      </c>
      <c r="B5739" t="str">
        <f>T("   ZZZ_Monde")</f>
        <v xml:space="preserve">   ZZZ_Monde</v>
      </c>
      <c r="C5739">
        <v>1069215</v>
      </c>
      <c r="D5739">
        <v>1224</v>
      </c>
    </row>
    <row r="5740" spans="1:4" x14ac:dyDescent="0.25">
      <c r="A5740" t="str">
        <f>T("   CN")</f>
        <v xml:space="preserve">   CN</v>
      </c>
      <c r="B5740" t="str">
        <f>T("   Chine")</f>
        <v xml:space="preserve">   Chine</v>
      </c>
      <c r="C5740">
        <v>1069215</v>
      </c>
      <c r="D5740">
        <v>1224</v>
      </c>
    </row>
    <row r="5741" spans="1:4" x14ac:dyDescent="0.25">
      <c r="A5741" t="str">
        <f>T("481190")</f>
        <v>481190</v>
      </c>
      <c r="B5741" t="str">
        <f>T("Papiers, cartons, ouate de cellulose et nappes de fibres de cellulose, couchés, enduits, imprégnés, recouverts, coloriés en surface, décorés en surface ou imprimés, en rouleaux ou en feuilles de forme carrée ou rectangulaire, de tout format (à l'excl. des")</f>
        <v>Papiers, cartons, ouate de cellulose et nappes de fibres de cellulose, couchés, enduits, imprégnés, recouverts, coloriés en surface, décorés en surface ou imprimés, en rouleaux ou en feuilles de forme carrée ou rectangulaire, de tout format (à l'excl. des</v>
      </c>
    </row>
    <row r="5742" spans="1:4" x14ac:dyDescent="0.25">
      <c r="A5742" t="str">
        <f>T("   ZZZ_Monde")</f>
        <v xml:space="preserve">   ZZZ_Monde</v>
      </c>
      <c r="B5742" t="str">
        <f>T("   ZZZ_Monde")</f>
        <v xml:space="preserve">   ZZZ_Monde</v>
      </c>
      <c r="C5742">
        <v>35384847</v>
      </c>
      <c r="D5742">
        <v>14036</v>
      </c>
    </row>
    <row r="5743" spans="1:4" x14ac:dyDescent="0.25">
      <c r="A5743" t="str">
        <f>T("   CN")</f>
        <v xml:space="preserve">   CN</v>
      </c>
      <c r="B5743" t="str">
        <f>T("   Chine")</f>
        <v xml:space="preserve">   Chine</v>
      </c>
      <c r="C5743">
        <v>178222</v>
      </c>
      <c r="D5743">
        <v>51</v>
      </c>
    </row>
    <row r="5744" spans="1:4" x14ac:dyDescent="0.25">
      <c r="A5744" t="str">
        <f>T("   FR")</f>
        <v xml:space="preserve">   FR</v>
      </c>
      <c r="B5744" t="str">
        <f>T("   France")</f>
        <v xml:space="preserve">   France</v>
      </c>
      <c r="C5744">
        <v>35206625</v>
      </c>
      <c r="D5744">
        <v>13985</v>
      </c>
    </row>
    <row r="5745" spans="1:4" x14ac:dyDescent="0.25">
      <c r="A5745" t="str">
        <f>T("481200")</f>
        <v>481200</v>
      </c>
      <c r="B5745" t="str">
        <f>T("Blocs filtrants et plaques filtrantes, en pâte à papier")</f>
        <v>Blocs filtrants et plaques filtrantes, en pâte à papier</v>
      </c>
    </row>
    <row r="5746" spans="1:4" x14ac:dyDescent="0.25">
      <c r="A5746" t="str">
        <f>T("   ZZZ_Monde")</f>
        <v xml:space="preserve">   ZZZ_Monde</v>
      </c>
      <c r="B5746" t="str">
        <f>T("   ZZZ_Monde")</f>
        <v xml:space="preserve">   ZZZ_Monde</v>
      </c>
      <c r="C5746">
        <v>13607662</v>
      </c>
      <c r="D5746">
        <v>1801</v>
      </c>
    </row>
    <row r="5747" spans="1:4" x14ac:dyDescent="0.25">
      <c r="A5747" t="str">
        <f>T("   CH")</f>
        <v xml:space="preserve">   CH</v>
      </c>
      <c r="B5747" t="str">
        <f>T("   Suisse")</f>
        <v xml:space="preserve">   Suisse</v>
      </c>
      <c r="C5747">
        <v>4666945</v>
      </c>
      <c r="D5747">
        <v>424</v>
      </c>
    </row>
    <row r="5748" spans="1:4" x14ac:dyDescent="0.25">
      <c r="A5748" t="str">
        <f>T("   DE")</f>
        <v xml:space="preserve">   DE</v>
      </c>
      <c r="B5748" t="str">
        <f>T("   Allemagne")</f>
        <v xml:space="preserve">   Allemagne</v>
      </c>
      <c r="C5748">
        <v>3957387</v>
      </c>
      <c r="D5748">
        <v>823</v>
      </c>
    </row>
    <row r="5749" spans="1:4" x14ac:dyDescent="0.25">
      <c r="A5749" t="str">
        <f>T("   FR")</f>
        <v xml:space="preserve">   FR</v>
      </c>
      <c r="B5749" t="str">
        <f>T("   France")</f>
        <v xml:space="preserve">   France</v>
      </c>
      <c r="C5749">
        <v>4983330</v>
      </c>
      <c r="D5749">
        <v>554</v>
      </c>
    </row>
    <row r="5750" spans="1:4" x14ac:dyDescent="0.25">
      <c r="A5750" t="str">
        <f>T("481420")</f>
        <v>481420</v>
      </c>
      <c r="B5750" t="str">
        <f>T("Papiers peints et revêtements muraux simil., constitués par du papier enduit ou recouvert, sur l'endroit, d'une couche de matière plastique grainée, gaufrée, coloriée, imprimée de motifs ou autrement décorée")</f>
        <v>Papiers peints et revêtements muraux simil., constitués par du papier enduit ou recouvert, sur l'endroit, d'une couche de matière plastique grainée, gaufrée, coloriée, imprimée de motifs ou autrement décorée</v>
      </c>
    </row>
    <row r="5751" spans="1:4" x14ac:dyDescent="0.25">
      <c r="A5751" t="str">
        <f>T("   ZZZ_Monde")</f>
        <v xml:space="preserve">   ZZZ_Monde</v>
      </c>
      <c r="B5751" t="str">
        <f>T("   ZZZ_Monde")</f>
        <v xml:space="preserve">   ZZZ_Monde</v>
      </c>
      <c r="C5751">
        <v>4985</v>
      </c>
      <c r="D5751">
        <v>18</v>
      </c>
    </row>
    <row r="5752" spans="1:4" x14ac:dyDescent="0.25">
      <c r="A5752" t="str">
        <f>T("   CN")</f>
        <v xml:space="preserve">   CN</v>
      </c>
      <c r="B5752" t="str">
        <f>T("   Chine")</f>
        <v xml:space="preserve">   Chine</v>
      </c>
      <c r="C5752">
        <v>4985</v>
      </c>
      <c r="D5752">
        <v>18</v>
      </c>
    </row>
    <row r="5753" spans="1:4" x14ac:dyDescent="0.25">
      <c r="A5753" t="str">
        <f>T("481490")</f>
        <v>481490</v>
      </c>
      <c r="B5753" t="str">
        <f>T("PAPIERS PEINTS ET REVÊTEMENTS MURAUX SIMIL. EN PAPIER ET VITRAUPHANIES EN PAPIER (À L'EXCL. DU PAPIER DIT 'INGRAIN' AINSI QUE DES REVÊTEMENTS MURAUX CONSTITUÉS PAR DU PAPIER ENDUIT OU RECOUVERT, SUR L'ENDROIT, D'UNE COUCHE DE MATIÈRE PLASTIQUE GRAINÉE, GA")</f>
        <v>PAPIERS PEINTS ET REVÊTEMENTS MURAUX SIMIL. EN PAPIER ET VITRAUPHANIES EN PAPIER (À L'EXCL. DU PAPIER DIT 'INGRAIN' AINSI QUE DES REVÊTEMENTS MURAUX CONSTITUÉS PAR DU PAPIER ENDUIT OU RECOUVERT, SUR L'ENDROIT, D'UNE COUCHE DE MATIÈRE PLASTIQUE GRAINÉE, GA</v>
      </c>
    </row>
    <row r="5754" spans="1:4" x14ac:dyDescent="0.25">
      <c r="A5754" t="str">
        <f>T("   ZZZ_Monde")</f>
        <v xml:space="preserve">   ZZZ_Monde</v>
      </c>
      <c r="B5754" t="str">
        <f>T("   ZZZ_Monde")</f>
        <v xml:space="preserve">   ZZZ_Monde</v>
      </c>
      <c r="C5754">
        <v>125111</v>
      </c>
      <c r="D5754">
        <v>250</v>
      </c>
    </row>
    <row r="5755" spans="1:4" x14ac:dyDescent="0.25">
      <c r="A5755" t="str">
        <f>T("   CN")</f>
        <v xml:space="preserve">   CN</v>
      </c>
      <c r="B5755" t="str">
        <f>T("   Chine")</f>
        <v xml:space="preserve">   Chine</v>
      </c>
      <c r="C5755">
        <v>125111</v>
      </c>
      <c r="D5755">
        <v>250</v>
      </c>
    </row>
    <row r="5756" spans="1:4" x14ac:dyDescent="0.25">
      <c r="A5756" t="str">
        <f>T("481620")</f>
        <v>481620</v>
      </c>
      <c r="B5756" t="str">
        <f>T("Papiers dits 'autocopiants', présentés en rouleaux d'une largeur &lt;= 36 cm ou en feuilles carrées ou rectangulaires dont aucun côté &gt; 36 cm à l'état non plié, ou découpés de forme autre que carrée ou rectangulaire, même conditionnés en boîtes (à l'excl. de")</f>
        <v>Papiers dits 'autocopiants', présentés en rouleaux d'une largeur &lt;= 36 cm ou en feuilles carrées ou rectangulaires dont aucun côté &gt; 36 cm à l'état non plié, ou découpés de forme autre que carrée ou rectangulaire, même conditionnés en boîtes (à l'excl. de</v>
      </c>
    </row>
    <row r="5757" spans="1:4" x14ac:dyDescent="0.25">
      <c r="A5757" t="str">
        <f>T("   ZZZ_Monde")</f>
        <v xml:space="preserve">   ZZZ_Monde</v>
      </c>
      <c r="B5757" t="str">
        <f>T("   ZZZ_Monde")</f>
        <v xml:space="preserve">   ZZZ_Monde</v>
      </c>
      <c r="C5757">
        <v>63061949</v>
      </c>
      <c r="D5757">
        <v>81433</v>
      </c>
    </row>
    <row r="5758" spans="1:4" x14ac:dyDescent="0.25">
      <c r="A5758" t="str">
        <f>T("   BE")</f>
        <v xml:space="preserve">   BE</v>
      </c>
      <c r="B5758" t="str">
        <f>T("   Belgique")</f>
        <v xml:space="preserve">   Belgique</v>
      </c>
      <c r="C5758">
        <v>45140319</v>
      </c>
      <c r="D5758">
        <v>49401</v>
      </c>
    </row>
    <row r="5759" spans="1:4" x14ac:dyDescent="0.25">
      <c r="A5759" t="str">
        <f>T("   NL")</f>
        <v xml:space="preserve">   NL</v>
      </c>
      <c r="B5759" t="str">
        <f>T("   Pays-bas")</f>
        <v xml:space="preserve">   Pays-bas</v>
      </c>
      <c r="C5759">
        <v>15718552</v>
      </c>
      <c r="D5759">
        <v>30022</v>
      </c>
    </row>
    <row r="5760" spans="1:4" x14ac:dyDescent="0.25">
      <c r="A5760" t="str">
        <f>T("   SG")</f>
        <v xml:space="preserve">   SG</v>
      </c>
      <c r="B5760" t="str">
        <f>T("   Singapour")</f>
        <v xml:space="preserve">   Singapour</v>
      </c>
      <c r="C5760">
        <v>2203078</v>
      </c>
      <c r="D5760">
        <v>2010</v>
      </c>
    </row>
    <row r="5761" spans="1:4" x14ac:dyDescent="0.25">
      <c r="A5761" t="str">
        <f>T("481690")</f>
        <v>481690</v>
      </c>
      <c r="B5761" t="str">
        <f>T("Papiers pour duplication ou reports - présentés en rouleaux d'une largeur &lt;= 36 cm ou en feuilles carrées ou rectangulaires dont aucun côté &gt; 36 cm à l'état non plié, ou découpés de forme autre que carrée ou rectangulaire -, et plaques offset, en papier,")</f>
        <v>Papiers pour duplication ou reports - présentés en rouleaux d'une largeur &lt;= 36 cm ou en feuilles carrées ou rectangulaires dont aucun côté &gt; 36 cm à l'état non plié, ou découpés de forme autre que carrée ou rectangulaire -, et plaques offset, en papier,</v>
      </c>
    </row>
    <row r="5762" spans="1:4" x14ac:dyDescent="0.25">
      <c r="A5762" t="str">
        <f>T("   ZZZ_Monde")</f>
        <v xml:space="preserve">   ZZZ_Monde</v>
      </c>
      <c r="B5762" t="str">
        <f>T("   ZZZ_Monde")</f>
        <v xml:space="preserve">   ZZZ_Monde</v>
      </c>
      <c r="C5762">
        <v>2591042</v>
      </c>
      <c r="D5762">
        <v>1660</v>
      </c>
    </row>
    <row r="5763" spans="1:4" x14ac:dyDescent="0.25">
      <c r="A5763" t="str">
        <f>T("   FR")</f>
        <v xml:space="preserve">   FR</v>
      </c>
      <c r="B5763" t="str">
        <f>T("   France")</f>
        <v xml:space="preserve">   France</v>
      </c>
      <c r="C5763">
        <v>2591042</v>
      </c>
      <c r="D5763">
        <v>1660</v>
      </c>
    </row>
    <row r="5764" spans="1:4" x14ac:dyDescent="0.25">
      <c r="A5764" t="str">
        <f>T("481710")</f>
        <v>481710</v>
      </c>
      <c r="B5764" t="str">
        <f>T("Enveloppes, en papier ou en carton")</f>
        <v>Enveloppes, en papier ou en carton</v>
      </c>
    </row>
    <row r="5765" spans="1:4" x14ac:dyDescent="0.25">
      <c r="A5765" t="str">
        <f>T("   ZZZ_Monde")</f>
        <v xml:space="preserve">   ZZZ_Monde</v>
      </c>
      <c r="B5765" t="str">
        <f>T("   ZZZ_Monde")</f>
        <v xml:space="preserve">   ZZZ_Monde</v>
      </c>
      <c r="C5765">
        <v>128279028</v>
      </c>
      <c r="D5765">
        <v>266217</v>
      </c>
    </row>
    <row r="5766" spans="1:4" x14ac:dyDescent="0.25">
      <c r="A5766" t="str">
        <f>T("   CN")</f>
        <v xml:space="preserve">   CN</v>
      </c>
      <c r="B5766" t="str">
        <f>T("   Chine")</f>
        <v xml:space="preserve">   Chine</v>
      </c>
      <c r="C5766">
        <v>306603</v>
      </c>
      <c r="D5766">
        <v>419</v>
      </c>
    </row>
    <row r="5767" spans="1:4" x14ac:dyDescent="0.25">
      <c r="A5767" t="str">
        <f>T("   FR")</f>
        <v xml:space="preserve">   FR</v>
      </c>
      <c r="B5767" t="str">
        <f>T("   France")</f>
        <v xml:space="preserve">   France</v>
      </c>
      <c r="C5767">
        <v>114014845</v>
      </c>
      <c r="D5767">
        <v>242974</v>
      </c>
    </row>
    <row r="5768" spans="1:4" x14ac:dyDescent="0.25">
      <c r="A5768" t="str">
        <f>T("   IT")</f>
        <v xml:space="preserve">   IT</v>
      </c>
      <c r="B5768" t="str">
        <f>T("   Italie")</f>
        <v xml:space="preserve">   Italie</v>
      </c>
      <c r="C5768">
        <v>143229</v>
      </c>
      <c r="D5768">
        <v>250</v>
      </c>
    </row>
    <row r="5769" spans="1:4" x14ac:dyDescent="0.25">
      <c r="A5769" t="str">
        <f>T("   SG")</f>
        <v xml:space="preserve">   SG</v>
      </c>
      <c r="B5769" t="str">
        <f>T("   Singapour")</f>
        <v xml:space="preserve">   Singapour</v>
      </c>
      <c r="C5769">
        <v>13699950</v>
      </c>
      <c r="D5769">
        <v>19931</v>
      </c>
    </row>
    <row r="5770" spans="1:4" x14ac:dyDescent="0.25">
      <c r="A5770" t="str">
        <f>T("   TG")</f>
        <v xml:space="preserve">   TG</v>
      </c>
      <c r="B5770" t="str">
        <f>T("   Togo")</f>
        <v xml:space="preserve">   Togo</v>
      </c>
      <c r="C5770">
        <v>114401</v>
      </c>
      <c r="D5770">
        <v>2643</v>
      </c>
    </row>
    <row r="5771" spans="1:4" x14ac:dyDescent="0.25">
      <c r="A5771" t="str">
        <f>T("481720")</f>
        <v>481720</v>
      </c>
      <c r="B5771" t="str">
        <f>T("Cartes-lettres, cartes postales non illustrées et cartes pour correspondance, en papier ou en carton (à l'excl. des articles comportant un timbre-poste imprimé)")</f>
        <v>Cartes-lettres, cartes postales non illustrées et cartes pour correspondance, en papier ou en carton (à l'excl. des articles comportant un timbre-poste imprimé)</v>
      </c>
    </row>
    <row r="5772" spans="1:4" x14ac:dyDescent="0.25">
      <c r="A5772" t="str">
        <f>T("   ZZZ_Monde")</f>
        <v xml:space="preserve">   ZZZ_Monde</v>
      </c>
      <c r="B5772" t="str">
        <f>T("   ZZZ_Monde")</f>
        <v xml:space="preserve">   ZZZ_Monde</v>
      </c>
      <c r="C5772">
        <v>18867</v>
      </c>
      <c r="D5772">
        <v>22</v>
      </c>
    </row>
    <row r="5773" spans="1:4" x14ac:dyDescent="0.25">
      <c r="A5773" t="str">
        <f>T("   CN")</f>
        <v xml:space="preserve">   CN</v>
      </c>
      <c r="B5773" t="str">
        <f>T("   Chine")</f>
        <v xml:space="preserve">   Chine</v>
      </c>
      <c r="C5773">
        <v>18867</v>
      </c>
      <c r="D5773">
        <v>22</v>
      </c>
    </row>
    <row r="5774" spans="1:4" x14ac:dyDescent="0.25">
      <c r="A5774" t="str">
        <f>T("481730")</f>
        <v>481730</v>
      </c>
      <c r="B5774" t="str">
        <f>T("Boîtes, pochettes et présentations simil., en papier ou en carton, renfermant un assortiment d'articles de correspondance")</f>
        <v>Boîtes, pochettes et présentations simil., en papier ou en carton, renfermant un assortiment d'articles de correspondance</v>
      </c>
    </row>
    <row r="5775" spans="1:4" x14ac:dyDescent="0.25">
      <c r="A5775" t="str">
        <f>T("   ZZZ_Monde")</f>
        <v xml:space="preserve">   ZZZ_Monde</v>
      </c>
      <c r="B5775" t="str">
        <f>T("   ZZZ_Monde")</f>
        <v xml:space="preserve">   ZZZ_Monde</v>
      </c>
      <c r="C5775">
        <v>869732</v>
      </c>
      <c r="D5775">
        <v>269</v>
      </c>
    </row>
    <row r="5776" spans="1:4" x14ac:dyDescent="0.25">
      <c r="A5776" t="str">
        <f>T("   FR")</f>
        <v xml:space="preserve">   FR</v>
      </c>
      <c r="B5776" t="str">
        <f>T("   France")</f>
        <v xml:space="preserve">   France</v>
      </c>
      <c r="C5776">
        <v>869732</v>
      </c>
      <c r="D5776">
        <v>269</v>
      </c>
    </row>
    <row r="5777" spans="1:4" x14ac:dyDescent="0.25">
      <c r="A5777" t="str">
        <f>T("481810")</f>
        <v>481810</v>
      </c>
      <c r="B5777" t="str">
        <f>T("Papier hygiénique, en rouleaux d'une largeur &lt;= 36 cm")</f>
        <v>Papier hygiénique, en rouleaux d'une largeur &lt;= 36 cm</v>
      </c>
    </row>
    <row r="5778" spans="1:4" x14ac:dyDescent="0.25">
      <c r="A5778" t="str">
        <f>T("   ZZZ_Monde")</f>
        <v xml:space="preserve">   ZZZ_Monde</v>
      </c>
      <c r="B5778" t="str">
        <f>T("   ZZZ_Monde")</f>
        <v xml:space="preserve">   ZZZ_Monde</v>
      </c>
      <c r="C5778">
        <v>477877566</v>
      </c>
      <c r="D5778">
        <v>902984</v>
      </c>
    </row>
    <row r="5779" spans="1:4" x14ac:dyDescent="0.25">
      <c r="A5779" t="str">
        <f>T("   AE")</f>
        <v xml:space="preserve">   AE</v>
      </c>
      <c r="B5779" t="str">
        <f>T("   Emirats Arabes Unis")</f>
        <v xml:space="preserve">   Emirats Arabes Unis</v>
      </c>
      <c r="C5779">
        <v>5686050</v>
      </c>
      <c r="D5779">
        <v>8246</v>
      </c>
    </row>
    <row r="5780" spans="1:4" x14ac:dyDescent="0.25">
      <c r="A5780" t="str">
        <f>T("   BE")</f>
        <v xml:space="preserve">   BE</v>
      </c>
      <c r="B5780" t="str">
        <f>T("   Belgique")</f>
        <v xml:space="preserve">   Belgique</v>
      </c>
      <c r="C5780">
        <v>3013203</v>
      </c>
      <c r="D5780">
        <v>22801</v>
      </c>
    </row>
    <row r="5781" spans="1:4" x14ac:dyDescent="0.25">
      <c r="A5781" t="str">
        <f>T("   CN")</f>
        <v xml:space="preserve">   CN</v>
      </c>
      <c r="B5781" t="str">
        <f>T("   Chine")</f>
        <v xml:space="preserve">   Chine</v>
      </c>
      <c r="C5781">
        <v>355264873</v>
      </c>
      <c r="D5781">
        <v>676116</v>
      </c>
    </row>
    <row r="5782" spans="1:4" x14ac:dyDescent="0.25">
      <c r="A5782" t="str">
        <f>T("   FR")</f>
        <v xml:space="preserve">   FR</v>
      </c>
      <c r="B5782" t="str">
        <f>T("   France")</f>
        <v xml:space="preserve">   France</v>
      </c>
      <c r="C5782">
        <v>7759351</v>
      </c>
      <c r="D5782">
        <v>6771</v>
      </c>
    </row>
    <row r="5783" spans="1:4" x14ac:dyDescent="0.25">
      <c r="A5783" t="str">
        <f>T("   GH")</f>
        <v xml:space="preserve">   GH</v>
      </c>
      <c r="B5783" t="str">
        <f>T("   Ghana")</f>
        <v xml:space="preserve">   Ghana</v>
      </c>
      <c r="C5783">
        <v>1650000</v>
      </c>
      <c r="D5783">
        <v>8726</v>
      </c>
    </row>
    <row r="5784" spans="1:4" x14ac:dyDescent="0.25">
      <c r="A5784" t="str">
        <f>T("   ID")</f>
        <v xml:space="preserve">   ID</v>
      </c>
      <c r="B5784" t="str">
        <f>T("   Indonésie")</f>
        <v xml:space="preserve">   Indonésie</v>
      </c>
      <c r="C5784">
        <v>7185457</v>
      </c>
      <c r="D5784">
        <v>9950</v>
      </c>
    </row>
    <row r="5785" spans="1:4" x14ac:dyDescent="0.25">
      <c r="A5785" t="str">
        <f>T("   IT")</f>
        <v xml:space="preserve">   IT</v>
      </c>
      <c r="B5785" t="str">
        <f>T("   Italie")</f>
        <v xml:space="preserve">   Italie</v>
      </c>
      <c r="C5785">
        <v>49631126</v>
      </c>
      <c r="D5785">
        <v>71303</v>
      </c>
    </row>
    <row r="5786" spans="1:4" x14ac:dyDescent="0.25">
      <c r="A5786" t="str">
        <f>T("   LB")</f>
        <v xml:space="preserve">   LB</v>
      </c>
      <c r="B5786" t="str">
        <f>T("   Liban")</f>
        <v xml:space="preserve">   Liban</v>
      </c>
      <c r="C5786">
        <v>122714</v>
      </c>
      <c r="D5786">
        <v>1266</v>
      </c>
    </row>
    <row r="5787" spans="1:4" x14ac:dyDescent="0.25">
      <c r="A5787" t="str">
        <f>T("   NL")</f>
        <v xml:space="preserve">   NL</v>
      </c>
      <c r="B5787" t="str">
        <f>T("   Pays-bas")</f>
        <v xml:space="preserve">   Pays-bas</v>
      </c>
      <c r="C5787">
        <v>1550611</v>
      </c>
      <c r="D5787">
        <v>1638</v>
      </c>
    </row>
    <row r="5788" spans="1:4" x14ac:dyDescent="0.25">
      <c r="A5788" t="str">
        <f>T("   TG")</f>
        <v xml:space="preserve">   TG</v>
      </c>
      <c r="B5788" t="str">
        <f>T("   Togo")</f>
        <v xml:space="preserve">   Togo</v>
      </c>
      <c r="C5788">
        <v>21473720</v>
      </c>
      <c r="D5788">
        <v>77909</v>
      </c>
    </row>
    <row r="5789" spans="1:4" x14ac:dyDescent="0.25">
      <c r="A5789" t="str">
        <f>T("   TR")</f>
        <v xml:space="preserve">   TR</v>
      </c>
      <c r="B5789" t="str">
        <f>T("   Turquie")</f>
        <v xml:space="preserve">   Turquie</v>
      </c>
      <c r="C5789">
        <v>24540461</v>
      </c>
      <c r="D5789">
        <v>18258</v>
      </c>
    </row>
    <row r="5790" spans="1:4" x14ac:dyDescent="0.25">
      <c r="A5790" t="str">
        <f>T("481820")</f>
        <v>481820</v>
      </c>
      <c r="B5790" t="str">
        <f>T("Mouchoirs, serviettes à démaquiller et essuie-mains, en pâte à papier, papier, ouate de cellulose ou nappes de fibres de cellulose")</f>
        <v>Mouchoirs, serviettes à démaquiller et essuie-mains, en pâte à papier, papier, ouate de cellulose ou nappes de fibres de cellulose</v>
      </c>
    </row>
    <row r="5791" spans="1:4" x14ac:dyDescent="0.25">
      <c r="A5791" t="str">
        <f>T("   ZZZ_Monde")</f>
        <v xml:space="preserve">   ZZZ_Monde</v>
      </c>
      <c r="B5791" t="str">
        <f>T("   ZZZ_Monde")</f>
        <v xml:space="preserve">   ZZZ_Monde</v>
      </c>
      <c r="C5791">
        <v>241245981</v>
      </c>
      <c r="D5791">
        <v>313948</v>
      </c>
    </row>
    <row r="5792" spans="1:4" x14ac:dyDescent="0.25">
      <c r="A5792" t="str">
        <f>T("   AE")</f>
        <v xml:space="preserve">   AE</v>
      </c>
      <c r="B5792" t="str">
        <f>T("   Emirats Arabes Unis")</f>
        <v xml:space="preserve">   Emirats Arabes Unis</v>
      </c>
      <c r="C5792">
        <v>185029</v>
      </c>
      <c r="D5792">
        <v>648</v>
      </c>
    </row>
    <row r="5793" spans="1:4" x14ac:dyDescent="0.25">
      <c r="A5793" t="str">
        <f>T("   BE")</f>
        <v xml:space="preserve">   BE</v>
      </c>
      <c r="B5793" t="str">
        <f>T("   Belgique")</f>
        <v xml:space="preserve">   Belgique</v>
      </c>
      <c r="C5793">
        <v>16342467</v>
      </c>
      <c r="D5793">
        <v>19981</v>
      </c>
    </row>
    <row r="5794" spans="1:4" x14ac:dyDescent="0.25">
      <c r="A5794" t="str">
        <f>T("   CN")</f>
        <v xml:space="preserve">   CN</v>
      </c>
      <c r="B5794" t="str">
        <f>T("   Chine")</f>
        <v xml:space="preserve">   Chine</v>
      </c>
      <c r="C5794">
        <v>99393208</v>
      </c>
      <c r="D5794">
        <v>138331</v>
      </c>
    </row>
    <row r="5795" spans="1:4" x14ac:dyDescent="0.25">
      <c r="A5795" t="str">
        <f>T("   DE")</f>
        <v xml:space="preserve">   DE</v>
      </c>
      <c r="B5795" t="str">
        <f>T("   Allemagne")</f>
        <v xml:space="preserve">   Allemagne</v>
      </c>
      <c r="C5795">
        <v>13119</v>
      </c>
      <c r="D5795">
        <v>7</v>
      </c>
    </row>
    <row r="5796" spans="1:4" x14ac:dyDescent="0.25">
      <c r="A5796" t="str">
        <f>T("   ES")</f>
        <v xml:space="preserve">   ES</v>
      </c>
      <c r="B5796" t="str">
        <f>T("   Espagne")</f>
        <v xml:space="preserve">   Espagne</v>
      </c>
      <c r="C5796">
        <v>1070527</v>
      </c>
      <c r="D5796">
        <v>1200</v>
      </c>
    </row>
    <row r="5797" spans="1:4" x14ac:dyDescent="0.25">
      <c r="A5797" t="str">
        <f>T("   FR")</f>
        <v xml:space="preserve">   FR</v>
      </c>
      <c r="B5797" t="str">
        <f>T("   France")</f>
        <v xml:space="preserve">   France</v>
      </c>
      <c r="C5797">
        <v>51567933</v>
      </c>
      <c r="D5797">
        <v>38793</v>
      </c>
    </row>
    <row r="5798" spans="1:4" x14ac:dyDescent="0.25">
      <c r="A5798" t="str">
        <f>T("   GB")</f>
        <v xml:space="preserve">   GB</v>
      </c>
      <c r="B5798" t="str">
        <f>T("   Royaume-Uni")</f>
        <v xml:space="preserve">   Royaume-Uni</v>
      </c>
      <c r="C5798">
        <v>4998094</v>
      </c>
      <c r="D5798">
        <v>7336</v>
      </c>
    </row>
    <row r="5799" spans="1:4" x14ac:dyDescent="0.25">
      <c r="A5799" t="str">
        <f>T("   GH")</f>
        <v xml:space="preserve">   GH</v>
      </c>
      <c r="B5799" t="str">
        <f>T("   Ghana")</f>
        <v xml:space="preserve">   Ghana</v>
      </c>
      <c r="C5799">
        <v>9406900</v>
      </c>
      <c r="D5799">
        <v>8934</v>
      </c>
    </row>
    <row r="5800" spans="1:4" x14ac:dyDescent="0.25">
      <c r="A5800" t="str">
        <f>T("   LB")</f>
        <v xml:space="preserve">   LB</v>
      </c>
      <c r="B5800" t="str">
        <f>T("   Liban")</f>
        <v xml:space="preserve">   Liban</v>
      </c>
      <c r="C5800">
        <v>3329244</v>
      </c>
      <c r="D5800">
        <v>14433</v>
      </c>
    </row>
    <row r="5801" spans="1:4" x14ac:dyDescent="0.25">
      <c r="A5801" t="str">
        <f>T("   NG")</f>
        <v xml:space="preserve">   NG</v>
      </c>
      <c r="B5801" t="str">
        <f>T("   Nigéria")</f>
        <v xml:space="preserve">   Nigéria</v>
      </c>
      <c r="C5801">
        <v>2713500</v>
      </c>
      <c r="D5801">
        <v>9058</v>
      </c>
    </row>
    <row r="5802" spans="1:4" x14ac:dyDescent="0.25">
      <c r="A5802" t="str">
        <f>T("   TG")</f>
        <v xml:space="preserve">   TG</v>
      </c>
      <c r="B5802" t="str">
        <f>T("   Togo")</f>
        <v xml:space="preserve">   Togo</v>
      </c>
      <c r="C5802">
        <v>50193523</v>
      </c>
      <c r="D5802">
        <v>70354</v>
      </c>
    </row>
    <row r="5803" spans="1:4" x14ac:dyDescent="0.25">
      <c r="A5803" t="str">
        <f>T("   TH")</f>
        <v xml:space="preserve">   TH</v>
      </c>
      <c r="B5803" t="str">
        <f>T("   Thaïlande")</f>
        <v xml:space="preserve">   Thaïlande</v>
      </c>
      <c r="C5803">
        <v>329601</v>
      </c>
      <c r="D5803">
        <v>400</v>
      </c>
    </row>
    <row r="5804" spans="1:4" x14ac:dyDescent="0.25">
      <c r="A5804" t="str">
        <f>T("   TR")</f>
        <v xml:space="preserve">   TR</v>
      </c>
      <c r="B5804" t="str">
        <f>T("   Turquie")</f>
        <v xml:space="preserve">   Turquie</v>
      </c>
      <c r="C5804">
        <v>1613625</v>
      </c>
      <c r="D5804">
        <v>4378</v>
      </c>
    </row>
    <row r="5805" spans="1:4" x14ac:dyDescent="0.25">
      <c r="A5805" t="str">
        <f>T("   US")</f>
        <v xml:space="preserve">   US</v>
      </c>
      <c r="B5805" t="str">
        <f>T("   Etats-Unis")</f>
        <v xml:space="preserve">   Etats-Unis</v>
      </c>
      <c r="C5805">
        <v>89211</v>
      </c>
      <c r="D5805">
        <v>95</v>
      </c>
    </row>
    <row r="5806" spans="1:4" x14ac:dyDescent="0.25">
      <c r="A5806" t="str">
        <f>T("481830")</f>
        <v>481830</v>
      </c>
      <c r="B5806" t="str">
        <f>T("Nappes et serviettes de table, en pâte à papier, papier, ouate de cellulose ou nappes de fibres de cellulose")</f>
        <v>Nappes et serviettes de table, en pâte à papier, papier, ouate de cellulose ou nappes de fibres de cellulose</v>
      </c>
    </row>
    <row r="5807" spans="1:4" x14ac:dyDescent="0.25">
      <c r="A5807" t="str">
        <f>T("   ZZZ_Monde")</f>
        <v xml:space="preserve">   ZZZ_Monde</v>
      </c>
      <c r="B5807" t="str">
        <f>T("   ZZZ_Monde")</f>
        <v xml:space="preserve">   ZZZ_Monde</v>
      </c>
      <c r="C5807">
        <v>915279</v>
      </c>
      <c r="D5807">
        <v>1318</v>
      </c>
    </row>
    <row r="5808" spans="1:4" x14ac:dyDescent="0.25">
      <c r="A5808" t="str">
        <f>T("   FR")</f>
        <v xml:space="preserve">   FR</v>
      </c>
      <c r="B5808" t="str">
        <f>T("   France")</f>
        <v xml:space="preserve">   France</v>
      </c>
      <c r="C5808">
        <v>355463</v>
      </c>
      <c r="D5808">
        <v>674</v>
      </c>
    </row>
    <row r="5809" spans="1:4" x14ac:dyDescent="0.25">
      <c r="A5809" t="str">
        <f>T("   TG")</f>
        <v xml:space="preserve">   TG</v>
      </c>
      <c r="B5809" t="str">
        <f>T("   Togo")</f>
        <v xml:space="preserve">   Togo</v>
      </c>
      <c r="C5809">
        <v>559816</v>
      </c>
      <c r="D5809">
        <v>644</v>
      </c>
    </row>
    <row r="5810" spans="1:4" x14ac:dyDescent="0.25">
      <c r="A5810" t="str">
        <f>T("481840")</f>
        <v>481840</v>
      </c>
      <c r="B5810" t="str">
        <f>T("Serviettes et tampons hygiéniques, couches pour bébés et articles hygiéniques simil., en pâte à papier, papier, ouate de cellulose ou nappes de fibres de cellulose")</f>
        <v>Serviettes et tampons hygiéniques, couches pour bébés et articles hygiéniques simil., en pâte à papier, papier, ouate de cellulose ou nappes de fibres de cellulose</v>
      </c>
    </row>
    <row r="5811" spans="1:4" x14ac:dyDescent="0.25">
      <c r="A5811" t="str">
        <f>T("   ZZZ_Monde")</f>
        <v xml:space="preserve">   ZZZ_Monde</v>
      </c>
      <c r="B5811" t="str">
        <f>T("   ZZZ_Monde")</f>
        <v xml:space="preserve">   ZZZ_Monde</v>
      </c>
      <c r="C5811">
        <v>572077472</v>
      </c>
      <c r="D5811">
        <v>1032321.25</v>
      </c>
    </row>
    <row r="5812" spans="1:4" x14ac:dyDescent="0.25">
      <c r="A5812" t="str">
        <f>T("   AE")</f>
        <v xml:space="preserve">   AE</v>
      </c>
      <c r="B5812" t="str">
        <f>T("   Emirats Arabes Unis")</f>
        <v xml:space="preserve">   Emirats Arabes Unis</v>
      </c>
      <c r="C5812">
        <v>543583</v>
      </c>
      <c r="D5812">
        <v>420</v>
      </c>
    </row>
    <row r="5813" spans="1:4" x14ac:dyDescent="0.25">
      <c r="A5813" t="str">
        <f>T("   BE")</f>
        <v xml:space="preserve">   BE</v>
      </c>
      <c r="B5813" t="str">
        <f>T("   Belgique")</f>
        <v xml:space="preserve">   Belgique</v>
      </c>
      <c r="C5813">
        <v>4745215</v>
      </c>
      <c r="D5813">
        <v>7963</v>
      </c>
    </row>
    <row r="5814" spans="1:4" x14ac:dyDescent="0.25">
      <c r="A5814" t="str">
        <f>T("   CA")</f>
        <v xml:space="preserve">   CA</v>
      </c>
      <c r="B5814" t="str">
        <f>T("   Canada")</f>
        <v xml:space="preserve">   Canada</v>
      </c>
      <c r="C5814">
        <v>200000</v>
      </c>
      <c r="D5814">
        <v>250</v>
      </c>
    </row>
    <row r="5815" spans="1:4" x14ac:dyDescent="0.25">
      <c r="A5815" t="str">
        <f>T("   CN")</f>
        <v xml:space="preserve">   CN</v>
      </c>
      <c r="B5815" t="str">
        <f>T("   Chine")</f>
        <v xml:space="preserve">   Chine</v>
      </c>
      <c r="C5815">
        <v>166795230</v>
      </c>
      <c r="D5815">
        <v>304126</v>
      </c>
    </row>
    <row r="5816" spans="1:4" x14ac:dyDescent="0.25">
      <c r="A5816" t="str">
        <f>T("   CO")</f>
        <v xml:space="preserve">   CO</v>
      </c>
      <c r="B5816" t="str">
        <f>T("   Colombie")</f>
        <v xml:space="preserve">   Colombie</v>
      </c>
      <c r="C5816">
        <v>12757111</v>
      </c>
      <c r="D5816">
        <v>18740</v>
      </c>
    </row>
    <row r="5817" spans="1:4" x14ac:dyDescent="0.25">
      <c r="A5817" t="str">
        <f>T("   ES")</f>
        <v xml:space="preserve">   ES</v>
      </c>
      <c r="B5817" t="str">
        <f>T("   Espagne")</f>
        <v xml:space="preserve">   Espagne</v>
      </c>
      <c r="C5817">
        <v>12020000</v>
      </c>
      <c r="D5817">
        <v>18627</v>
      </c>
    </row>
    <row r="5818" spans="1:4" x14ac:dyDescent="0.25">
      <c r="A5818" t="str">
        <f>T("   FR")</f>
        <v xml:space="preserve">   FR</v>
      </c>
      <c r="B5818" t="str">
        <f>T("   France")</f>
        <v xml:space="preserve">   France</v>
      </c>
      <c r="C5818">
        <v>46087069</v>
      </c>
      <c r="D5818">
        <v>38955</v>
      </c>
    </row>
    <row r="5819" spans="1:4" x14ac:dyDescent="0.25">
      <c r="A5819" t="str">
        <f>T("   GB")</f>
        <v xml:space="preserve">   GB</v>
      </c>
      <c r="B5819" t="str">
        <f>T("   Royaume-Uni")</f>
        <v xml:space="preserve">   Royaume-Uni</v>
      </c>
      <c r="C5819">
        <v>299594</v>
      </c>
      <c r="D5819">
        <v>485</v>
      </c>
    </row>
    <row r="5820" spans="1:4" x14ac:dyDescent="0.25">
      <c r="A5820" t="str">
        <f>T("   GH")</f>
        <v xml:space="preserve">   GH</v>
      </c>
      <c r="B5820" t="str">
        <f>T("   Ghana")</f>
        <v xml:space="preserve">   Ghana</v>
      </c>
      <c r="C5820">
        <v>28318615</v>
      </c>
      <c r="D5820">
        <v>153137</v>
      </c>
    </row>
    <row r="5821" spans="1:4" x14ac:dyDescent="0.25">
      <c r="A5821" t="str">
        <f>T("   LB")</f>
        <v xml:space="preserve">   LB</v>
      </c>
      <c r="B5821" t="str">
        <f>T("   Liban")</f>
        <v xml:space="preserve">   Liban</v>
      </c>
      <c r="C5821">
        <v>58640091</v>
      </c>
      <c r="D5821">
        <v>57391</v>
      </c>
    </row>
    <row r="5822" spans="1:4" x14ac:dyDescent="0.25">
      <c r="A5822" t="str">
        <f>T("   NG")</f>
        <v xml:space="preserve">   NG</v>
      </c>
      <c r="B5822" t="str">
        <f>T("   Nigéria")</f>
        <v xml:space="preserve">   Nigéria</v>
      </c>
      <c r="C5822">
        <v>135435</v>
      </c>
      <c r="D5822">
        <v>270</v>
      </c>
    </row>
    <row r="5823" spans="1:4" x14ac:dyDescent="0.25">
      <c r="A5823" t="str">
        <f>T("   PL")</f>
        <v xml:space="preserve">   PL</v>
      </c>
      <c r="B5823" t="str">
        <f>T("   Pologne")</f>
        <v xml:space="preserve">   Pologne</v>
      </c>
      <c r="C5823">
        <v>282414</v>
      </c>
      <c r="D5823">
        <v>1000</v>
      </c>
    </row>
    <row r="5824" spans="1:4" x14ac:dyDescent="0.25">
      <c r="A5824" t="str">
        <f>T("   TG")</f>
        <v xml:space="preserve">   TG</v>
      </c>
      <c r="B5824" t="str">
        <f>T("   Togo")</f>
        <v xml:space="preserve">   Togo</v>
      </c>
      <c r="C5824">
        <v>71165660</v>
      </c>
      <c r="D5824">
        <v>222805</v>
      </c>
    </row>
    <row r="5825" spans="1:4" x14ac:dyDescent="0.25">
      <c r="A5825" t="str">
        <f>T("   TN")</f>
        <v xml:space="preserve">   TN</v>
      </c>
      <c r="B5825" t="str">
        <f>T("   Tunisie")</f>
        <v xml:space="preserve">   Tunisie</v>
      </c>
      <c r="C5825">
        <v>86594923</v>
      </c>
      <c r="D5825">
        <v>131848.25</v>
      </c>
    </row>
    <row r="5826" spans="1:4" x14ac:dyDescent="0.25">
      <c r="A5826" t="str">
        <f>T("   TR")</f>
        <v xml:space="preserve">   TR</v>
      </c>
      <c r="B5826" t="str">
        <f>T("   Turquie")</f>
        <v xml:space="preserve">   Turquie</v>
      </c>
      <c r="C5826">
        <v>83492532</v>
      </c>
      <c r="D5826">
        <v>76304</v>
      </c>
    </row>
    <row r="5827" spans="1:4" x14ac:dyDescent="0.25">
      <c r="A5827" t="str">
        <f>T("481850")</f>
        <v>481850</v>
      </c>
      <c r="B5827" t="str">
        <f>T("Vêtements et accessoires du vêtement, en pâte à papier, papier, ouate de cellulose ou nappes de fibres de cellulose (à l'excl. des guêtres et articles simil., des coiffures et leurs parties ainsi que des chaussures et leurs parties, y.c. les semelles inté")</f>
        <v>Vêtements et accessoires du vêtement, en pâte à papier, papier, ouate de cellulose ou nappes de fibres de cellulose (à l'excl. des guêtres et articles simil., des coiffures et leurs parties ainsi que des chaussures et leurs parties, y.c. les semelles inté</v>
      </c>
    </row>
    <row r="5828" spans="1:4" x14ac:dyDescent="0.25">
      <c r="A5828" t="str">
        <f>T("   ZZZ_Monde")</f>
        <v xml:space="preserve">   ZZZ_Monde</v>
      </c>
      <c r="B5828" t="str">
        <f>T("   ZZZ_Monde")</f>
        <v xml:space="preserve">   ZZZ_Monde</v>
      </c>
      <c r="C5828">
        <v>2912051</v>
      </c>
      <c r="D5828">
        <v>4465</v>
      </c>
    </row>
    <row r="5829" spans="1:4" x14ac:dyDescent="0.25">
      <c r="A5829" t="str">
        <f>T("   CN")</f>
        <v xml:space="preserve">   CN</v>
      </c>
      <c r="B5829" t="str">
        <f>T("   Chine")</f>
        <v xml:space="preserve">   Chine</v>
      </c>
      <c r="C5829">
        <v>2912051</v>
      </c>
      <c r="D5829">
        <v>4465</v>
      </c>
    </row>
    <row r="5830" spans="1:4" x14ac:dyDescent="0.25">
      <c r="A5830" t="str">
        <f>T("481890")</f>
        <v>481890</v>
      </c>
      <c r="B5830" t="str">
        <f>T("Papiers des types utilisés pour papiers de toilette et pour papiers simil., ouate de cellulose ou nappes de fibres de cellulose, des types utilisés à des fins domestiques ou sanitaires, en rouleaux d'une largeur &lt;= 36 cm, ou coupés à format; articles à us")</f>
        <v>Papiers des types utilisés pour papiers de toilette et pour papiers simil., ouate de cellulose ou nappes de fibres de cellulose, des types utilisés à des fins domestiques ou sanitaires, en rouleaux d'une largeur &lt;= 36 cm, ou coupés à format; articles à us</v>
      </c>
    </row>
    <row r="5831" spans="1:4" x14ac:dyDescent="0.25">
      <c r="A5831" t="str">
        <f>T("   ZZZ_Monde")</f>
        <v xml:space="preserve">   ZZZ_Monde</v>
      </c>
      <c r="B5831" t="str">
        <f>T("   ZZZ_Monde")</f>
        <v xml:space="preserve">   ZZZ_Monde</v>
      </c>
      <c r="C5831">
        <v>18352037</v>
      </c>
      <c r="D5831">
        <v>17359.25</v>
      </c>
    </row>
    <row r="5832" spans="1:4" x14ac:dyDescent="0.25">
      <c r="A5832" t="str">
        <f>T("   CN")</f>
        <v xml:space="preserve">   CN</v>
      </c>
      <c r="B5832" t="str">
        <f>T("   Chine")</f>
        <v xml:space="preserve">   Chine</v>
      </c>
      <c r="C5832">
        <v>980455</v>
      </c>
      <c r="D5832">
        <v>2000</v>
      </c>
    </row>
    <row r="5833" spans="1:4" x14ac:dyDescent="0.25">
      <c r="A5833" t="str">
        <f>T("   FR")</f>
        <v xml:space="preserve">   FR</v>
      </c>
      <c r="B5833" t="str">
        <f>T("   France")</f>
        <v xml:space="preserve">   France</v>
      </c>
      <c r="C5833">
        <v>4349788</v>
      </c>
      <c r="D5833">
        <v>3670</v>
      </c>
    </row>
    <row r="5834" spans="1:4" x14ac:dyDescent="0.25">
      <c r="A5834" t="str">
        <f>T("   IT")</f>
        <v xml:space="preserve">   IT</v>
      </c>
      <c r="B5834" t="str">
        <f>T("   Italie")</f>
        <v xml:space="preserve">   Italie</v>
      </c>
      <c r="C5834">
        <v>201550</v>
      </c>
      <c r="D5834">
        <v>35</v>
      </c>
    </row>
    <row r="5835" spans="1:4" x14ac:dyDescent="0.25">
      <c r="A5835" t="str">
        <f>T("   TG")</f>
        <v xml:space="preserve">   TG</v>
      </c>
      <c r="B5835" t="str">
        <f>T("   Togo")</f>
        <v xml:space="preserve">   Togo</v>
      </c>
      <c r="C5835">
        <v>952670</v>
      </c>
      <c r="D5835">
        <v>465</v>
      </c>
    </row>
    <row r="5836" spans="1:4" x14ac:dyDescent="0.25">
      <c r="A5836" t="str">
        <f>T("   TR")</f>
        <v xml:space="preserve">   TR</v>
      </c>
      <c r="B5836" t="str">
        <f>T("   Turquie")</f>
        <v xml:space="preserve">   Turquie</v>
      </c>
      <c r="C5836">
        <v>11220052</v>
      </c>
      <c r="D5836">
        <v>10879</v>
      </c>
    </row>
    <row r="5837" spans="1:4" x14ac:dyDescent="0.25">
      <c r="A5837" t="str">
        <f>T("   ZA")</f>
        <v xml:space="preserve">   ZA</v>
      </c>
      <c r="B5837" t="str">
        <f>T("   Afrique du Sud")</f>
        <v xml:space="preserve">   Afrique du Sud</v>
      </c>
      <c r="C5837">
        <v>647522</v>
      </c>
      <c r="D5837">
        <v>310.25</v>
      </c>
    </row>
    <row r="5838" spans="1:4" x14ac:dyDescent="0.25">
      <c r="A5838" t="str">
        <f>T("481910")</f>
        <v>481910</v>
      </c>
      <c r="B5838" t="str">
        <f>T("Boîtes et caisses en papier ou en carton ondulé")</f>
        <v>Boîtes et caisses en papier ou en carton ondulé</v>
      </c>
    </row>
    <row r="5839" spans="1:4" x14ac:dyDescent="0.25">
      <c r="A5839" t="str">
        <f>T("   ZZZ_Monde")</f>
        <v xml:space="preserve">   ZZZ_Monde</v>
      </c>
      <c r="B5839" t="str">
        <f>T("   ZZZ_Monde")</f>
        <v xml:space="preserve">   ZZZ_Monde</v>
      </c>
      <c r="C5839">
        <v>311338927</v>
      </c>
      <c r="D5839">
        <v>13331383.85</v>
      </c>
    </row>
    <row r="5840" spans="1:4" x14ac:dyDescent="0.25">
      <c r="A5840" t="str">
        <f>T("   BE")</f>
        <v xml:space="preserve">   BE</v>
      </c>
      <c r="B5840" t="str">
        <f>T("   Belgique")</f>
        <v xml:space="preserve">   Belgique</v>
      </c>
      <c r="C5840">
        <v>3959402</v>
      </c>
      <c r="D5840">
        <v>1171</v>
      </c>
    </row>
    <row r="5841" spans="1:4" x14ac:dyDescent="0.25">
      <c r="A5841" t="str">
        <f>T("   CI")</f>
        <v xml:space="preserve">   CI</v>
      </c>
      <c r="B5841" t="str">
        <f>T("   Côte d'Ivoire")</f>
        <v xml:space="preserve">   Côte d'Ivoire</v>
      </c>
      <c r="C5841">
        <v>8182404</v>
      </c>
      <c r="D5841">
        <v>12574.82</v>
      </c>
    </row>
    <row r="5842" spans="1:4" x14ac:dyDescent="0.25">
      <c r="A5842" t="str">
        <f>T("   CN")</f>
        <v xml:space="preserve">   CN</v>
      </c>
      <c r="B5842" t="str">
        <f>T("   Chine")</f>
        <v xml:space="preserve">   Chine</v>
      </c>
      <c r="C5842">
        <v>72012689</v>
      </c>
      <c r="D5842">
        <v>328498.03000000003</v>
      </c>
    </row>
    <row r="5843" spans="1:4" x14ac:dyDescent="0.25">
      <c r="A5843" t="str">
        <f>T("   ES")</f>
        <v xml:space="preserve">   ES</v>
      </c>
      <c r="B5843" t="str">
        <f>T("   Espagne")</f>
        <v xml:space="preserve">   Espagne</v>
      </c>
      <c r="C5843">
        <v>2030701</v>
      </c>
      <c r="D5843">
        <v>16273</v>
      </c>
    </row>
    <row r="5844" spans="1:4" x14ac:dyDescent="0.25">
      <c r="A5844" t="str">
        <f>T("   FR")</f>
        <v xml:space="preserve">   FR</v>
      </c>
      <c r="B5844" t="str">
        <f>T("   France")</f>
        <v xml:space="preserve">   France</v>
      </c>
      <c r="C5844">
        <v>2192874</v>
      </c>
      <c r="D5844">
        <v>289</v>
      </c>
    </row>
    <row r="5845" spans="1:4" x14ac:dyDescent="0.25">
      <c r="A5845" t="str">
        <f>T("   GH")</f>
        <v xml:space="preserve">   GH</v>
      </c>
      <c r="B5845" t="str">
        <f>T("   Ghana")</f>
        <v xml:space="preserve">   Ghana</v>
      </c>
      <c r="C5845">
        <v>129080444</v>
      </c>
      <c r="D5845">
        <v>222592</v>
      </c>
    </row>
    <row r="5846" spans="1:4" x14ac:dyDescent="0.25">
      <c r="A5846" t="str">
        <f>T("   HK")</f>
        <v xml:space="preserve">   HK</v>
      </c>
      <c r="B5846" t="str">
        <f>T("   Hong-Kong")</f>
        <v xml:space="preserve">   Hong-Kong</v>
      </c>
      <c r="C5846">
        <v>22964</v>
      </c>
      <c r="D5846">
        <v>132</v>
      </c>
    </row>
    <row r="5847" spans="1:4" x14ac:dyDescent="0.25">
      <c r="A5847" t="str">
        <f>T("   LB")</f>
        <v xml:space="preserve">   LB</v>
      </c>
      <c r="B5847" t="str">
        <f>T("   Liban")</f>
        <v xml:space="preserve">   Liban</v>
      </c>
      <c r="C5847">
        <v>191740</v>
      </c>
      <c r="D5847">
        <v>850</v>
      </c>
    </row>
    <row r="5848" spans="1:4" x14ac:dyDescent="0.25">
      <c r="A5848" t="str">
        <f>T("   NG")</f>
        <v xml:space="preserve">   NG</v>
      </c>
      <c r="B5848" t="str">
        <f>T("   Nigéria")</f>
        <v xml:space="preserve">   Nigéria</v>
      </c>
      <c r="C5848">
        <v>16623800</v>
      </c>
      <c r="D5848">
        <v>41317</v>
      </c>
    </row>
    <row r="5849" spans="1:4" x14ac:dyDescent="0.25">
      <c r="A5849" t="str">
        <f>T("   NL")</f>
        <v xml:space="preserve">   NL</v>
      </c>
      <c r="B5849" t="str">
        <f>T("   Pays-bas")</f>
        <v xml:space="preserve">   Pays-bas</v>
      </c>
      <c r="C5849">
        <v>5887241</v>
      </c>
      <c r="D5849">
        <v>19140</v>
      </c>
    </row>
    <row r="5850" spans="1:4" x14ac:dyDescent="0.25">
      <c r="A5850" t="str">
        <f>T("   SG")</f>
        <v xml:space="preserve">   SG</v>
      </c>
      <c r="B5850" t="str">
        <f>T("   Singapour")</f>
        <v xml:space="preserve">   Singapour</v>
      </c>
      <c r="C5850">
        <v>7737148</v>
      </c>
      <c r="D5850">
        <v>16055</v>
      </c>
    </row>
    <row r="5851" spans="1:4" x14ac:dyDescent="0.25">
      <c r="A5851" t="str">
        <f>T("   TG")</f>
        <v xml:space="preserve">   TG</v>
      </c>
      <c r="B5851" t="str">
        <f>T("   Togo")</f>
        <v xml:space="preserve">   Togo</v>
      </c>
      <c r="C5851">
        <v>61594263</v>
      </c>
      <c r="D5851">
        <v>12670993</v>
      </c>
    </row>
    <row r="5852" spans="1:4" x14ac:dyDescent="0.25">
      <c r="A5852" t="str">
        <f>T("   TR")</f>
        <v xml:space="preserve">   TR</v>
      </c>
      <c r="B5852" t="str">
        <f>T("   Turquie")</f>
        <v xml:space="preserve">   Turquie</v>
      </c>
      <c r="C5852">
        <v>224338</v>
      </c>
      <c r="D5852">
        <v>1099</v>
      </c>
    </row>
    <row r="5853" spans="1:4" x14ac:dyDescent="0.25">
      <c r="A5853" t="str">
        <f>T("   ZA")</f>
        <v xml:space="preserve">   ZA</v>
      </c>
      <c r="B5853" t="str">
        <f>T("   Afrique du Sud")</f>
        <v xml:space="preserve">   Afrique du Sud</v>
      </c>
      <c r="C5853">
        <v>1598919</v>
      </c>
      <c r="D5853">
        <v>400</v>
      </c>
    </row>
    <row r="5854" spans="1:4" x14ac:dyDescent="0.25">
      <c r="A5854" t="str">
        <f>T("481920")</f>
        <v>481920</v>
      </c>
      <c r="B5854" t="str">
        <f>T("Boîtes et cartonnages, pliants, en papier ou en carton non ondulé")</f>
        <v>Boîtes et cartonnages, pliants, en papier ou en carton non ondulé</v>
      </c>
    </row>
    <row r="5855" spans="1:4" x14ac:dyDescent="0.25">
      <c r="A5855" t="str">
        <f>T("   ZZZ_Monde")</f>
        <v xml:space="preserve">   ZZZ_Monde</v>
      </c>
      <c r="B5855" t="str">
        <f>T("   ZZZ_Monde")</f>
        <v xml:space="preserve">   ZZZ_Monde</v>
      </c>
      <c r="C5855">
        <v>158615842</v>
      </c>
      <c r="D5855">
        <v>255432.08</v>
      </c>
    </row>
    <row r="5856" spans="1:4" x14ac:dyDescent="0.25">
      <c r="A5856" t="str">
        <f>T("   BE")</f>
        <v xml:space="preserve">   BE</v>
      </c>
      <c r="B5856" t="str">
        <f>T("   Belgique")</f>
        <v xml:space="preserve">   Belgique</v>
      </c>
      <c r="C5856">
        <v>99050</v>
      </c>
      <c r="D5856">
        <v>5</v>
      </c>
    </row>
    <row r="5857" spans="1:4" x14ac:dyDescent="0.25">
      <c r="A5857" t="str">
        <f>T("   CN")</f>
        <v xml:space="preserve">   CN</v>
      </c>
      <c r="B5857" t="str">
        <f>T("   Chine")</f>
        <v xml:space="preserve">   Chine</v>
      </c>
      <c r="C5857">
        <v>33899726</v>
      </c>
      <c r="D5857">
        <v>44764</v>
      </c>
    </row>
    <row r="5858" spans="1:4" x14ac:dyDescent="0.25">
      <c r="A5858" t="str">
        <f>T("   ES")</f>
        <v xml:space="preserve">   ES</v>
      </c>
      <c r="B5858" t="str">
        <f>T("   Espagne")</f>
        <v xml:space="preserve">   Espagne</v>
      </c>
      <c r="C5858">
        <v>191897</v>
      </c>
      <c r="D5858">
        <v>1734</v>
      </c>
    </row>
    <row r="5859" spans="1:4" x14ac:dyDescent="0.25">
      <c r="A5859" t="str">
        <f>T("   FR")</f>
        <v xml:space="preserve">   FR</v>
      </c>
      <c r="B5859" t="str">
        <f>T("   France")</f>
        <v xml:space="preserve">   France</v>
      </c>
      <c r="C5859">
        <v>62198672</v>
      </c>
      <c r="D5859">
        <v>35491</v>
      </c>
    </row>
    <row r="5860" spans="1:4" x14ac:dyDescent="0.25">
      <c r="A5860" t="str">
        <f>T("   GB")</f>
        <v xml:space="preserve">   GB</v>
      </c>
      <c r="B5860" t="str">
        <f>T("   Royaume-Uni")</f>
        <v xml:space="preserve">   Royaume-Uni</v>
      </c>
      <c r="C5860">
        <v>5000</v>
      </c>
      <c r="D5860">
        <v>15</v>
      </c>
    </row>
    <row r="5861" spans="1:4" x14ac:dyDescent="0.25">
      <c r="A5861" t="str">
        <f>T("   GH")</f>
        <v xml:space="preserve">   GH</v>
      </c>
      <c r="B5861" t="str">
        <f>T("   Ghana")</f>
        <v xml:space="preserve">   Ghana</v>
      </c>
      <c r="C5861">
        <v>28814128</v>
      </c>
      <c r="D5861">
        <v>125150</v>
      </c>
    </row>
    <row r="5862" spans="1:4" x14ac:dyDescent="0.25">
      <c r="A5862" t="str">
        <f>T("   IT")</f>
        <v xml:space="preserve">   IT</v>
      </c>
      <c r="B5862" t="str">
        <f>T("   Italie")</f>
        <v xml:space="preserve">   Italie</v>
      </c>
      <c r="C5862">
        <v>135128</v>
      </c>
      <c r="D5862">
        <v>231</v>
      </c>
    </row>
    <row r="5863" spans="1:4" x14ac:dyDescent="0.25">
      <c r="A5863" t="str">
        <f>T("   NG")</f>
        <v xml:space="preserve">   NG</v>
      </c>
      <c r="B5863" t="str">
        <f>T("   Nigéria")</f>
        <v xml:space="preserve">   Nigéria</v>
      </c>
      <c r="C5863">
        <v>96000</v>
      </c>
      <c r="D5863">
        <v>60</v>
      </c>
    </row>
    <row r="5864" spans="1:4" x14ac:dyDescent="0.25">
      <c r="A5864" t="str">
        <f>T("   NL")</f>
        <v xml:space="preserve">   NL</v>
      </c>
      <c r="B5864" t="str">
        <f>T("   Pays-bas")</f>
        <v xml:space="preserve">   Pays-bas</v>
      </c>
      <c r="C5864">
        <v>4269508</v>
      </c>
      <c r="D5864">
        <v>548.08000000000004</v>
      </c>
    </row>
    <row r="5865" spans="1:4" x14ac:dyDescent="0.25">
      <c r="A5865" t="str">
        <f>T("   SG")</f>
        <v xml:space="preserve">   SG</v>
      </c>
      <c r="B5865" t="str">
        <f>T("   Singapour")</f>
        <v xml:space="preserve">   Singapour</v>
      </c>
      <c r="C5865">
        <v>181727</v>
      </c>
      <c r="D5865">
        <v>84</v>
      </c>
    </row>
    <row r="5866" spans="1:4" x14ac:dyDescent="0.25">
      <c r="A5866" t="str">
        <f>T("   TG")</f>
        <v xml:space="preserve">   TG</v>
      </c>
      <c r="B5866" t="str">
        <f>T("   Togo")</f>
        <v xml:space="preserve">   Togo</v>
      </c>
      <c r="C5866">
        <v>25580334</v>
      </c>
      <c r="D5866">
        <v>46408</v>
      </c>
    </row>
    <row r="5867" spans="1:4" x14ac:dyDescent="0.25">
      <c r="A5867" t="str">
        <f>T("   TR")</f>
        <v xml:space="preserve">   TR</v>
      </c>
      <c r="B5867" t="str">
        <f>T("   Turquie")</f>
        <v xml:space="preserve">   Turquie</v>
      </c>
      <c r="C5867">
        <v>3144672</v>
      </c>
      <c r="D5867">
        <v>942</v>
      </c>
    </row>
    <row r="5868" spans="1:4" x14ac:dyDescent="0.25">
      <c r="A5868" t="str">
        <f>T("481930")</f>
        <v>481930</v>
      </c>
      <c r="B5868" t="str">
        <f>T("Sacs, en papier, carton, ouate de cellulose ou nappes de fibres de cellulose, d'une largeur à la base &gt;= 40 cm")</f>
        <v>Sacs, en papier, carton, ouate de cellulose ou nappes de fibres de cellulose, d'une largeur à la base &gt;= 40 cm</v>
      </c>
    </row>
    <row r="5869" spans="1:4" x14ac:dyDescent="0.25">
      <c r="A5869" t="str">
        <f>T("   ZZZ_Monde")</f>
        <v xml:space="preserve">   ZZZ_Monde</v>
      </c>
      <c r="B5869" t="str">
        <f>T("   ZZZ_Monde")</f>
        <v xml:space="preserve">   ZZZ_Monde</v>
      </c>
      <c r="C5869">
        <v>2391483793</v>
      </c>
      <c r="D5869">
        <v>3339787</v>
      </c>
    </row>
    <row r="5870" spans="1:4" x14ac:dyDescent="0.25">
      <c r="A5870" t="str">
        <f>T("   CH")</f>
        <v xml:space="preserve">   CH</v>
      </c>
      <c r="B5870" t="str">
        <f>T("   Suisse")</f>
        <v xml:space="preserve">   Suisse</v>
      </c>
      <c r="C5870">
        <v>116442307</v>
      </c>
      <c r="D5870">
        <v>162932</v>
      </c>
    </row>
    <row r="5871" spans="1:4" x14ac:dyDescent="0.25">
      <c r="A5871" t="str">
        <f>T("   CN")</f>
        <v xml:space="preserve">   CN</v>
      </c>
      <c r="B5871" t="str">
        <f>T("   Chine")</f>
        <v xml:space="preserve">   Chine</v>
      </c>
      <c r="C5871">
        <v>52999</v>
      </c>
      <c r="D5871">
        <v>1500</v>
      </c>
    </row>
    <row r="5872" spans="1:4" x14ac:dyDescent="0.25">
      <c r="A5872" t="str">
        <f>T("   ES")</f>
        <v xml:space="preserve">   ES</v>
      </c>
      <c r="B5872" t="str">
        <f>T("   Espagne")</f>
        <v xml:space="preserve">   Espagne</v>
      </c>
      <c r="C5872">
        <v>116402726</v>
      </c>
      <c r="D5872">
        <v>176920</v>
      </c>
    </row>
    <row r="5873" spans="1:4" x14ac:dyDescent="0.25">
      <c r="A5873" t="str">
        <f>T("   MA")</f>
        <v xml:space="preserve">   MA</v>
      </c>
      <c r="B5873" t="str">
        <f>T("   Maroc")</f>
        <v xml:space="preserve">   Maroc</v>
      </c>
      <c r="C5873">
        <v>1414790079</v>
      </c>
      <c r="D5873">
        <v>2068934</v>
      </c>
    </row>
    <row r="5874" spans="1:4" x14ac:dyDescent="0.25">
      <c r="A5874" t="str">
        <f>T("   NO")</f>
        <v xml:space="preserve">   NO</v>
      </c>
      <c r="B5874" t="str">
        <f>T("   Norvège")</f>
        <v xml:space="preserve">   Norvège</v>
      </c>
      <c r="C5874">
        <v>743795682</v>
      </c>
      <c r="D5874">
        <v>929501</v>
      </c>
    </row>
    <row r="5875" spans="1:4" x14ac:dyDescent="0.25">
      <c r="A5875" t="str">
        <f>T("481940")</f>
        <v>481940</v>
      </c>
      <c r="B5875" t="str">
        <f>T("Sacs, sachets, pochettes et cornets, en papier, carton, ouate de cellulose ou nappes de fibres de cellulose (à l'excl. des pochettes pour disques et des sacs d'une largeur à la base &gt;= 40 cm)")</f>
        <v>Sacs, sachets, pochettes et cornets, en papier, carton, ouate de cellulose ou nappes de fibres de cellulose (à l'excl. des pochettes pour disques et des sacs d'une largeur à la base &gt;= 40 cm)</v>
      </c>
    </row>
    <row r="5876" spans="1:4" x14ac:dyDescent="0.25">
      <c r="A5876" t="str">
        <f>T("   ZZZ_Monde")</f>
        <v xml:space="preserve">   ZZZ_Monde</v>
      </c>
      <c r="B5876" t="str">
        <f>T("   ZZZ_Monde")</f>
        <v xml:space="preserve">   ZZZ_Monde</v>
      </c>
      <c r="C5876">
        <v>49083943</v>
      </c>
      <c r="D5876">
        <v>57132</v>
      </c>
    </row>
    <row r="5877" spans="1:4" x14ac:dyDescent="0.25">
      <c r="A5877" t="str">
        <f>T("   CN")</f>
        <v xml:space="preserve">   CN</v>
      </c>
      <c r="B5877" t="str">
        <f>T("   Chine")</f>
        <v xml:space="preserve">   Chine</v>
      </c>
      <c r="C5877">
        <v>515405</v>
      </c>
      <c r="D5877">
        <v>400</v>
      </c>
    </row>
    <row r="5878" spans="1:4" x14ac:dyDescent="0.25">
      <c r="A5878" t="str">
        <f>T("   DE")</f>
        <v xml:space="preserve">   DE</v>
      </c>
      <c r="B5878" t="str">
        <f>T("   Allemagne")</f>
        <v xml:space="preserve">   Allemagne</v>
      </c>
      <c r="C5878">
        <v>13021</v>
      </c>
      <c r="D5878">
        <v>3</v>
      </c>
    </row>
    <row r="5879" spans="1:4" x14ac:dyDescent="0.25">
      <c r="A5879" t="str">
        <f>T("   ES")</f>
        <v xml:space="preserve">   ES</v>
      </c>
      <c r="B5879" t="str">
        <f>T("   Espagne")</f>
        <v xml:space="preserve">   Espagne</v>
      </c>
      <c r="C5879">
        <v>146202</v>
      </c>
      <c r="D5879">
        <v>50</v>
      </c>
    </row>
    <row r="5880" spans="1:4" x14ac:dyDescent="0.25">
      <c r="A5880" t="str">
        <f>T("   FR")</f>
        <v xml:space="preserve">   FR</v>
      </c>
      <c r="B5880" t="str">
        <f>T("   France")</f>
        <v xml:space="preserve">   France</v>
      </c>
      <c r="C5880">
        <v>14606978</v>
      </c>
      <c r="D5880">
        <v>9072</v>
      </c>
    </row>
    <row r="5881" spans="1:4" x14ac:dyDescent="0.25">
      <c r="A5881" t="str">
        <f>T("   IT")</f>
        <v xml:space="preserve">   IT</v>
      </c>
      <c r="B5881" t="str">
        <f>T("   Italie")</f>
        <v xml:space="preserve">   Italie</v>
      </c>
      <c r="C5881">
        <v>198451</v>
      </c>
      <c r="D5881">
        <v>20</v>
      </c>
    </row>
    <row r="5882" spans="1:4" x14ac:dyDescent="0.25">
      <c r="A5882" t="str">
        <f>T("   MA")</f>
        <v xml:space="preserve">   MA</v>
      </c>
      <c r="B5882" t="str">
        <f>T("   Maroc")</f>
        <v xml:space="preserve">   Maroc</v>
      </c>
      <c r="C5882">
        <v>30856358</v>
      </c>
      <c r="D5882">
        <v>44400</v>
      </c>
    </row>
    <row r="5883" spans="1:4" x14ac:dyDescent="0.25">
      <c r="A5883" t="str">
        <f>T("   NL")</f>
        <v xml:space="preserve">   NL</v>
      </c>
      <c r="B5883" t="str">
        <f>T("   Pays-bas")</f>
        <v xml:space="preserve">   Pays-bas</v>
      </c>
      <c r="C5883">
        <v>1200130</v>
      </c>
      <c r="D5883">
        <v>527</v>
      </c>
    </row>
    <row r="5884" spans="1:4" x14ac:dyDescent="0.25">
      <c r="A5884" t="str">
        <f>T("   SG")</f>
        <v xml:space="preserve">   SG</v>
      </c>
      <c r="B5884" t="str">
        <f>T("   Singapour")</f>
        <v xml:space="preserve">   Singapour</v>
      </c>
      <c r="C5884">
        <v>1003634</v>
      </c>
      <c r="D5884">
        <v>1260</v>
      </c>
    </row>
    <row r="5885" spans="1:4" x14ac:dyDescent="0.25">
      <c r="A5885" t="str">
        <f>T("   TR")</f>
        <v xml:space="preserve">   TR</v>
      </c>
      <c r="B5885" t="str">
        <f>T("   Turquie")</f>
        <v xml:space="preserve">   Turquie</v>
      </c>
      <c r="C5885">
        <v>543764</v>
      </c>
      <c r="D5885">
        <v>1400</v>
      </c>
    </row>
    <row r="5886" spans="1:4" x14ac:dyDescent="0.25">
      <c r="A5886" t="str">
        <f>T("481950")</f>
        <v>481950</v>
      </c>
      <c r="B5886" t="str">
        <f>T("Emballages, y.c. les pochettes pour disques, en papier, carton, ouate de cellulose ou nappes de fibres de cellulose (à l'excl. des boîtes et caisses en papier ou en carton ondulé, des boîtes et cartonnages, pliants, en papier ou en carton non ondulé ainsi")</f>
        <v>Emballages, y.c. les pochettes pour disques, en papier, carton, ouate de cellulose ou nappes de fibres de cellulose (à l'excl. des boîtes et caisses en papier ou en carton ondulé, des boîtes et cartonnages, pliants, en papier ou en carton non ondulé ainsi</v>
      </c>
    </row>
    <row r="5887" spans="1:4" x14ac:dyDescent="0.25">
      <c r="A5887" t="str">
        <f>T("   ZZZ_Monde")</f>
        <v xml:space="preserve">   ZZZ_Monde</v>
      </c>
      <c r="B5887" t="str">
        <f>T("   ZZZ_Monde")</f>
        <v xml:space="preserve">   ZZZ_Monde</v>
      </c>
      <c r="C5887">
        <v>17466509</v>
      </c>
      <c r="D5887">
        <v>26440.2</v>
      </c>
    </row>
    <row r="5888" spans="1:4" x14ac:dyDescent="0.25">
      <c r="A5888" t="str">
        <f>T("   BE")</f>
        <v xml:space="preserve">   BE</v>
      </c>
      <c r="B5888" t="str">
        <f>T("   Belgique")</f>
        <v xml:space="preserve">   Belgique</v>
      </c>
      <c r="C5888">
        <v>234178</v>
      </c>
      <c r="D5888">
        <v>28</v>
      </c>
    </row>
    <row r="5889" spans="1:4" x14ac:dyDescent="0.25">
      <c r="A5889" t="str">
        <f>T("   CN")</f>
        <v xml:space="preserve">   CN</v>
      </c>
      <c r="B5889" t="str">
        <f>T("   Chine")</f>
        <v xml:space="preserve">   Chine</v>
      </c>
      <c r="C5889">
        <v>9107042</v>
      </c>
      <c r="D5889">
        <v>16907</v>
      </c>
    </row>
    <row r="5890" spans="1:4" x14ac:dyDescent="0.25">
      <c r="A5890" t="str">
        <f>T("   FR")</f>
        <v xml:space="preserve">   FR</v>
      </c>
      <c r="B5890" t="str">
        <f>T("   France")</f>
        <v xml:space="preserve">   France</v>
      </c>
      <c r="C5890">
        <v>2589857</v>
      </c>
      <c r="D5890">
        <v>2217</v>
      </c>
    </row>
    <row r="5891" spans="1:4" x14ac:dyDescent="0.25">
      <c r="A5891" t="str">
        <f>T("   GH")</f>
        <v xml:space="preserve">   GH</v>
      </c>
      <c r="B5891" t="str">
        <f>T("   Ghana")</f>
        <v xml:space="preserve">   Ghana</v>
      </c>
      <c r="C5891">
        <v>1580000</v>
      </c>
      <c r="D5891">
        <v>670</v>
      </c>
    </row>
    <row r="5892" spans="1:4" x14ac:dyDescent="0.25">
      <c r="A5892" t="str">
        <f>T("   IT")</f>
        <v xml:space="preserve">   IT</v>
      </c>
      <c r="B5892" t="str">
        <f>T("   Italie")</f>
        <v xml:space="preserve">   Italie</v>
      </c>
      <c r="C5892">
        <v>2760280</v>
      </c>
      <c r="D5892">
        <v>5488</v>
      </c>
    </row>
    <row r="5893" spans="1:4" x14ac:dyDescent="0.25">
      <c r="A5893" t="str">
        <f>T("   NL")</f>
        <v xml:space="preserve">   NL</v>
      </c>
      <c r="B5893" t="str">
        <f>T("   Pays-bas")</f>
        <v xml:space="preserve">   Pays-bas</v>
      </c>
      <c r="C5893">
        <v>709673</v>
      </c>
      <c r="D5893">
        <v>380.2</v>
      </c>
    </row>
    <row r="5894" spans="1:4" x14ac:dyDescent="0.25">
      <c r="A5894" t="str">
        <f>T("   TG")</f>
        <v xml:space="preserve">   TG</v>
      </c>
      <c r="B5894" t="str">
        <f>T("   Togo")</f>
        <v xml:space="preserve">   Togo</v>
      </c>
      <c r="C5894">
        <v>218460</v>
      </c>
      <c r="D5894">
        <v>600</v>
      </c>
    </row>
    <row r="5895" spans="1:4" x14ac:dyDescent="0.25">
      <c r="A5895" t="str">
        <f>T("   TR")</f>
        <v xml:space="preserve">   TR</v>
      </c>
      <c r="B5895" t="str">
        <f>T("   Turquie")</f>
        <v xml:space="preserve">   Turquie</v>
      </c>
      <c r="C5895">
        <v>267019</v>
      </c>
      <c r="D5895">
        <v>150</v>
      </c>
    </row>
    <row r="5896" spans="1:4" x14ac:dyDescent="0.25">
      <c r="A5896" t="str">
        <f>T("481960")</f>
        <v>481960</v>
      </c>
      <c r="B5896" t="str">
        <f>T("Cartonnages de bureau, de magasin ou simil., rigides (à l'excl. des emballages)")</f>
        <v>Cartonnages de bureau, de magasin ou simil., rigides (à l'excl. des emballages)</v>
      </c>
    </row>
    <row r="5897" spans="1:4" x14ac:dyDescent="0.25">
      <c r="A5897" t="str">
        <f>T("   ZZZ_Monde")</f>
        <v xml:space="preserve">   ZZZ_Monde</v>
      </c>
      <c r="B5897" t="str">
        <f>T("   ZZZ_Monde")</f>
        <v xml:space="preserve">   ZZZ_Monde</v>
      </c>
      <c r="C5897">
        <v>311738946</v>
      </c>
      <c r="D5897">
        <v>537121</v>
      </c>
    </row>
    <row r="5898" spans="1:4" x14ac:dyDescent="0.25">
      <c r="A5898" t="str">
        <f>T("   CN")</f>
        <v xml:space="preserve">   CN</v>
      </c>
      <c r="B5898" t="str">
        <f>T("   Chine")</f>
        <v xml:space="preserve">   Chine</v>
      </c>
      <c r="C5898">
        <v>200000</v>
      </c>
      <c r="D5898">
        <v>7907</v>
      </c>
    </row>
    <row r="5899" spans="1:4" x14ac:dyDescent="0.25">
      <c r="A5899" t="str">
        <f>T("   FR")</f>
        <v xml:space="preserve">   FR</v>
      </c>
      <c r="B5899" t="str">
        <f>T("   France")</f>
        <v xml:space="preserve">   France</v>
      </c>
      <c r="C5899">
        <v>14509251</v>
      </c>
      <c r="D5899">
        <v>35790</v>
      </c>
    </row>
    <row r="5900" spans="1:4" x14ac:dyDescent="0.25">
      <c r="A5900" t="str">
        <f>T("   GH")</f>
        <v xml:space="preserve">   GH</v>
      </c>
      <c r="B5900" t="str">
        <f>T("   Ghana")</f>
        <v xml:space="preserve">   Ghana</v>
      </c>
      <c r="C5900">
        <v>18400428</v>
      </c>
      <c r="D5900">
        <v>22711</v>
      </c>
    </row>
    <row r="5901" spans="1:4" x14ac:dyDescent="0.25">
      <c r="A5901" t="str">
        <f>T("   TG")</f>
        <v xml:space="preserve">   TG</v>
      </c>
      <c r="B5901" t="str">
        <f>T("   Togo")</f>
        <v xml:space="preserve">   Togo</v>
      </c>
      <c r="C5901">
        <v>278629267</v>
      </c>
      <c r="D5901">
        <v>470713</v>
      </c>
    </row>
    <row r="5902" spans="1:4" x14ac:dyDescent="0.25">
      <c r="A5902" t="str">
        <f>T("482010")</f>
        <v>482010</v>
      </c>
      <c r="B5902" t="str">
        <f>T("Registres, livres comptables, carnets de notes, de commandes ou de quittances, blocs-mémorandums, blocs de papier à lettres, agendas et ouvrages simil., en papier ou carton")</f>
        <v>Registres, livres comptables, carnets de notes, de commandes ou de quittances, blocs-mémorandums, blocs de papier à lettres, agendas et ouvrages simil., en papier ou carton</v>
      </c>
    </row>
    <row r="5903" spans="1:4" x14ac:dyDescent="0.25">
      <c r="A5903" t="str">
        <f>T("   ZZZ_Monde")</f>
        <v xml:space="preserve">   ZZZ_Monde</v>
      </c>
      <c r="B5903" t="str">
        <f>T("   ZZZ_Monde")</f>
        <v xml:space="preserve">   ZZZ_Monde</v>
      </c>
      <c r="C5903">
        <v>199405474</v>
      </c>
      <c r="D5903">
        <v>210756.8</v>
      </c>
    </row>
    <row r="5904" spans="1:4" x14ac:dyDescent="0.25">
      <c r="A5904" t="str">
        <f>T("   CN")</f>
        <v xml:space="preserve">   CN</v>
      </c>
      <c r="B5904" t="str">
        <f>T("   Chine")</f>
        <v xml:space="preserve">   Chine</v>
      </c>
      <c r="C5904">
        <v>8873084</v>
      </c>
      <c r="D5904">
        <v>28582</v>
      </c>
    </row>
    <row r="5905" spans="1:4" x14ac:dyDescent="0.25">
      <c r="A5905" t="str">
        <f>T("   FR")</f>
        <v xml:space="preserve">   FR</v>
      </c>
      <c r="B5905" t="str">
        <f>T("   France")</f>
        <v xml:space="preserve">   France</v>
      </c>
      <c r="C5905">
        <v>64681531</v>
      </c>
      <c r="D5905">
        <v>26130.5</v>
      </c>
    </row>
    <row r="5906" spans="1:4" x14ac:dyDescent="0.25">
      <c r="A5906" t="str">
        <f>T("   GH")</f>
        <v xml:space="preserve">   GH</v>
      </c>
      <c r="B5906" t="str">
        <f>T("   Ghana")</f>
        <v xml:space="preserve">   Ghana</v>
      </c>
      <c r="C5906">
        <v>160415</v>
      </c>
      <c r="D5906">
        <v>96</v>
      </c>
    </row>
    <row r="5907" spans="1:4" x14ac:dyDescent="0.25">
      <c r="A5907" t="str">
        <f>T("   ID")</f>
        <v xml:space="preserve">   ID</v>
      </c>
      <c r="B5907" t="str">
        <f>T("   Indonésie")</f>
        <v xml:space="preserve">   Indonésie</v>
      </c>
      <c r="C5907">
        <v>45807817</v>
      </c>
      <c r="D5907">
        <v>69539.3</v>
      </c>
    </row>
    <row r="5908" spans="1:4" x14ac:dyDescent="0.25">
      <c r="A5908" t="str">
        <f>T("   IS")</f>
        <v xml:space="preserve">   IS</v>
      </c>
      <c r="B5908" t="str">
        <f>T("   Islande")</f>
        <v xml:space="preserve">   Islande</v>
      </c>
      <c r="C5908">
        <v>77978</v>
      </c>
      <c r="D5908">
        <v>10</v>
      </c>
    </row>
    <row r="5909" spans="1:4" x14ac:dyDescent="0.25">
      <c r="A5909" t="str">
        <f>T("   LB")</f>
        <v xml:space="preserve">   LB</v>
      </c>
      <c r="B5909" t="str">
        <f>T("   Liban")</f>
        <v xml:space="preserve">   Liban</v>
      </c>
      <c r="C5909">
        <v>23171787</v>
      </c>
      <c r="D5909">
        <v>3551</v>
      </c>
    </row>
    <row r="5910" spans="1:4" x14ac:dyDescent="0.25">
      <c r="A5910" t="str">
        <f>T("   NL")</f>
        <v xml:space="preserve">   NL</v>
      </c>
      <c r="B5910" t="str">
        <f>T("   Pays-bas")</f>
        <v xml:space="preserve">   Pays-bas</v>
      </c>
      <c r="C5910">
        <v>218251</v>
      </c>
      <c r="D5910">
        <v>168</v>
      </c>
    </row>
    <row r="5911" spans="1:4" x14ac:dyDescent="0.25">
      <c r="A5911" t="str">
        <f>T("   SG")</f>
        <v xml:space="preserve">   SG</v>
      </c>
      <c r="B5911" t="str">
        <f>T("   Singapour")</f>
        <v xml:space="preserve">   Singapour</v>
      </c>
      <c r="C5911">
        <v>47063107</v>
      </c>
      <c r="D5911">
        <v>59449</v>
      </c>
    </row>
    <row r="5912" spans="1:4" x14ac:dyDescent="0.25">
      <c r="A5912" t="str">
        <f>T("   TN")</f>
        <v xml:space="preserve">   TN</v>
      </c>
      <c r="B5912" t="str">
        <f>T("   Tunisie")</f>
        <v xml:space="preserve">   Tunisie</v>
      </c>
      <c r="C5912">
        <v>8286087</v>
      </c>
      <c r="D5912">
        <v>22504</v>
      </c>
    </row>
    <row r="5913" spans="1:4" x14ac:dyDescent="0.25">
      <c r="A5913" t="str">
        <f>T("   US")</f>
        <v xml:space="preserve">   US</v>
      </c>
      <c r="B5913" t="str">
        <f>T("   Etats-Unis")</f>
        <v xml:space="preserve">   Etats-Unis</v>
      </c>
      <c r="C5913">
        <v>1065417</v>
      </c>
      <c r="D5913">
        <v>727</v>
      </c>
    </row>
    <row r="5914" spans="1:4" x14ac:dyDescent="0.25">
      <c r="A5914" t="str">
        <f>T("482020")</f>
        <v>482020</v>
      </c>
      <c r="B5914" t="str">
        <f>T("Cahiers pour l'écriture, en papier ou carton")</f>
        <v>Cahiers pour l'écriture, en papier ou carton</v>
      </c>
    </row>
    <row r="5915" spans="1:4" x14ac:dyDescent="0.25">
      <c r="A5915" t="str">
        <f>T("   ZZZ_Monde")</f>
        <v xml:space="preserve">   ZZZ_Monde</v>
      </c>
      <c r="B5915" t="str">
        <f>T("   ZZZ_Monde")</f>
        <v xml:space="preserve">   ZZZ_Monde</v>
      </c>
      <c r="C5915">
        <v>1140891238</v>
      </c>
      <c r="D5915">
        <v>3214877.85</v>
      </c>
    </row>
    <row r="5916" spans="1:4" x14ac:dyDescent="0.25">
      <c r="A5916" t="str">
        <f>T("   CN")</f>
        <v xml:space="preserve">   CN</v>
      </c>
      <c r="B5916" t="str">
        <f>T("   Chine")</f>
        <v xml:space="preserve">   Chine</v>
      </c>
      <c r="C5916">
        <v>135031065</v>
      </c>
      <c r="D5916">
        <v>530992</v>
      </c>
    </row>
    <row r="5917" spans="1:4" x14ac:dyDescent="0.25">
      <c r="A5917" t="str">
        <f>T("   FR")</f>
        <v xml:space="preserve">   FR</v>
      </c>
      <c r="B5917" t="str">
        <f>T("   France")</f>
        <v xml:space="preserve">   France</v>
      </c>
      <c r="C5917">
        <v>31107000</v>
      </c>
      <c r="D5917">
        <v>15298</v>
      </c>
    </row>
    <row r="5918" spans="1:4" x14ac:dyDescent="0.25">
      <c r="A5918" t="str">
        <f>T("   GH")</f>
        <v xml:space="preserve">   GH</v>
      </c>
      <c r="B5918" t="str">
        <f>T("   Ghana")</f>
        <v xml:space="preserve">   Ghana</v>
      </c>
      <c r="C5918">
        <v>1603435</v>
      </c>
      <c r="D5918">
        <v>5414</v>
      </c>
    </row>
    <row r="5919" spans="1:4" x14ac:dyDescent="0.25">
      <c r="A5919" t="str">
        <f>T("   MY")</f>
        <v xml:space="preserve">   MY</v>
      </c>
      <c r="B5919" t="str">
        <f>T("   Malaisie")</f>
        <v xml:space="preserve">   Malaisie</v>
      </c>
      <c r="C5919">
        <v>59349572</v>
      </c>
      <c r="D5919">
        <v>201572</v>
      </c>
    </row>
    <row r="5920" spans="1:4" x14ac:dyDescent="0.25">
      <c r="A5920" t="str">
        <f>T("   SG")</f>
        <v xml:space="preserve">   SG</v>
      </c>
      <c r="B5920" t="str">
        <f>T("   Singapour")</f>
        <v xml:space="preserve">   Singapour</v>
      </c>
      <c r="C5920">
        <v>859083916</v>
      </c>
      <c r="D5920">
        <v>1977424.85</v>
      </c>
    </row>
    <row r="5921" spans="1:4" x14ac:dyDescent="0.25">
      <c r="A5921" t="str">
        <f>T("   TG")</f>
        <v xml:space="preserve">   TG</v>
      </c>
      <c r="B5921" t="str">
        <f>T("   Togo")</f>
        <v xml:space="preserve">   Togo</v>
      </c>
      <c r="C5921">
        <v>54716250</v>
      </c>
      <c r="D5921">
        <v>484177</v>
      </c>
    </row>
    <row r="5922" spans="1:4" x14ac:dyDescent="0.25">
      <c r="A5922" t="str">
        <f>T("482030")</f>
        <v>482030</v>
      </c>
      <c r="B5922" t="str">
        <f>T("Classeurs, reliures (autres que les couvertures pour livres), chemises et couvertures à dossiers, en papier ou en carton")</f>
        <v>Classeurs, reliures (autres que les couvertures pour livres), chemises et couvertures à dossiers, en papier ou en carton</v>
      </c>
    </row>
    <row r="5923" spans="1:4" x14ac:dyDescent="0.25">
      <c r="A5923" t="str">
        <f>T("   ZZZ_Monde")</f>
        <v xml:space="preserve">   ZZZ_Monde</v>
      </c>
      <c r="B5923" t="str">
        <f>T("   ZZZ_Monde")</f>
        <v xml:space="preserve">   ZZZ_Monde</v>
      </c>
      <c r="C5923">
        <v>130358618</v>
      </c>
      <c r="D5923">
        <v>195235.6</v>
      </c>
    </row>
    <row r="5924" spans="1:4" x14ac:dyDescent="0.25">
      <c r="A5924" t="str">
        <f>T("   CN")</f>
        <v xml:space="preserve">   CN</v>
      </c>
      <c r="B5924" t="str">
        <f>T("   Chine")</f>
        <v xml:space="preserve">   Chine</v>
      </c>
      <c r="C5924">
        <v>15444251</v>
      </c>
      <c r="D5924">
        <v>23805</v>
      </c>
    </row>
    <row r="5925" spans="1:4" x14ac:dyDescent="0.25">
      <c r="A5925" t="str">
        <f>T("   FR")</f>
        <v xml:space="preserve">   FR</v>
      </c>
      <c r="B5925" t="str">
        <f>T("   France")</f>
        <v xml:space="preserve">   France</v>
      </c>
      <c r="C5925">
        <v>49399954</v>
      </c>
      <c r="D5925">
        <v>38672</v>
      </c>
    </row>
    <row r="5926" spans="1:4" x14ac:dyDescent="0.25">
      <c r="A5926" t="str">
        <f>T("   SG")</f>
        <v xml:space="preserve">   SG</v>
      </c>
      <c r="B5926" t="str">
        <f>T("   Singapour")</f>
        <v xml:space="preserve">   Singapour</v>
      </c>
      <c r="C5926">
        <v>55331720</v>
      </c>
      <c r="D5926">
        <v>109775.6</v>
      </c>
    </row>
    <row r="5927" spans="1:4" x14ac:dyDescent="0.25">
      <c r="A5927" t="str">
        <f>T("   TG")</f>
        <v xml:space="preserve">   TG</v>
      </c>
      <c r="B5927" t="str">
        <f>T("   Togo")</f>
        <v xml:space="preserve">   Togo</v>
      </c>
      <c r="C5927">
        <v>10182693</v>
      </c>
      <c r="D5927">
        <v>22983</v>
      </c>
    </row>
    <row r="5928" spans="1:4" x14ac:dyDescent="0.25">
      <c r="A5928" t="str">
        <f>T("482040")</f>
        <v>482040</v>
      </c>
      <c r="B5928" t="str">
        <f>T("Liasses et carnets manifold, même comportant des feuilles de papier carbone, en papier ou carton")</f>
        <v>Liasses et carnets manifold, même comportant des feuilles de papier carbone, en papier ou carton</v>
      </c>
    </row>
    <row r="5929" spans="1:4" x14ac:dyDescent="0.25">
      <c r="A5929" t="str">
        <f>T("   ZZZ_Monde")</f>
        <v xml:space="preserve">   ZZZ_Monde</v>
      </c>
      <c r="B5929" t="str">
        <f>T("   ZZZ_Monde")</f>
        <v xml:space="preserve">   ZZZ_Monde</v>
      </c>
      <c r="C5929">
        <v>6795115</v>
      </c>
      <c r="D5929">
        <v>13580</v>
      </c>
    </row>
    <row r="5930" spans="1:4" x14ac:dyDescent="0.25">
      <c r="A5930" t="str">
        <f>T("   FR")</f>
        <v xml:space="preserve">   FR</v>
      </c>
      <c r="B5930" t="str">
        <f>T("   France")</f>
        <v xml:space="preserve">   France</v>
      </c>
      <c r="C5930">
        <v>1515025</v>
      </c>
      <c r="D5930">
        <v>7352</v>
      </c>
    </row>
    <row r="5931" spans="1:4" x14ac:dyDescent="0.25">
      <c r="A5931" t="str">
        <f>T("   SG")</f>
        <v xml:space="preserve">   SG</v>
      </c>
      <c r="B5931" t="str">
        <f>T("   Singapour")</f>
        <v xml:space="preserve">   Singapour</v>
      </c>
      <c r="C5931">
        <v>4157106</v>
      </c>
      <c r="D5931">
        <v>4900</v>
      </c>
    </row>
    <row r="5932" spans="1:4" x14ac:dyDescent="0.25">
      <c r="A5932" t="str">
        <f>T("   TG")</f>
        <v xml:space="preserve">   TG</v>
      </c>
      <c r="B5932" t="str">
        <f>T("   Togo")</f>
        <v xml:space="preserve">   Togo</v>
      </c>
      <c r="C5932">
        <v>1122984</v>
      </c>
      <c r="D5932">
        <v>1328</v>
      </c>
    </row>
    <row r="5933" spans="1:4" x14ac:dyDescent="0.25">
      <c r="A5933" t="str">
        <f>T("482050")</f>
        <v>482050</v>
      </c>
      <c r="B5933" t="str">
        <f>T("Albums pour échantillonnages ou pour collections, en papier ou en carton")</f>
        <v>Albums pour échantillonnages ou pour collections, en papier ou en carton</v>
      </c>
    </row>
    <row r="5934" spans="1:4" x14ac:dyDescent="0.25">
      <c r="A5934" t="str">
        <f>T("   ZZZ_Monde")</f>
        <v xml:space="preserve">   ZZZ_Monde</v>
      </c>
      <c r="B5934" t="str">
        <f>T("   ZZZ_Monde")</f>
        <v xml:space="preserve">   ZZZ_Monde</v>
      </c>
      <c r="C5934">
        <v>21611565</v>
      </c>
      <c r="D5934">
        <v>61461</v>
      </c>
    </row>
    <row r="5935" spans="1:4" x14ac:dyDescent="0.25">
      <c r="A5935" t="str">
        <f>T("   AE")</f>
        <v xml:space="preserve">   AE</v>
      </c>
      <c r="B5935" t="str">
        <f>T("   Emirats Arabes Unis")</f>
        <v xml:space="preserve">   Emirats Arabes Unis</v>
      </c>
      <c r="C5935">
        <v>12020775</v>
      </c>
      <c r="D5935">
        <v>23918</v>
      </c>
    </row>
    <row r="5936" spans="1:4" x14ac:dyDescent="0.25">
      <c r="A5936" t="str">
        <f>T("   CN")</f>
        <v xml:space="preserve">   CN</v>
      </c>
      <c r="B5936" t="str">
        <f>T("   Chine")</f>
        <v xml:space="preserve">   Chine</v>
      </c>
      <c r="C5936">
        <v>8805012</v>
      </c>
      <c r="D5936">
        <v>35895</v>
      </c>
    </row>
    <row r="5937" spans="1:4" x14ac:dyDescent="0.25">
      <c r="A5937" t="str">
        <f>T("   NG")</f>
        <v xml:space="preserve">   NG</v>
      </c>
      <c r="B5937" t="str">
        <f>T("   Nigéria")</f>
        <v xml:space="preserve">   Nigéria</v>
      </c>
      <c r="C5937">
        <v>590000</v>
      </c>
      <c r="D5937">
        <v>630</v>
      </c>
    </row>
    <row r="5938" spans="1:4" x14ac:dyDescent="0.25">
      <c r="A5938" t="str">
        <f>T("   TG")</f>
        <v xml:space="preserve">   TG</v>
      </c>
      <c r="B5938" t="str">
        <f>T("   Togo")</f>
        <v xml:space="preserve">   Togo</v>
      </c>
      <c r="C5938">
        <v>195778</v>
      </c>
      <c r="D5938">
        <v>1018</v>
      </c>
    </row>
    <row r="5939" spans="1:4" x14ac:dyDescent="0.25">
      <c r="A5939" t="str">
        <f>T("482090")</f>
        <v>482090</v>
      </c>
      <c r="B5939" t="str">
        <f>T("Sous-main et autres articles scolaires, de bureau ou de papeterie, en papier ou en carton, et couvertures pour livres, en papier ou en carton (sauf registres, livres comptables, carnets de notes, de commandes ou de quittances, blocs-memorandums, blocs de")</f>
        <v>Sous-main et autres articles scolaires, de bureau ou de papeterie, en papier ou en carton, et couvertures pour livres, en papier ou en carton (sauf registres, livres comptables, carnets de notes, de commandes ou de quittances, blocs-memorandums, blocs de</v>
      </c>
    </row>
    <row r="5940" spans="1:4" x14ac:dyDescent="0.25">
      <c r="A5940" t="str">
        <f>T("   ZZZ_Monde")</f>
        <v xml:space="preserve">   ZZZ_Monde</v>
      </c>
      <c r="B5940" t="str">
        <f>T("   ZZZ_Monde")</f>
        <v xml:space="preserve">   ZZZ_Monde</v>
      </c>
      <c r="C5940">
        <v>46005655</v>
      </c>
      <c r="D5940">
        <v>123802</v>
      </c>
    </row>
    <row r="5941" spans="1:4" x14ac:dyDescent="0.25">
      <c r="A5941" t="str">
        <f>T("   AU")</f>
        <v xml:space="preserve">   AU</v>
      </c>
      <c r="B5941" t="str">
        <f>T("   Australie")</f>
        <v xml:space="preserve">   Australie</v>
      </c>
      <c r="C5941">
        <v>327980</v>
      </c>
      <c r="D5941">
        <v>260</v>
      </c>
    </row>
    <row r="5942" spans="1:4" x14ac:dyDescent="0.25">
      <c r="A5942" t="str">
        <f>T("   BE")</f>
        <v xml:space="preserve">   BE</v>
      </c>
      <c r="B5942" t="str">
        <f>T("   Belgique")</f>
        <v xml:space="preserve">   Belgique</v>
      </c>
      <c r="C5942">
        <v>123321</v>
      </c>
      <c r="D5942">
        <v>232</v>
      </c>
    </row>
    <row r="5943" spans="1:4" x14ac:dyDescent="0.25">
      <c r="A5943" t="str">
        <f>T("   CN")</f>
        <v xml:space="preserve">   CN</v>
      </c>
      <c r="B5943" t="str">
        <f>T("   Chine")</f>
        <v xml:space="preserve">   Chine</v>
      </c>
      <c r="C5943">
        <v>13723667</v>
      </c>
      <c r="D5943">
        <v>46287</v>
      </c>
    </row>
    <row r="5944" spans="1:4" x14ac:dyDescent="0.25">
      <c r="A5944" t="str">
        <f>T("   ES")</f>
        <v xml:space="preserve">   ES</v>
      </c>
      <c r="B5944" t="str">
        <f>T("   Espagne")</f>
        <v xml:space="preserve">   Espagne</v>
      </c>
      <c r="C5944">
        <v>134819</v>
      </c>
      <c r="D5944">
        <v>900</v>
      </c>
    </row>
    <row r="5945" spans="1:4" x14ac:dyDescent="0.25">
      <c r="A5945" t="str">
        <f>T("   FR")</f>
        <v xml:space="preserve">   FR</v>
      </c>
      <c r="B5945" t="str">
        <f>T("   France")</f>
        <v xml:space="preserve">   France</v>
      </c>
      <c r="C5945">
        <v>11733222</v>
      </c>
      <c r="D5945">
        <v>17919</v>
      </c>
    </row>
    <row r="5946" spans="1:4" x14ac:dyDescent="0.25">
      <c r="A5946" t="str">
        <f>T("   IT")</f>
        <v xml:space="preserve">   IT</v>
      </c>
      <c r="B5946" t="str">
        <f>T("   Italie")</f>
        <v xml:space="preserve">   Italie</v>
      </c>
      <c r="C5946">
        <v>244070</v>
      </c>
      <c r="D5946">
        <v>1285</v>
      </c>
    </row>
    <row r="5947" spans="1:4" x14ac:dyDescent="0.25">
      <c r="A5947" t="str">
        <f>T("   MA")</f>
        <v xml:space="preserve">   MA</v>
      </c>
      <c r="B5947" t="str">
        <f>T("   Maroc")</f>
        <v xml:space="preserve">   Maroc</v>
      </c>
      <c r="C5947">
        <v>164250</v>
      </c>
      <c r="D5947">
        <v>85</v>
      </c>
    </row>
    <row r="5948" spans="1:4" x14ac:dyDescent="0.25">
      <c r="A5948" t="str">
        <f>T("   SG")</f>
        <v xml:space="preserve">   SG</v>
      </c>
      <c r="B5948" t="str">
        <f>T("   Singapour")</f>
        <v xml:space="preserve">   Singapour</v>
      </c>
      <c r="C5948">
        <v>11832126</v>
      </c>
      <c r="D5948">
        <v>13206</v>
      </c>
    </row>
    <row r="5949" spans="1:4" x14ac:dyDescent="0.25">
      <c r="A5949" t="str">
        <f>T("   TG")</f>
        <v xml:space="preserve">   TG</v>
      </c>
      <c r="B5949" t="str">
        <f>T("   Togo")</f>
        <v xml:space="preserve">   Togo</v>
      </c>
      <c r="C5949">
        <v>7675220</v>
      </c>
      <c r="D5949">
        <v>43553</v>
      </c>
    </row>
    <row r="5950" spans="1:4" x14ac:dyDescent="0.25">
      <c r="A5950" t="str">
        <f>T("   ZA")</f>
        <v xml:space="preserve">   ZA</v>
      </c>
      <c r="B5950" t="str">
        <f>T("   Afrique du Sud")</f>
        <v xml:space="preserve">   Afrique du Sud</v>
      </c>
      <c r="C5950">
        <v>46980</v>
      </c>
      <c r="D5950">
        <v>75</v>
      </c>
    </row>
    <row r="5951" spans="1:4" x14ac:dyDescent="0.25">
      <c r="A5951" t="str">
        <f>T("482110")</f>
        <v>482110</v>
      </c>
      <c r="B5951" t="str">
        <f>T("ÉTIQUETTES DE TOUS GENRES, EN PAPIER OU EN CARTON, IMPRIMÉES")</f>
        <v>ÉTIQUETTES DE TOUS GENRES, EN PAPIER OU EN CARTON, IMPRIMÉES</v>
      </c>
    </row>
    <row r="5952" spans="1:4" x14ac:dyDescent="0.25">
      <c r="A5952" t="str">
        <f>T("   ZZZ_Monde")</f>
        <v xml:space="preserve">   ZZZ_Monde</v>
      </c>
      <c r="B5952" t="str">
        <f>T("   ZZZ_Monde")</f>
        <v xml:space="preserve">   ZZZ_Monde</v>
      </c>
      <c r="C5952">
        <v>707572094</v>
      </c>
      <c r="D5952">
        <v>160166</v>
      </c>
    </row>
    <row r="5953" spans="1:4" x14ac:dyDescent="0.25">
      <c r="A5953" t="str">
        <f>T("   BE")</f>
        <v xml:space="preserve">   BE</v>
      </c>
      <c r="B5953" t="str">
        <f>T("   Belgique")</f>
        <v xml:space="preserve">   Belgique</v>
      </c>
      <c r="C5953">
        <v>69650</v>
      </c>
      <c r="D5953">
        <v>22</v>
      </c>
    </row>
    <row r="5954" spans="1:4" x14ac:dyDescent="0.25">
      <c r="A5954" t="str">
        <f>T("   CH")</f>
        <v xml:space="preserve">   CH</v>
      </c>
      <c r="B5954" t="str">
        <f>T("   Suisse")</f>
        <v xml:space="preserve">   Suisse</v>
      </c>
      <c r="C5954">
        <v>13533065</v>
      </c>
      <c r="D5954">
        <v>875</v>
      </c>
    </row>
    <row r="5955" spans="1:4" x14ac:dyDescent="0.25">
      <c r="A5955" t="str">
        <f>T("   CN")</f>
        <v xml:space="preserve">   CN</v>
      </c>
      <c r="B5955" t="str">
        <f>T("   Chine")</f>
        <v xml:space="preserve">   Chine</v>
      </c>
      <c r="C5955">
        <v>663426</v>
      </c>
      <c r="D5955">
        <v>5718</v>
      </c>
    </row>
    <row r="5956" spans="1:4" x14ac:dyDescent="0.25">
      <c r="A5956" t="str">
        <f>T("   DE")</f>
        <v xml:space="preserve">   DE</v>
      </c>
      <c r="B5956" t="str">
        <f>T("   Allemagne")</f>
        <v xml:space="preserve">   Allemagne</v>
      </c>
      <c r="C5956">
        <v>78670329</v>
      </c>
      <c r="D5956">
        <v>8351</v>
      </c>
    </row>
    <row r="5957" spans="1:4" x14ac:dyDescent="0.25">
      <c r="A5957" t="str">
        <f>T("   FR")</f>
        <v xml:space="preserve">   FR</v>
      </c>
      <c r="B5957" t="str">
        <f>T("   France")</f>
        <v xml:space="preserve">   France</v>
      </c>
      <c r="C5957">
        <v>476324507</v>
      </c>
      <c r="D5957">
        <v>91826</v>
      </c>
    </row>
    <row r="5958" spans="1:4" x14ac:dyDescent="0.25">
      <c r="A5958" t="str">
        <f>T("   IE")</f>
        <v xml:space="preserve">   IE</v>
      </c>
      <c r="B5958" t="str">
        <f>T("   Irlande")</f>
        <v xml:space="preserve">   Irlande</v>
      </c>
      <c r="C5958">
        <v>120114916</v>
      </c>
      <c r="D5958">
        <v>32633</v>
      </c>
    </row>
    <row r="5959" spans="1:4" x14ac:dyDescent="0.25">
      <c r="A5959" t="str">
        <f>T("   SG")</f>
        <v xml:space="preserve">   SG</v>
      </c>
      <c r="B5959" t="str">
        <f>T("   Singapour")</f>
        <v xml:space="preserve">   Singapour</v>
      </c>
      <c r="C5959">
        <v>1639843</v>
      </c>
      <c r="D5959">
        <v>3261</v>
      </c>
    </row>
    <row r="5960" spans="1:4" x14ac:dyDescent="0.25">
      <c r="A5960" t="str">
        <f>T("   SN")</f>
        <v xml:space="preserve">   SN</v>
      </c>
      <c r="B5960" t="str">
        <f>T("   Sénégal")</f>
        <v xml:space="preserve">   Sénégal</v>
      </c>
      <c r="C5960">
        <v>6377818</v>
      </c>
      <c r="D5960">
        <v>1596</v>
      </c>
    </row>
    <row r="5961" spans="1:4" x14ac:dyDescent="0.25">
      <c r="A5961" t="str">
        <f>T("   TG")</f>
        <v xml:space="preserve">   TG</v>
      </c>
      <c r="B5961" t="str">
        <f>T("   Togo")</f>
        <v xml:space="preserve">   Togo</v>
      </c>
      <c r="C5961">
        <v>3655779</v>
      </c>
      <c r="D5961">
        <v>85</v>
      </c>
    </row>
    <row r="5962" spans="1:4" x14ac:dyDescent="0.25">
      <c r="A5962" t="str">
        <f>T("   TN")</f>
        <v xml:space="preserve">   TN</v>
      </c>
      <c r="B5962" t="str">
        <f>T("   Tunisie")</f>
        <v xml:space="preserve">   Tunisie</v>
      </c>
      <c r="C5962">
        <v>6522761</v>
      </c>
      <c r="D5962">
        <v>15799</v>
      </c>
    </row>
    <row r="5963" spans="1:4" x14ac:dyDescent="0.25">
      <c r="A5963" t="str">
        <f>T("482190")</f>
        <v>482190</v>
      </c>
      <c r="B5963" t="str">
        <f>T("ÉTIQUETTES DE TOUS GENRES, EN PAPIER OU EN CARTON, NON-IMPRIMÉES")</f>
        <v>ÉTIQUETTES DE TOUS GENRES, EN PAPIER OU EN CARTON, NON-IMPRIMÉES</v>
      </c>
    </row>
    <row r="5964" spans="1:4" x14ac:dyDescent="0.25">
      <c r="A5964" t="str">
        <f>T("   ZZZ_Monde")</f>
        <v xml:space="preserve">   ZZZ_Monde</v>
      </c>
      <c r="B5964" t="str">
        <f>T("   ZZZ_Monde")</f>
        <v xml:space="preserve">   ZZZ_Monde</v>
      </c>
      <c r="C5964">
        <v>47904823</v>
      </c>
      <c r="D5964">
        <v>13910</v>
      </c>
    </row>
    <row r="5965" spans="1:4" x14ac:dyDescent="0.25">
      <c r="A5965" t="str">
        <f>T("   BE")</f>
        <v xml:space="preserve">   BE</v>
      </c>
      <c r="B5965" t="str">
        <f>T("   Belgique")</f>
        <v xml:space="preserve">   Belgique</v>
      </c>
      <c r="C5965">
        <v>3936</v>
      </c>
      <c r="D5965">
        <v>2</v>
      </c>
    </row>
    <row r="5966" spans="1:4" x14ac:dyDescent="0.25">
      <c r="A5966" t="str">
        <f>T("   CA")</f>
        <v xml:space="preserve">   CA</v>
      </c>
      <c r="B5966" t="str">
        <f>T("   Canada")</f>
        <v xml:space="preserve">   Canada</v>
      </c>
      <c r="C5966">
        <v>106553</v>
      </c>
      <c r="D5966">
        <v>5</v>
      </c>
    </row>
    <row r="5967" spans="1:4" x14ac:dyDescent="0.25">
      <c r="A5967" t="str">
        <f>T("   CN")</f>
        <v xml:space="preserve">   CN</v>
      </c>
      <c r="B5967" t="str">
        <f>T("   Chine")</f>
        <v xml:space="preserve">   Chine</v>
      </c>
      <c r="C5967">
        <v>47790</v>
      </c>
      <c r="D5967">
        <v>160</v>
      </c>
    </row>
    <row r="5968" spans="1:4" x14ac:dyDescent="0.25">
      <c r="A5968" t="str">
        <f>T("   DE")</f>
        <v xml:space="preserve">   DE</v>
      </c>
      <c r="B5968" t="str">
        <f>T("   Allemagne")</f>
        <v xml:space="preserve">   Allemagne</v>
      </c>
      <c r="C5968">
        <v>246626</v>
      </c>
      <c r="D5968">
        <v>93</v>
      </c>
    </row>
    <row r="5969" spans="1:4" x14ac:dyDescent="0.25">
      <c r="A5969" t="str">
        <f>T("   ES")</f>
        <v xml:space="preserve">   ES</v>
      </c>
      <c r="B5969" t="str">
        <f>T("   Espagne")</f>
        <v xml:space="preserve">   Espagne</v>
      </c>
      <c r="C5969">
        <v>1587423</v>
      </c>
      <c r="D5969">
        <v>1264</v>
      </c>
    </row>
    <row r="5970" spans="1:4" x14ac:dyDescent="0.25">
      <c r="A5970" t="str">
        <f>T("   FR")</f>
        <v xml:space="preserve">   FR</v>
      </c>
      <c r="B5970" t="str">
        <f>T("   France")</f>
        <v xml:space="preserve">   France</v>
      </c>
      <c r="C5970">
        <v>17204221</v>
      </c>
      <c r="D5970">
        <v>2359</v>
      </c>
    </row>
    <row r="5971" spans="1:4" x14ac:dyDescent="0.25">
      <c r="A5971" t="str">
        <f>T("   GB")</f>
        <v xml:space="preserve">   GB</v>
      </c>
      <c r="B5971" t="str">
        <f>T("   Royaume-Uni")</f>
        <v xml:space="preserve">   Royaume-Uni</v>
      </c>
      <c r="C5971">
        <v>2255822</v>
      </c>
      <c r="D5971">
        <v>660</v>
      </c>
    </row>
    <row r="5972" spans="1:4" x14ac:dyDescent="0.25">
      <c r="A5972" t="str">
        <f>T("   IE")</f>
        <v xml:space="preserve">   IE</v>
      </c>
      <c r="B5972" t="str">
        <f>T("   Irlande")</f>
        <v xml:space="preserve">   Irlande</v>
      </c>
      <c r="C5972">
        <v>20949952</v>
      </c>
      <c r="D5972">
        <v>4944</v>
      </c>
    </row>
    <row r="5973" spans="1:4" x14ac:dyDescent="0.25">
      <c r="A5973" t="str">
        <f>T("   IN")</f>
        <v xml:space="preserve">   IN</v>
      </c>
      <c r="B5973" t="str">
        <f>T("   Inde")</f>
        <v xml:space="preserve">   Inde</v>
      </c>
      <c r="C5973">
        <v>1835689</v>
      </c>
      <c r="D5973">
        <v>1050</v>
      </c>
    </row>
    <row r="5974" spans="1:4" x14ac:dyDescent="0.25">
      <c r="A5974" t="str">
        <f>T("   NG")</f>
        <v xml:space="preserve">   NG</v>
      </c>
      <c r="B5974" t="str">
        <f>T("   Nigéria")</f>
        <v xml:space="preserve">   Nigéria</v>
      </c>
      <c r="C5974">
        <v>3600</v>
      </c>
      <c r="D5974">
        <v>60</v>
      </c>
    </row>
    <row r="5975" spans="1:4" x14ac:dyDescent="0.25">
      <c r="A5975" t="str">
        <f>T("   SN")</f>
        <v xml:space="preserve">   SN</v>
      </c>
      <c r="B5975" t="str">
        <f>T("   Sénégal")</f>
        <v xml:space="preserve">   Sénégal</v>
      </c>
      <c r="C5975">
        <v>3515610</v>
      </c>
      <c r="D5975">
        <v>1363</v>
      </c>
    </row>
    <row r="5976" spans="1:4" x14ac:dyDescent="0.25">
      <c r="A5976" t="str">
        <f>T("   TG")</f>
        <v xml:space="preserve">   TG</v>
      </c>
      <c r="B5976" t="str">
        <f>T("   Togo")</f>
        <v xml:space="preserve">   Togo</v>
      </c>
      <c r="C5976">
        <v>147601</v>
      </c>
      <c r="D5976">
        <v>1950</v>
      </c>
    </row>
    <row r="5977" spans="1:4" x14ac:dyDescent="0.25">
      <c r="A5977" t="str">
        <f>T("482210")</f>
        <v>482210</v>
      </c>
      <c r="B5977" t="str">
        <f>T("Tambours, bobines, fusettes, canettes et supports simil., en pâte à papier, papier ou carton, même perforés ou durcis, des types utilisés pour l'enroulement des fils textiles")</f>
        <v>Tambours, bobines, fusettes, canettes et supports simil., en pâte à papier, papier ou carton, même perforés ou durcis, des types utilisés pour l'enroulement des fils textiles</v>
      </c>
    </row>
    <row r="5978" spans="1:4" x14ac:dyDescent="0.25">
      <c r="A5978" t="str">
        <f>T("   ZZZ_Monde")</f>
        <v xml:space="preserve">   ZZZ_Monde</v>
      </c>
      <c r="B5978" t="str">
        <f>T("   ZZZ_Monde")</f>
        <v xml:space="preserve">   ZZZ_Monde</v>
      </c>
      <c r="C5978">
        <v>10331</v>
      </c>
      <c r="D5978">
        <v>70</v>
      </c>
    </row>
    <row r="5979" spans="1:4" x14ac:dyDescent="0.25">
      <c r="A5979" t="str">
        <f>T("   TG")</f>
        <v xml:space="preserve">   TG</v>
      </c>
      <c r="B5979" t="str">
        <f>T("   Togo")</f>
        <v xml:space="preserve">   Togo</v>
      </c>
      <c r="C5979">
        <v>10331</v>
      </c>
      <c r="D5979">
        <v>70</v>
      </c>
    </row>
    <row r="5980" spans="1:4" x14ac:dyDescent="0.25">
      <c r="A5980" t="str">
        <f>T("482290")</f>
        <v>482290</v>
      </c>
      <c r="B5980" t="str">
        <f>T("Tambours, bobines, fusettes, canettes et supports simil., en pâte à papier, papier ou carton, même perforés ou durcis (à l'excl. des articles des types utilisés pour l'enroulement des fils textiles)")</f>
        <v>Tambours, bobines, fusettes, canettes et supports simil., en pâte à papier, papier ou carton, même perforés ou durcis (à l'excl. des articles des types utilisés pour l'enroulement des fils textiles)</v>
      </c>
    </row>
    <row r="5981" spans="1:4" x14ac:dyDescent="0.25">
      <c r="A5981" t="str">
        <f>T("   ZZZ_Monde")</f>
        <v xml:space="preserve">   ZZZ_Monde</v>
      </c>
      <c r="B5981" t="str">
        <f>T("   ZZZ_Monde")</f>
        <v xml:space="preserve">   ZZZ_Monde</v>
      </c>
      <c r="C5981">
        <v>2010004</v>
      </c>
      <c r="D5981">
        <v>475</v>
      </c>
    </row>
    <row r="5982" spans="1:4" x14ac:dyDescent="0.25">
      <c r="A5982" t="str">
        <f>T("   CI")</f>
        <v xml:space="preserve">   CI</v>
      </c>
      <c r="B5982" t="str">
        <f>T("   Côte d'Ivoire")</f>
        <v xml:space="preserve">   Côte d'Ivoire</v>
      </c>
      <c r="C5982">
        <v>1254069</v>
      </c>
      <c r="D5982">
        <v>135</v>
      </c>
    </row>
    <row r="5983" spans="1:4" x14ac:dyDescent="0.25">
      <c r="A5983" t="str">
        <f>T("   FR")</f>
        <v xml:space="preserve">   FR</v>
      </c>
      <c r="B5983" t="str">
        <f>T("   France")</f>
        <v xml:space="preserve">   France</v>
      </c>
      <c r="C5983">
        <v>755935</v>
      </c>
      <c r="D5983">
        <v>340</v>
      </c>
    </row>
    <row r="5984" spans="1:4" x14ac:dyDescent="0.25">
      <c r="A5984" t="str">
        <f>T("482311")</f>
        <v>482311</v>
      </c>
      <c r="B5984" t="str">
        <f>T("PAPIER GOMME OU ADHESIF, EN BANDES OU EN ROULEAUX AUTO-ADHÉSIFS D'UNE LARGEUR =&lt; 15 CM")</f>
        <v>PAPIER GOMME OU ADHESIF, EN BANDES OU EN ROULEAUX AUTO-ADHÉSIFS D'UNE LARGEUR =&lt; 15 CM</v>
      </c>
    </row>
    <row r="5985" spans="1:4" x14ac:dyDescent="0.25">
      <c r="A5985" t="str">
        <f>T("   ZZZ_Monde")</f>
        <v xml:space="preserve">   ZZZ_Monde</v>
      </c>
      <c r="B5985" t="str">
        <f>T("   ZZZ_Monde")</f>
        <v xml:space="preserve">   ZZZ_Monde</v>
      </c>
      <c r="C5985">
        <v>7266925</v>
      </c>
      <c r="D5985">
        <v>12425</v>
      </c>
    </row>
    <row r="5986" spans="1:4" x14ac:dyDescent="0.25">
      <c r="A5986" t="str">
        <f>T("   NG")</f>
        <v xml:space="preserve">   NG</v>
      </c>
      <c r="B5986" t="str">
        <f>T("   Nigéria")</f>
        <v xml:space="preserve">   Nigéria</v>
      </c>
      <c r="C5986">
        <v>7266925</v>
      </c>
      <c r="D5986">
        <v>12425</v>
      </c>
    </row>
    <row r="5987" spans="1:4" x14ac:dyDescent="0.25">
      <c r="A5987" t="str">
        <f>T("482312")</f>
        <v>482312</v>
      </c>
      <c r="B5987" t="str">
        <f>T("Papier auto-adhésif, en bandes ou en rouleaux d'une largeur &lt;= 36 cm (sauf colorié en surface, décoré en surface ou imprimé)")</f>
        <v>Papier auto-adhésif, en bandes ou en rouleaux d'une largeur &lt;= 36 cm (sauf colorié en surface, décoré en surface ou imprimé)</v>
      </c>
    </row>
    <row r="5988" spans="1:4" x14ac:dyDescent="0.25">
      <c r="A5988" t="str">
        <f>T("   ZZZ_Monde")</f>
        <v xml:space="preserve">   ZZZ_Monde</v>
      </c>
      <c r="B5988" t="str">
        <f>T("   ZZZ_Monde")</f>
        <v xml:space="preserve">   ZZZ_Monde</v>
      </c>
      <c r="C5988">
        <v>201778</v>
      </c>
      <c r="D5988">
        <v>166</v>
      </c>
    </row>
    <row r="5989" spans="1:4" x14ac:dyDescent="0.25">
      <c r="A5989" t="str">
        <f>T("   FR")</f>
        <v xml:space="preserve">   FR</v>
      </c>
      <c r="B5989" t="str">
        <f>T("   France")</f>
        <v xml:space="preserve">   France</v>
      </c>
      <c r="C5989">
        <v>181674</v>
      </c>
      <c r="D5989">
        <v>146</v>
      </c>
    </row>
    <row r="5990" spans="1:4" x14ac:dyDescent="0.25">
      <c r="A5990" t="str">
        <f>T("   LB")</f>
        <v xml:space="preserve">   LB</v>
      </c>
      <c r="B5990" t="str">
        <f>T("   Liban")</f>
        <v xml:space="preserve">   Liban</v>
      </c>
      <c r="C5990">
        <v>20104</v>
      </c>
      <c r="D5990">
        <v>20</v>
      </c>
    </row>
    <row r="5991" spans="1:4" x14ac:dyDescent="0.25">
      <c r="A5991" t="str">
        <f>T("482319")</f>
        <v>482319</v>
      </c>
      <c r="B5991" t="str">
        <f>T("Papier gommé ou adhésif, en bandes ou en rouleaux d'une largeur &lt;= 15 cm (à l'excl. des articles auto-adhésifs)")</f>
        <v>Papier gommé ou adhésif, en bandes ou en rouleaux d'une largeur &lt;= 15 cm (à l'excl. des articles auto-adhésifs)</v>
      </c>
    </row>
    <row r="5992" spans="1:4" x14ac:dyDescent="0.25">
      <c r="A5992" t="str">
        <f>T("   ZZZ_Monde")</f>
        <v xml:space="preserve">   ZZZ_Monde</v>
      </c>
      <c r="B5992" t="str">
        <f>T("   ZZZ_Monde")</f>
        <v xml:space="preserve">   ZZZ_Monde</v>
      </c>
      <c r="C5992">
        <v>1953098</v>
      </c>
      <c r="D5992">
        <v>4720</v>
      </c>
    </row>
    <row r="5993" spans="1:4" x14ac:dyDescent="0.25">
      <c r="A5993" t="str">
        <f>T("   AE")</f>
        <v xml:space="preserve">   AE</v>
      </c>
      <c r="B5993" t="str">
        <f>T("   Emirats Arabes Unis")</f>
        <v xml:space="preserve">   Emirats Arabes Unis</v>
      </c>
      <c r="C5993">
        <v>1453098</v>
      </c>
      <c r="D5993">
        <v>2720</v>
      </c>
    </row>
    <row r="5994" spans="1:4" x14ac:dyDescent="0.25">
      <c r="A5994" t="str">
        <f>T("   CN")</f>
        <v xml:space="preserve">   CN</v>
      </c>
      <c r="B5994" t="str">
        <f>T("   Chine")</f>
        <v xml:space="preserve">   Chine</v>
      </c>
      <c r="C5994">
        <v>500000</v>
      </c>
      <c r="D5994">
        <v>2000</v>
      </c>
    </row>
    <row r="5995" spans="1:4" x14ac:dyDescent="0.25">
      <c r="A5995" t="str">
        <f>T("482320")</f>
        <v>482320</v>
      </c>
      <c r="B5995" t="str">
        <f>T("Papier et carton-filtre, en bandes ou en rouleaux d'une largeur &lt;= 36 cm ou en feuilles de forme carrée ou rectangulaire dont aucun côté &gt; 36 cm à l'état non plié, ou découpés de forme autre que carrée ou rectangulaire")</f>
        <v>Papier et carton-filtre, en bandes ou en rouleaux d'une largeur &lt;= 36 cm ou en feuilles de forme carrée ou rectangulaire dont aucun côté &gt; 36 cm à l'état non plié, ou découpés de forme autre que carrée ou rectangulaire</v>
      </c>
    </row>
    <row r="5996" spans="1:4" x14ac:dyDescent="0.25">
      <c r="A5996" t="str">
        <f>T("   ZZZ_Monde")</f>
        <v xml:space="preserve">   ZZZ_Monde</v>
      </c>
      <c r="B5996" t="str">
        <f>T("   ZZZ_Monde")</f>
        <v xml:space="preserve">   ZZZ_Monde</v>
      </c>
      <c r="C5996">
        <v>826626</v>
      </c>
      <c r="D5996">
        <v>556</v>
      </c>
    </row>
    <row r="5997" spans="1:4" x14ac:dyDescent="0.25">
      <c r="A5997" t="str">
        <f>T("   CH")</f>
        <v xml:space="preserve">   CH</v>
      </c>
      <c r="B5997" t="str">
        <f>T("   Suisse")</f>
        <v xml:space="preserve">   Suisse</v>
      </c>
      <c r="C5997">
        <v>469831</v>
      </c>
      <c r="D5997">
        <v>33</v>
      </c>
    </row>
    <row r="5998" spans="1:4" x14ac:dyDescent="0.25">
      <c r="A5998" t="str">
        <f>T("   CN")</f>
        <v xml:space="preserve">   CN</v>
      </c>
      <c r="B5998" t="str">
        <f>T("   Chine")</f>
        <v xml:space="preserve">   Chine</v>
      </c>
      <c r="C5998">
        <v>100000</v>
      </c>
      <c r="D5998">
        <v>18</v>
      </c>
    </row>
    <row r="5999" spans="1:4" x14ac:dyDescent="0.25">
      <c r="A5999" t="str">
        <f>T("   FR")</f>
        <v xml:space="preserve">   FR</v>
      </c>
      <c r="B5999" t="str">
        <f>T("   France")</f>
        <v xml:space="preserve">   France</v>
      </c>
      <c r="C5999">
        <v>40670</v>
      </c>
      <c r="D5999">
        <v>5</v>
      </c>
    </row>
    <row r="6000" spans="1:4" x14ac:dyDescent="0.25">
      <c r="A6000" t="str">
        <f>T("   IN")</f>
        <v xml:space="preserve">   IN</v>
      </c>
      <c r="B6000" t="str">
        <f>T("   Inde")</f>
        <v xml:space="preserve">   Inde</v>
      </c>
      <c r="C6000">
        <v>216125</v>
      </c>
      <c r="D6000">
        <v>500</v>
      </c>
    </row>
    <row r="6001" spans="1:4" x14ac:dyDescent="0.25">
      <c r="A6001" t="str">
        <f>T("482340")</f>
        <v>482340</v>
      </c>
      <c r="B6001" t="str">
        <f>T("Papiers à diagrammes pour appareils enregistreurs, en bobines d'une largeur &lt;= 36 cm ou en feuilles de forme carrée ou rectangulaire dont aucun côté &gt; 36 cm à l'état non plié, ou découpés en disques")</f>
        <v>Papiers à diagrammes pour appareils enregistreurs, en bobines d'une largeur &lt;= 36 cm ou en feuilles de forme carrée ou rectangulaire dont aucun côté &gt; 36 cm à l'état non plié, ou découpés en disques</v>
      </c>
    </row>
    <row r="6002" spans="1:4" x14ac:dyDescent="0.25">
      <c r="A6002" t="str">
        <f>T("   ZZZ_Monde")</f>
        <v xml:space="preserve">   ZZZ_Monde</v>
      </c>
      <c r="B6002" t="str">
        <f>T("   ZZZ_Monde")</f>
        <v xml:space="preserve">   ZZZ_Monde</v>
      </c>
      <c r="C6002">
        <v>44198315</v>
      </c>
      <c r="D6002">
        <v>26926</v>
      </c>
    </row>
    <row r="6003" spans="1:4" x14ac:dyDescent="0.25">
      <c r="A6003" t="str">
        <f>T("   CN")</f>
        <v xml:space="preserve">   CN</v>
      </c>
      <c r="B6003" t="str">
        <f>T("   Chine")</f>
        <v xml:space="preserve">   Chine</v>
      </c>
      <c r="C6003">
        <v>20951785</v>
      </c>
      <c r="D6003">
        <v>11883</v>
      </c>
    </row>
    <row r="6004" spans="1:4" x14ac:dyDescent="0.25">
      <c r="A6004" t="str">
        <f>T("   FR")</f>
        <v xml:space="preserve">   FR</v>
      </c>
      <c r="B6004" t="str">
        <f>T("   France")</f>
        <v xml:space="preserve">   France</v>
      </c>
      <c r="C6004">
        <v>22855765</v>
      </c>
      <c r="D6004">
        <v>12002</v>
      </c>
    </row>
    <row r="6005" spans="1:4" x14ac:dyDescent="0.25">
      <c r="A6005" t="str">
        <f>T("   SG")</f>
        <v xml:space="preserve">   SG</v>
      </c>
      <c r="B6005" t="str">
        <f>T("   Singapour")</f>
        <v xml:space="preserve">   Singapour</v>
      </c>
      <c r="C6005">
        <v>390765</v>
      </c>
      <c r="D6005">
        <v>3041</v>
      </c>
    </row>
    <row r="6006" spans="1:4" x14ac:dyDescent="0.25">
      <c r="A6006" t="str">
        <f>T("482360")</f>
        <v>482360</v>
      </c>
      <c r="B6006" t="str">
        <f>T("Plateaux, plats, assiettes, tasses, gobelets et articles simil., en papier ou en carton")</f>
        <v>Plateaux, plats, assiettes, tasses, gobelets et articles simil., en papier ou en carton</v>
      </c>
    </row>
    <row r="6007" spans="1:4" x14ac:dyDescent="0.25">
      <c r="A6007" t="str">
        <f>T("   ZZZ_Monde")</f>
        <v xml:space="preserve">   ZZZ_Monde</v>
      </c>
      <c r="B6007" t="str">
        <f>T("   ZZZ_Monde")</f>
        <v xml:space="preserve">   ZZZ_Monde</v>
      </c>
      <c r="C6007">
        <v>746351</v>
      </c>
      <c r="D6007">
        <v>7091</v>
      </c>
    </row>
    <row r="6008" spans="1:4" x14ac:dyDescent="0.25">
      <c r="A6008" t="str">
        <f>T("   CN")</f>
        <v xml:space="preserve">   CN</v>
      </c>
      <c r="B6008" t="str">
        <f>T("   Chine")</f>
        <v xml:space="preserve">   Chine</v>
      </c>
      <c r="C6008">
        <v>5872</v>
      </c>
      <c r="D6008">
        <v>7</v>
      </c>
    </row>
    <row r="6009" spans="1:4" x14ac:dyDescent="0.25">
      <c r="A6009" t="str">
        <f>T("   FR")</f>
        <v xml:space="preserve">   FR</v>
      </c>
      <c r="B6009" t="str">
        <f>T("   France")</f>
        <v xml:space="preserve">   France</v>
      </c>
      <c r="C6009">
        <v>178421</v>
      </c>
      <c r="D6009">
        <v>42</v>
      </c>
    </row>
    <row r="6010" spans="1:4" x14ac:dyDescent="0.25">
      <c r="A6010" t="str">
        <f>T("   HK")</f>
        <v xml:space="preserve">   HK</v>
      </c>
      <c r="B6010" t="str">
        <f>T("   Hong-Kong")</f>
        <v xml:space="preserve">   Hong-Kong</v>
      </c>
      <c r="C6010">
        <v>618</v>
      </c>
      <c r="D6010">
        <v>22</v>
      </c>
    </row>
    <row r="6011" spans="1:4" x14ac:dyDescent="0.25">
      <c r="A6011" t="str">
        <f>T("   TG")</f>
        <v xml:space="preserve">   TG</v>
      </c>
      <c r="B6011" t="str">
        <f>T("   Togo")</f>
        <v xml:space="preserve">   Togo</v>
      </c>
      <c r="C6011">
        <v>561440</v>
      </c>
      <c r="D6011">
        <v>7020</v>
      </c>
    </row>
    <row r="6012" spans="1:4" x14ac:dyDescent="0.25">
      <c r="A6012" t="str">
        <f>T("482370")</f>
        <v>482370</v>
      </c>
      <c r="B6012" t="str">
        <f>T("Articles moulés ou pressés en pâte à papier, n.d.a.")</f>
        <v>Articles moulés ou pressés en pâte à papier, n.d.a.</v>
      </c>
    </row>
    <row r="6013" spans="1:4" x14ac:dyDescent="0.25">
      <c r="A6013" t="str">
        <f>T("   ZZZ_Monde")</f>
        <v xml:space="preserve">   ZZZ_Monde</v>
      </c>
      <c r="B6013" t="str">
        <f>T("   ZZZ_Monde")</f>
        <v xml:space="preserve">   ZZZ_Monde</v>
      </c>
      <c r="C6013">
        <v>18303731</v>
      </c>
      <c r="D6013">
        <v>29091</v>
      </c>
    </row>
    <row r="6014" spans="1:4" x14ac:dyDescent="0.25">
      <c r="A6014" t="str">
        <f>T("   FR")</f>
        <v xml:space="preserve">   FR</v>
      </c>
      <c r="B6014" t="str">
        <f>T("   France")</f>
        <v xml:space="preserve">   France</v>
      </c>
      <c r="C6014">
        <v>18115162</v>
      </c>
      <c r="D6014">
        <v>29089</v>
      </c>
    </row>
    <row r="6015" spans="1:4" x14ac:dyDescent="0.25">
      <c r="A6015" t="str">
        <f>T("   IE")</f>
        <v xml:space="preserve">   IE</v>
      </c>
      <c r="B6015" t="str">
        <f>T("   Irlande")</f>
        <v xml:space="preserve">   Irlande</v>
      </c>
      <c r="C6015">
        <v>188569</v>
      </c>
      <c r="D6015">
        <v>2</v>
      </c>
    </row>
    <row r="6016" spans="1:4" x14ac:dyDescent="0.25">
      <c r="A6016" t="str">
        <f>T("482390")</f>
        <v>482390</v>
      </c>
      <c r="B6016" t="str">
        <f>T("PAPIERS, CARTONS, OUATE DE CELLULOSE ET NAPPES DE FIBRES DE CELLULOSE, EN BANDES OU EN ROULEAUX D'UNE LARGEUR &lt;= 36 CM OU EN FEUILLES DE FORME CARRÉE OU RECTANGULAIRE DONT AUCUN CÔTÉ &gt; 36 CM À L'ÉTAT NON-PLIÉ, OU DÉCOUPÉS DE FORME AUTRE QUE CARRÉE OU RECT")</f>
        <v>PAPIERS, CARTONS, OUATE DE CELLULOSE ET NAPPES DE FIBRES DE CELLULOSE, EN BANDES OU EN ROULEAUX D'UNE LARGEUR &lt;= 36 CM OU EN FEUILLES DE FORME CARRÉE OU RECTANGULAIRE DONT AUCUN CÔTÉ &gt; 36 CM À L'ÉTAT NON-PLIÉ, OU DÉCOUPÉS DE FORME AUTRE QUE CARRÉE OU RECT</v>
      </c>
    </row>
    <row r="6017" spans="1:4" x14ac:dyDescent="0.25">
      <c r="A6017" t="str">
        <f>T("   ZZZ_Monde")</f>
        <v xml:space="preserve">   ZZZ_Monde</v>
      </c>
      <c r="B6017" t="str">
        <f>T("   ZZZ_Monde")</f>
        <v xml:space="preserve">   ZZZ_Monde</v>
      </c>
      <c r="C6017">
        <v>23352333</v>
      </c>
      <c r="D6017">
        <v>29274.720000000001</v>
      </c>
    </row>
    <row r="6018" spans="1:4" x14ac:dyDescent="0.25">
      <c r="A6018" t="str">
        <f>T("   BE")</f>
        <v xml:space="preserve">   BE</v>
      </c>
      <c r="B6018" t="str">
        <f>T("   Belgique")</f>
        <v xml:space="preserve">   Belgique</v>
      </c>
      <c r="C6018">
        <v>356902</v>
      </c>
      <c r="D6018">
        <v>270.39999999999998</v>
      </c>
    </row>
    <row r="6019" spans="1:4" x14ac:dyDescent="0.25">
      <c r="A6019" t="str">
        <f>T("   CN")</f>
        <v xml:space="preserve">   CN</v>
      </c>
      <c r="B6019" t="str">
        <f>T("   Chine")</f>
        <v xml:space="preserve">   Chine</v>
      </c>
      <c r="C6019">
        <v>6782662</v>
      </c>
      <c r="D6019">
        <v>14701</v>
      </c>
    </row>
    <row r="6020" spans="1:4" x14ac:dyDescent="0.25">
      <c r="A6020" t="str">
        <f>T("   DE")</f>
        <v xml:space="preserve">   DE</v>
      </c>
      <c r="B6020" t="str">
        <f>T("   Allemagne")</f>
        <v xml:space="preserve">   Allemagne</v>
      </c>
      <c r="C6020">
        <v>44605</v>
      </c>
      <c r="D6020">
        <v>114</v>
      </c>
    </row>
    <row r="6021" spans="1:4" x14ac:dyDescent="0.25">
      <c r="A6021" t="str">
        <f>T("   FR")</f>
        <v xml:space="preserve">   FR</v>
      </c>
      <c r="B6021" t="str">
        <f>T("   France")</f>
        <v xml:space="preserve">   France</v>
      </c>
      <c r="C6021">
        <v>14236956</v>
      </c>
      <c r="D6021">
        <v>2474</v>
      </c>
    </row>
    <row r="6022" spans="1:4" x14ac:dyDescent="0.25">
      <c r="A6022" t="str">
        <f>T("   ID")</f>
        <v xml:space="preserve">   ID</v>
      </c>
      <c r="B6022" t="str">
        <f>T("   Indonésie")</f>
        <v xml:space="preserve">   Indonésie</v>
      </c>
      <c r="C6022">
        <v>5699</v>
      </c>
      <c r="D6022">
        <v>14</v>
      </c>
    </row>
    <row r="6023" spans="1:4" x14ac:dyDescent="0.25">
      <c r="A6023" t="str">
        <f>T("   LB")</f>
        <v xml:space="preserve">   LB</v>
      </c>
      <c r="B6023" t="str">
        <f>T("   Liban")</f>
        <v xml:space="preserve">   Liban</v>
      </c>
      <c r="C6023">
        <v>599849</v>
      </c>
      <c r="D6023">
        <v>1883</v>
      </c>
    </row>
    <row r="6024" spans="1:4" x14ac:dyDescent="0.25">
      <c r="A6024" t="str">
        <f>T("   NL")</f>
        <v xml:space="preserve">   NL</v>
      </c>
      <c r="B6024" t="str">
        <f>T("   Pays-bas")</f>
        <v xml:space="preserve">   Pays-bas</v>
      </c>
      <c r="C6024">
        <v>2624</v>
      </c>
      <c r="D6024">
        <v>12</v>
      </c>
    </row>
    <row r="6025" spans="1:4" x14ac:dyDescent="0.25">
      <c r="A6025" t="str">
        <f>T("   TG")</f>
        <v xml:space="preserve">   TG</v>
      </c>
      <c r="B6025" t="str">
        <f>T("   Togo")</f>
        <v xml:space="preserve">   Togo</v>
      </c>
      <c r="C6025">
        <v>1000000</v>
      </c>
      <c r="D6025">
        <v>9603</v>
      </c>
    </row>
    <row r="6026" spans="1:4" x14ac:dyDescent="0.25">
      <c r="A6026" t="str">
        <f>T("   ZA")</f>
        <v xml:space="preserve">   ZA</v>
      </c>
      <c r="B6026" t="str">
        <f>T("   Afrique du Sud")</f>
        <v xml:space="preserve">   Afrique du Sud</v>
      </c>
      <c r="C6026">
        <v>323036</v>
      </c>
      <c r="D6026">
        <v>203.32</v>
      </c>
    </row>
    <row r="6027" spans="1:4" x14ac:dyDescent="0.25">
      <c r="A6027" t="str">
        <f>T("490110")</f>
        <v>490110</v>
      </c>
      <c r="B6027" t="str">
        <f>T("Livres, brochures et imprimés simil., en feuillets isolés, même pliés (à l'excl. des publications périodiques et des publications à usages principalement publicitaires)")</f>
        <v>Livres, brochures et imprimés simil., en feuillets isolés, même pliés (à l'excl. des publications périodiques et des publications à usages principalement publicitaires)</v>
      </c>
    </row>
    <row r="6028" spans="1:4" x14ac:dyDescent="0.25">
      <c r="A6028" t="str">
        <f>T("   ZZZ_Monde")</f>
        <v xml:space="preserve">   ZZZ_Monde</v>
      </c>
      <c r="B6028" t="str">
        <f>T("   ZZZ_Monde")</f>
        <v xml:space="preserve">   ZZZ_Monde</v>
      </c>
      <c r="C6028">
        <v>77336741</v>
      </c>
      <c r="D6028">
        <v>55818</v>
      </c>
    </row>
    <row r="6029" spans="1:4" x14ac:dyDescent="0.25">
      <c r="A6029" t="str">
        <f>T("   BE")</f>
        <v xml:space="preserve">   BE</v>
      </c>
      <c r="B6029" t="str">
        <f>T("   Belgique")</f>
        <v xml:space="preserve">   Belgique</v>
      </c>
      <c r="C6029">
        <v>7259097</v>
      </c>
      <c r="D6029">
        <v>547</v>
      </c>
    </row>
    <row r="6030" spans="1:4" x14ac:dyDescent="0.25">
      <c r="A6030" t="str">
        <f>T("   DE")</f>
        <v xml:space="preserve">   DE</v>
      </c>
      <c r="B6030" t="str">
        <f>T("   Allemagne")</f>
        <v xml:space="preserve">   Allemagne</v>
      </c>
      <c r="C6030">
        <v>1641868</v>
      </c>
      <c r="D6030">
        <v>2960</v>
      </c>
    </row>
    <row r="6031" spans="1:4" x14ac:dyDescent="0.25">
      <c r="A6031" t="str">
        <f>T("   FR")</f>
        <v xml:space="preserve">   FR</v>
      </c>
      <c r="B6031" t="str">
        <f>T("   France")</f>
        <v xml:space="preserve">   France</v>
      </c>
      <c r="C6031">
        <v>64786558</v>
      </c>
      <c r="D6031">
        <v>49009</v>
      </c>
    </row>
    <row r="6032" spans="1:4" x14ac:dyDescent="0.25">
      <c r="A6032" t="str">
        <f>T("   GB")</f>
        <v xml:space="preserve">   GB</v>
      </c>
      <c r="B6032" t="str">
        <f>T("   Royaume-Uni")</f>
        <v xml:space="preserve">   Royaume-Uni</v>
      </c>
      <c r="C6032">
        <v>1046907</v>
      </c>
      <c r="D6032">
        <v>170</v>
      </c>
    </row>
    <row r="6033" spans="1:4" x14ac:dyDescent="0.25">
      <c r="A6033" t="str">
        <f>T("   IT")</f>
        <v xml:space="preserve">   IT</v>
      </c>
      <c r="B6033" t="str">
        <f>T("   Italie")</f>
        <v xml:space="preserve">   Italie</v>
      </c>
      <c r="C6033">
        <v>953766</v>
      </c>
      <c r="D6033">
        <v>1200</v>
      </c>
    </row>
    <row r="6034" spans="1:4" x14ac:dyDescent="0.25">
      <c r="A6034" t="str">
        <f>T("   MA")</f>
        <v xml:space="preserve">   MA</v>
      </c>
      <c r="B6034" t="str">
        <f>T("   Maroc")</f>
        <v xml:space="preserve">   Maroc</v>
      </c>
      <c r="C6034">
        <v>152183</v>
      </c>
      <c r="D6034">
        <v>426</v>
      </c>
    </row>
    <row r="6035" spans="1:4" x14ac:dyDescent="0.25">
      <c r="A6035" t="str">
        <f>T("   NG")</f>
        <v xml:space="preserve">   NG</v>
      </c>
      <c r="B6035" t="str">
        <f>T("   Nigéria")</f>
        <v xml:space="preserve">   Nigéria</v>
      </c>
      <c r="C6035">
        <v>50000</v>
      </c>
      <c r="D6035">
        <v>1176</v>
      </c>
    </row>
    <row r="6036" spans="1:4" x14ac:dyDescent="0.25">
      <c r="A6036" t="str">
        <f>T("   TG")</f>
        <v xml:space="preserve">   TG</v>
      </c>
      <c r="B6036" t="str">
        <f>T("   Togo")</f>
        <v xml:space="preserve">   Togo</v>
      </c>
      <c r="C6036">
        <v>60000</v>
      </c>
      <c r="D6036">
        <v>24</v>
      </c>
    </row>
    <row r="6037" spans="1:4" x14ac:dyDescent="0.25">
      <c r="A6037" t="str">
        <f>T("   TN")</f>
        <v xml:space="preserve">   TN</v>
      </c>
      <c r="B6037" t="str">
        <f>T("   Tunisie")</f>
        <v xml:space="preserve">   Tunisie</v>
      </c>
      <c r="C6037">
        <v>1202375</v>
      </c>
      <c r="D6037">
        <v>294</v>
      </c>
    </row>
    <row r="6038" spans="1:4" x14ac:dyDescent="0.25">
      <c r="A6038" t="str">
        <f>T("   US")</f>
        <v xml:space="preserve">   US</v>
      </c>
      <c r="B6038" t="str">
        <f>T("   Etats-Unis")</f>
        <v xml:space="preserve">   Etats-Unis</v>
      </c>
      <c r="C6038">
        <v>183987</v>
      </c>
      <c r="D6038">
        <v>12</v>
      </c>
    </row>
    <row r="6039" spans="1:4" x14ac:dyDescent="0.25">
      <c r="A6039" t="str">
        <f>T("490191")</f>
        <v>490191</v>
      </c>
      <c r="B6039" t="str">
        <f>T("Dictionnaires et encyclopédies, même en fascicules")</f>
        <v>Dictionnaires et encyclopédies, même en fascicules</v>
      </c>
    </row>
    <row r="6040" spans="1:4" x14ac:dyDescent="0.25">
      <c r="A6040" t="str">
        <f>T("   ZZZ_Monde")</f>
        <v xml:space="preserve">   ZZZ_Monde</v>
      </c>
      <c r="B6040" t="str">
        <f>T("   ZZZ_Monde")</f>
        <v xml:space="preserve">   ZZZ_Monde</v>
      </c>
      <c r="C6040">
        <v>76941486</v>
      </c>
      <c r="D6040">
        <v>11295</v>
      </c>
    </row>
    <row r="6041" spans="1:4" x14ac:dyDescent="0.25">
      <c r="A6041" t="str">
        <f>T("   FR")</f>
        <v xml:space="preserve">   FR</v>
      </c>
      <c r="B6041" t="str">
        <f>T("   France")</f>
        <v xml:space="preserve">   France</v>
      </c>
      <c r="C6041">
        <v>76941486</v>
      </c>
      <c r="D6041">
        <v>11295</v>
      </c>
    </row>
    <row r="6042" spans="1:4" x14ac:dyDescent="0.25">
      <c r="A6042" t="str">
        <f>T("490199")</f>
        <v>490199</v>
      </c>
      <c r="B6042" t="str">
        <f>T("Livres, brochures et imprimés simil. (à l'excl. des produits en feuillets isolés, des dictionnaires et encyclopédies, même en fascicules, des publications périodiques ainsi que des publications à usages principalement publicitaires)")</f>
        <v>Livres, brochures et imprimés simil. (à l'excl. des produits en feuillets isolés, des dictionnaires et encyclopédies, même en fascicules, des publications périodiques ainsi que des publications à usages principalement publicitaires)</v>
      </c>
    </row>
    <row r="6043" spans="1:4" x14ac:dyDescent="0.25">
      <c r="A6043" t="str">
        <f>T("   ZZZ_Monde")</f>
        <v xml:space="preserve">   ZZZ_Monde</v>
      </c>
      <c r="B6043" t="str">
        <f>T("   ZZZ_Monde")</f>
        <v xml:space="preserve">   ZZZ_Monde</v>
      </c>
      <c r="C6043">
        <v>1882884041</v>
      </c>
      <c r="D6043">
        <v>562123.65</v>
      </c>
    </row>
    <row r="6044" spans="1:4" x14ac:dyDescent="0.25">
      <c r="A6044" t="str">
        <f>T("   AE")</f>
        <v xml:space="preserve">   AE</v>
      </c>
      <c r="B6044" t="str">
        <f>T("   Emirats Arabes Unis")</f>
        <v xml:space="preserve">   Emirats Arabes Unis</v>
      </c>
      <c r="C6044">
        <v>52104763</v>
      </c>
      <c r="D6044">
        <v>16169</v>
      </c>
    </row>
    <row r="6045" spans="1:4" x14ac:dyDescent="0.25">
      <c r="A6045" t="str">
        <f>T("   AF")</f>
        <v xml:space="preserve">   AF</v>
      </c>
      <c r="B6045" t="str">
        <f>T("   Afghanistan")</f>
        <v xml:space="preserve">   Afghanistan</v>
      </c>
      <c r="C6045">
        <v>500000</v>
      </c>
      <c r="D6045">
        <v>149</v>
      </c>
    </row>
    <row r="6046" spans="1:4" x14ac:dyDescent="0.25">
      <c r="A6046" t="str">
        <f>T("   AS")</f>
        <v xml:space="preserve">   AS</v>
      </c>
      <c r="B6046" t="str">
        <f>T("   Samoa Américaines")</f>
        <v xml:space="preserve">   Samoa Américaines</v>
      </c>
      <c r="C6046">
        <v>400000</v>
      </c>
      <c r="D6046">
        <v>130</v>
      </c>
    </row>
    <row r="6047" spans="1:4" x14ac:dyDescent="0.25">
      <c r="A6047" t="str">
        <f>T("   AT")</f>
        <v xml:space="preserve">   AT</v>
      </c>
      <c r="B6047" t="str">
        <f>T("   Autriche")</f>
        <v xml:space="preserve">   Autriche</v>
      </c>
      <c r="C6047">
        <v>1452479</v>
      </c>
      <c r="D6047">
        <v>139</v>
      </c>
    </row>
    <row r="6048" spans="1:4" x14ac:dyDescent="0.25">
      <c r="A6048" t="str">
        <f>T("   BE")</f>
        <v xml:space="preserve">   BE</v>
      </c>
      <c r="B6048" t="str">
        <f>T("   Belgique")</f>
        <v xml:space="preserve">   Belgique</v>
      </c>
      <c r="C6048">
        <v>24952505</v>
      </c>
      <c r="D6048">
        <v>15275</v>
      </c>
    </row>
    <row r="6049" spans="1:4" x14ac:dyDescent="0.25">
      <c r="A6049" t="str">
        <f>T("   BR")</f>
        <v xml:space="preserve">   BR</v>
      </c>
      <c r="B6049" t="str">
        <f>T("   Brésil")</f>
        <v xml:space="preserve">   Brésil</v>
      </c>
      <c r="C6049">
        <v>300000</v>
      </c>
      <c r="D6049">
        <v>66</v>
      </c>
    </row>
    <row r="6050" spans="1:4" x14ac:dyDescent="0.25">
      <c r="A6050" t="str">
        <f>T("   BY")</f>
        <v xml:space="preserve">   BY</v>
      </c>
      <c r="B6050" t="str">
        <f>T("   Bélarus")</f>
        <v xml:space="preserve">   Bélarus</v>
      </c>
      <c r="C6050">
        <v>17584248</v>
      </c>
      <c r="D6050">
        <v>20790</v>
      </c>
    </row>
    <row r="6051" spans="1:4" x14ac:dyDescent="0.25">
      <c r="A6051" t="str">
        <f>T("   CA")</f>
        <v xml:space="preserve">   CA</v>
      </c>
      <c r="B6051" t="str">
        <f>T("   Canada")</f>
        <v xml:space="preserve">   Canada</v>
      </c>
      <c r="C6051">
        <v>359839</v>
      </c>
      <c r="D6051">
        <v>510</v>
      </c>
    </row>
    <row r="6052" spans="1:4" x14ac:dyDescent="0.25">
      <c r="A6052" t="str">
        <f>T("   CH")</f>
        <v xml:space="preserve">   CH</v>
      </c>
      <c r="B6052" t="str">
        <f>T("   Suisse")</f>
        <v xml:space="preserve">   Suisse</v>
      </c>
      <c r="C6052">
        <v>450000</v>
      </c>
      <c r="D6052">
        <v>398</v>
      </c>
    </row>
    <row r="6053" spans="1:4" x14ac:dyDescent="0.25">
      <c r="A6053" t="str">
        <f>T("   CI")</f>
        <v xml:space="preserve">   CI</v>
      </c>
      <c r="B6053" t="str">
        <f>T("   Côte d'Ivoire")</f>
        <v xml:space="preserve">   Côte d'Ivoire</v>
      </c>
      <c r="C6053">
        <v>332798</v>
      </c>
      <c r="D6053">
        <v>300</v>
      </c>
    </row>
    <row r="6054" spans="1:4" x14ac:dyDescent="0.25">
      <c r="A6054" t="str">
        <f>T("   CM")</f>
        <v xml:space="preserve">   CM</v>
      </c>
      <c r="B6054" t="str">
        <f>T("   Cameroun")</f>
        <v xml:space="preserve">   Cameroun</v>
      </c>
      <c r="C6054">
        <v>19442601</v>
      </c>
      <c r="D6054">
        <v>1600</v>
      </c>
    </row>
    <row r="6055" spans="1:4" x14ac:dyDescent="0.25">
      <c r="A6055" t="str">
        <f>T("   CN")</f>
        <v xml:space="preserve">   CN</v>
      </c>
      <c r="B6055" t="str">
        <f>T("   Chine")</f>
        <v xml:space="preserve">   Chine</v>
      </c>
      <c r="C6055">
        <v>21957673</v>
      </c>
      <c r="D6055">
        <v>13196</v>
      </c>
    </row>
    <row r="6056" spans="1:4" x14ac:dyDescent="0.25">
      <c r="A6056" t="str">
        <f>T("   DE")</f>
        <v xml:space="preserve">   DE</v>
      </c>
      <c r="B6056" t="str">
        <f>T("   Allemagne")</f>
        <v xml:space="preserve">   Allemagne</v>
      </c>
      <c r="C6056">
        <v>59359845</v>
      </c>
      <c r="D6056">
        <v>29421</v>
      </c>
    </row>
    <row r="6057" spans="1:4" x14ac:dyDescent="0.25">
      <c r="A6057" t="str">
        <f>T("   DK")</f>
        <v xml:space="preserve">   DK</v>
      </c>
      <c r="B6057" t="str">
        <f>T("   Danemark")</f>
        <v xml:space="preserve">   Danemark</v>
      </c>
      <c r="C6057">
        <v>1683505</v>
      </c>
      <c r="D6057">
        <v>235</v>
      </c>
    </row>
    <row r="6058" spans="1:4" x14ac:dyDescent="0.25">
      <c r="A6058" t="str">
        <f>T("   EG")</f>
        <v xml:space="preserve">   EG</v>
      </c>
      <c r="B6058" t="str">
        <f>T("   Egypte")</f>
        <v xml:space="preserve">   Egypte</v>
      </c>
      <c r="C6058">
        <v>100000</v>
      </c>
      <c r="D6058">
        <v>38</v>
      </c>
    </row>
    <row r="6059" spans="1:4" x14ac:dyDescent="0.25">
      <c r="A6059" t="str">
        <f>T("   ES")</f>
        <v xml:space="preserve">   ES</v>
      </c>
      <c r="B6059" t="str">
        <f>T("   Espagne")</f>
        <v xml:space="preserve">   Espagne</v>
      </c>
      <c r="C6059">
        <v>5504682</v>
      </c>
      <c r="D6059">
        <v>19401</v>
      </c>
    </row>
    <row r="6060" spans="1:4" x14ac:dyDescent="0.25">
      <c r="A6060" t="str">
        <f>T("   FR")</f>
        <v xml:space="preserve">   FR</v>
      </c>
      <c r="B6060" t="str">
        <f>T("   France")</f>
        <v xml:space="preserve">   France</v>
      </c>
      <c r="C6060">
        <v>1531711611</v>
      </c>
      <c r="D6060">
        <v>313762.33</v>
      </c>
    </row>
    <row r="6061" spans="1:4" x14ac:dyDescent="0.25">
      <c r="A6061" t="str">
        <f>T("   GB")</f>
        <v xml:space="preserve">   GB</v>
      </c>
      <c r="B6061" t="str">
        <f>T("   Royaume-Uni")</f>
        <v xml:space="preserve">   Royaume-Uni</v>
      </c>
      <c r="C6061">
        <v>3682452</v>
      </c>
      <c r="D6061">
        <v>2500</v>
      </c>
    </row>
    <row r="6062" spans="1:4" x14ac:dyDescent="0.25">
      <c r="A6062" t="str">
        <f>T("   GE")</f>
        <v xml:space="preserve">   GE</v>
      </c>
      <c r="B6062" t="str">
        <f>T("   Géorgie")</f>
        <v xml:space="preserve">   Géorgie</v>
      </c>
      <c r="C6062">
        <v>207309</v>
      </c>
      <c r="D6062">
        <v>593</v>
      </c>
    </row>
    <row r="6063" spans="1:4" x14ac:dyDescent="0.25">
      <c r="A6063" t="str">
        <f>T("   GH")</f>
        <v xml:space="preserve">   GH</v>
      </c>
      <c r="B6063" t="str">
        <f>T("   Ghana")</f>
        <v xml:space="preserve">   Ghana</v>
      </c>
      <c r="C6063">
        <v>52891</v>
      </c>
      <c r="D6063">
        <v>25</v>
      </c>
    </row>
    <row r="6064" spans="1:4" x14ac:dyDescent="0.25">
      <c r="A6064" t="str">
        <f>T("   GN")</f>
        <v xml:space="preserve">   GN</v>
      </c>
      <c r="B6064" t="str">
        <f>T("   Guinée")</f>
        <v xml:space="preserve">   Guinée</v>
      </c>
      <c r="C6064">
        <v>79371</v>
      </c>
      <c r="D6064">
        <v>56</v>
      </c>
    </row>
    <row r="6065" spans="1:4" x14ac:dyDescent="0.25">
      <c r="A6065" t="str">
        <f>T("   HK")</f>
        <v xml:space="preserve">   HK</v>
      </c>
      <c r="B6065" t="str">
        <f>T("   Hong-Kong")</f>
        <v xml:space="preserve">   Hong-Kong</v>
      </c>
      <c r="C6065">
        <v>450000</v>
      </c>
      <c r="D6065">
        <v>293</v>
      </c>
    </row>
    <row r="6066" spans="1:4" x14ac:dyDescent="0.25">
      <c r="A6066" t="str">
        <f>T("   IL")</f>
        <v xml:space="preserve">   IL</v>
      </c>
      <c r="B6066" t="str">
        <f>T("   Israël")</f>
        <v xml:space="preserve">   Israël</v>
      </c>
      <c r="C6066">
        <v>6471225</v>
      </c>
      <c r="D6066">
        <v>12000</v>
      </c>
    </row>
    <row r="6067" spans="1:4" x14ac:dyDescent="0.25">
      <c r="A6067" t="str">
        <f>T("   IN")</f>
        <v xml:space="preserve">   IN</v>
      </c>
      <c r="B6067" t="str">
        <f>T("   Inde")</f>
        <v xml:space="preserve">   Inde</v>
      </c>
      <c r="C6067">
        <v>1449018</v>
      </c>
      <c r="D6067">
        <v>3319</v>
      </c>
    </row>
    <row r="6068" spans="1:4" x14ac:dyDescent="0.25">
      <c r="A6068" t="str">
        <f>T("   IT")</f>
        <v xml:space="preserve">   IT</v>
      </c>
      <c r="B6068" t="str">
        <f>T("   Italie")</f>
        <v xml:space="preserve">   Italie</v>
      </c>
      <c r="C6068">
        <v>34678582</v>
      </c>
      <c r="D6068">
        <v>31311</v>
      </c>
    </row>
    <row r="6069" spans="1:4" x14ac:dyDescent="0.25">
      <c r="A6069" t="str">
        <f>T("   JP")</f>
        <v xml:space="preserve">   JP</v>
      </c>
      <c r="B6069" t="str">
        <f>T("   Japon")</f>
        <v xml:space="preserve">   Japon</v>
      </c>
      <c r="C6069">
        <v>1300000</v>
      </c>
      <c r="D6069">
        <v>865</v>
      </c>
    </row>
    <row r="6070" spans="1:4" x14ac:dyDescent="0.25">
      <c r="A6070" t="str">
        <f>T("   KR")</f>
        <v xml:space="preserve">   KR</v>
      </c>
      <c r="B6070" t="str">
        <f>T("   Corée, République de")</f>
        <v xml:space="preserve">   Corée, République de</v>
      </c>
      <c r="C6070">
        <v>23906623</v>
      </c>
      <c r="D6070">
        <v>13350</v>
      </c>
    </row>
    <row r="6071" spans="1:4" x14ac:dyDescent="0.25">
      <c r="A6071" t="str">
        <f>T("   LB")</f>
        <v xml:space="preserve">   LB</v>
      </c>
      <c r="B6071" t="str">
        <f>T("   Liban")</f>
        <v xml:space="preserve">   Liban</v>
      </c>
      <c r="C6071">
        <v>581943</v>
      </c>
      <c r="D6071">
        <v>60</v>
      </c>
    </row>
    <row r="6072" spans="1:4" x14ac:dyDescent="0.25">
      <c r="A6072" t="str">
        <f>T("   MG")</f>
        <v xml:space="preserve">   MG</v>
      </c>
      <c r="B6072" t="str">
        <f>T("   Madagascar")</f>
        <v xml:space="preserve">   Madagascar</v>
      </c>
      <c r="C6072">
        <v>110857</v>
      </c>
      <c r="D6072">
        <v>750</v>
      </c>
    </row>
    <row r="6073" spans="1:4" x14ac:dyDescent="0.25">
      <c r="A6073" t="str">
        <f>T("   MR")</f>
        <v xml:space="preserve">   MR</v>
      </c>
      <c r="B6073" t="str">
        <f>T("   Mauritanie")</f>
        <v xml:space="preserve">   Mauritanie</v>
      </c>
      <c r="C6073">
        <v>875051</v>
      </c>
      <c r="D6073">
        <v>880</v>
      </c>
    </row>
    <row r="6074" spans="1:4" x14ac:dyDescent="0.25">
      <c r="A6074" t="str">
        <f>T("   NA")</f>
        <v xml:space="preserve">   NA</v>
      </c>
      <c r="B6074" t="str">
        <f>T("   Namibie")</f>
        <v xml:space="preserve">   Namibie</v>
      </c>
      <c r="C6074">
        <v>350000</v>
      </c>
      <c r="D6074">
        <v>600</v>
      </c>
    </row>
    <row r="6075" spans="1:4" x14ac:dyDescent="0.25">
      <c r="A6075" t="str">
        <f>T("   NE")</f>
        <v xml:space="preserve">   NE</v>
      </c>
      <c r="B6075" t="str">
        <f>T("   Niger")</f>
        <v xml:space="preserve">   Niger</v>
      </c>
      <c r="C6075">
        <v>200000</v>
      </c>
      <c r="D6075">
        <v>133</v>
      </c>
    </row>
    <row r="6076" spans="1:4" x14ac:dyDescent="0.25">
      <c r="A6076" t="str">
        <f>T("   NG")</f>
        <v xml:space="preserve">   NG</v>
      </c>
      <c r="B6076" t="str">
        <f>T("   Nigéria")</f>
        <v xml:space="preserve">   Nigéria</v>
      </c>
      <c r="C6076">
        <v>16742000</v>
      </c>
      <c r="D6076">
        <v>15310</v>
      </c>
    </row>
    <row r="6077" spans="1:4" x14ac:dyDescent="0.25">
      <c r="A6077" t="str">
        <f>T("   NL")</f>
        <v xml:space="preserve">   NL</v>
      </c>
      <c r="B6077" t="str">
        <f>T("   Pays-bas")</f>
        <v xml:space="preserve">   Pays-bas</v>
      </c>
      <c r="C6077">
        <v>451086</v>
      </c>
      <c r="D6077">
        <v>143.27000000000001</v>
      </c>
    </row>
    <row r="6078" spans="1:4" x14ac:dyDescent="0.25">
      <c r="A6078" t="str">
        <f>T("   PK")</f>
        <v xml:space="preserve">   PK</v>
      </c>
      <c r="B6078" t="str">
        <f>T("   Pakistan")</f>
        <v xml:space="preserve">   Pakistan</v>
      </c>
      <c r="C6078">
        <v>1146454</v>
      </c>
      <c r="D6078">
        <v>75</v>
      </c>
    </row>
    <row r="6079" spans="1:4" x14ac:dyDescent="0.25">
      <c r="A6079" t="str">
        <f>T("   SA")</f>
        <v xml:space="preserve">   SA</v>
      </c>
      <c r="B6079" t="str">
        <f>T("   Arabie Saoudite")</f>
        <v xml:space="preserve">   Arabie Saoudite</v>
      </c>
      <c r="C6079">
        <v>420041</v>
      </c>
      <c r="D6079">
        <v>1035</v>
      </c>
    </row>
    <row r="6080" spans="1:4" x14ac:dyDescent="0.25">
      <c r="A6080" t="str">
        <f>T("   SN")</f>
        <v xml:space="preserve">   SN</v>
      </c>
      <c r="B6080" t="str">
        <f>T("   Sénégal")</f>
        <v xml:space="preserve">   Sénégal</v>
      </c>
      <c r="C6080">
        <v>500000</v>
      </c>
      <c r="D6080">
        <v>450</v>
      </c>
    </row>
    <row r="6081" spans="1:4" x14ac:dyDescent="0.25">
      <c r="A6081" t="str">
        <f>T("   TG")</f>
        <v xml:space="preserve">   TG</v>
      </c>
      <c r="B6081" t="str">
        <f>T("   Togo")</f>
        <v xml:space="preserve">   Togo</v>
      </c>
      <c r="C6081">
        <v>5957447</v>
      </c>
      <c r="D6081">
        <v>11402</v>
      </c>
    </row>
    <row r="6082" spans="1:4" x14ac:dyDescent="0.25">
      <c r="A6082" t="str">
        <f>T("   TO")</f>
        <v xml:space="preserve">   TO</v>
      </c>
      <c r="B6082" t="str">
        <f>T("   Tonga")</f>
        <v xml:space="preserve">   Tonga</v>
      </c>
      <c r="C6082">
        <v>5965948</v>
      </c>
      <c r="D6082">
        <v>105</v>
      </c>
    </row>
    <row r="6083" spans="1:4" x14ac:dyDescent="0.25">
      <c r="A6083" t="str">
        <f>T("   TZ")</f>
        <v xml:space="preserve">   TZ</v>
      </c>
      <c r="B6083" t="str">
        <f>T("   Tanzanie")</f>
        <v xml:space="preserve">   Tanzanie</v>
      </c>
      <c r="C6083">
        <v>237278</v>
      </c>
      <c r="D6083">
        <v>204</v>
      </c>
    </row>
    <row r="6084" spans="1:4" x14ac:dyDescent="0.25">
      <c r="A6084" t="str">
        <f>T("   US")</f>
        <v xml:space="preserve">   US</v>
      </c>
      <c r="B6084" t="str">
        <f>T("   Etats-Unis")</f>
        <v xml:space="preserve">   Etats-Unis</v>
      </c>
      <c r="C6084">
        <v>37938668</v>
      </c>
      <c r="D6084">
        <v>34065.050000000003</v>
      </c>
    </row>
    <row r="6085" spans="1:4" x14ac:dyDescent="0.25">
      <c r="A6085" t="str">
        <f>T("   ZA")</f>
        <v xml:space="preserve">   ZA</v>
      </c>
      <c r="B6085" t="str">
        <f>T("   Afrique du Sud")</f>
        <v xml:space="preserve">   Afrique du Sud</v>
      </c>
      <c r="C6085">
        <v>933248</v>
      </c>
      <c r="D6085">
        <v>1020</v>
      </c>
    </row>
    <row r="6086" spans="1:4" x14ac:dyDescent="0.25">
      <c r="A6086" t="str">
        <f>T("490210")</f>
        <v>490210</v>
      </c>
      <c r="B6086" t="str">
        <f>T("Journaux et publications périodiques imprimés, même illustrés ou contenant de la publicité, paraissant au moins quatre fois par semaine")</f>
        <v>Journaux et publications périodiques imprimés, même illustrés ou contenant de la publicité, paraissant au moins quatre fois par semaine</v>
      </c>
    </row>
    <row r="6087" spans="1:4" x14ac:dyDescent="0.25">
      <c r="A6087" t="str">
        <f>T("   ZZZ_Monde")</f>
        <v xml:space="preserve">   ZZZ_Monde</v>
      </c>
      <c r="B6087" t="str">
        <f>T("   ZZZ_Monde")</f>
        <v xml:space="preserve">   ZZZ_Monde</v>
      </c>
      <c r="C6087">
        <v>38573071</v>
      </c>
      <c r="D6087">
        <v>20851</v>
      </c>
    </row>
    <row r="6088" spans="1:4" x14ac:dyDescent="0.25">
      <c r="A6088" t="str">
        <f>T("   FR")</f>
        <v xml:space="preserve">   FR</v>
      </c>
      <c r="B6088" t="str">
        <f>T("   France")</f>
        <v xml:space="preserve">   France</v>
      </c>
      <c r="C6088">
        <v>38573071</v>
      </c>
      <c r="D6088">
        <v>20851</v>
      </c>
    </row>
    <row r="6089" spans="1:4" x14ac:dyDescent="0.25">
      <c r="A6089" t="str">
        <f>T("490290")</f>
        <v>490290</v>
      </c>
      <c r="B6089" t="str">
        <f>T("Journaux et publications périodiques imprimés, même illustrés ou contenant de la publicité (à l'excl. des journaux et publications paraissant au moins quatre fois par semaine)")</f>
        <v>Journaux et publications périodiques imprimés, même illustrés ou contenant de la publicité (à l'excl. des journaux et publications paraissant au moins quatre fois par semaine)</v>
      </c>
    </row>
    <row r="6090" spans="1:4" x14ac:dyDescent="0.25">
      <c r="A6090" t="str">
        <f>T("   ZZZ_Monde")</f>
        <v xml:space="preserve">   ZZZ_Monde</v>
      </c>
      <c r="B6090" t="str">
        <f>T("   ZZZ_Monde")</f>
        <v xml:space="preserve">   ZZZ_Monde</v>
      </c>
      <c r="C6090">
        <v>22602502</v>
      </c>
      <c r="D6090">
        <v>9915.2000000000007</v>
      </c>
    </row>
    <row r="6091" spans="1:4" x14ac:dyDescent="0.25">
      <c r="A6091" t="str">
        <f>T("   AF")</f>
        <v xml:space="preserve">   AF</v>
      </c>
      <c r="B6091" t="str">
        <f>T("   Afghanistan")</f>
        <v xml:space="preserve">   Afghanistan</v>
      </c>
      <c r="C6091">
        <v>25000</v>
      </c>
      <c r="D6091">
        <v>8</v>
      </c>
    </row>
    <row r="6092" spans="1:4" x14ac:dyDescent="0.25">
      <c r="A6092" t="str">
        <f>T("   DE")</f>
        <v xml:space="preserve">   DE</v>
      </c>
      <c r="B6092" t="str">
        <f>T("   Allemagne")</f>
        <v xml:space="preserve">   Allemagne</v>
      </c>
      <c r="C6092">
        <v>983268</v>
      </c>
      <c r="D6092">
        <v>1575</v>
      </c>
    </row>
    <row r="6093" spans="1:4" x14ac:dyDescent="0.25">
      <c r="A6093" t="str">
        <f>T("   DK")</f>
        <v xml:space="preserve">   DK</v>
      </c>
      <c r="B6093" t="str">
        <f>T("   Danemark")</f>
        <v xml:space="preserve">   Danemark</v>
      </c>
      <c r="C6093">
        <v>2280652</v>
      </c>
      <c r="D6093">
        <v>193</v>
      </c>
    </row>
    <row r="6094" spans="1:4" x14ac:dyDescent="0.25">
      <c r="A6094" t="str">
        <f>T("   FR")</f>
        <v xml:space="preserve">   FR</v>
      </c>
      <c r="B6094" t="str">
        <f>T("   France")</f>
        <v xml:space="preserve">   France</v>
      </c>
      <c r="C6094">
        <v>10186542</v>
      </c>
      <c r="D6094">
        <v>4998.2</v>
      </c>
    </row>
    <row r="6095" spans="1:4" x14ac:dyDescent="0.25">
      <c r="A6095" t="str">
        <f>T("   GB")</f>
        <v xml:space="preserve">   GB</v>
      </c>
      <c r="B6095" t="str">
        <f>T("   Royaume-Uni")</f>
        <v xml:space="preserve">   Royaume-Uni</v>
      </c>
      <c r="C6095">
        <v>4694456</v>
      </c>
      <c r="D6095">
        <v>1200</v>
      </c>
    </row>
    <row r="6096" spans="1:4" x14ac:dyDescent="0.25">
      <c r="A6096" t="str">
        <f>T("   SN")</f>
        <v xml:space="preserve">   SN</v>
      </c>
      <c r="B6096" t="str">
        <f>T("   Sénégal")</f>
        <v xml:space="preserve">   Sénégal</v>
      </c>
      <c r="C6096">
        <v>761594</v>
      </c>
      <c r="D6096">
        <v>243</v>
      </c>
    </row>
    <row r="6097" spans="1:4" x14ac:dyDescent="0.25">
      <c r="A6097" t="str">
        <f>T("   TN")</f>
        <v xml:space="preserve">   TN</v>
      </c>
      <c r="B6097" t="str">
        <f>T("   Tunisie")</f>
        <v xml:space="preserve">   Tunisie</v>
      </c>
      <c r="C6097">
        <v>3395990</v>
      </c>
      <c r="D6097">
        <v>1622</v>
      </c>
    </row>
    <row r="6098" spans="1:4" x14ac:dyDescent="0.25">
      <c r="A6098" t="str">
        <f>T("   ZA")</f>
        <v xml:space="preserve">   ZA</v>
      </c>
      <c r="B6098" t="str">
        <f>T("   Afrique du Sud")</f>
        <v xml:space="preserve">   Afrique du Sud</v>
      </c>
      <c r="C6098">
        <v>275000</v>
      </c>
      <c r="D6098">
        <v>76</v>
      </c>
    </row>
    <row r="6099" spans="1:4" x14ac:dyDescent="0.25">
      <c r="A6099" t="str">
        <f>T("490400")</f>
        <v>490400</v>
      </c>
      <c r="B6099" t="str">
        <f>T("Musique manuscrite ou imprimée, illustrée ou non, même reliée")</f>
        <v>Musique manuscrite ou imprimée, illustrée ou non, même reliée</v>
      </c>
    </row>
    <row r="6100" spans="1:4" x14ac:dyDescent="0.25">
      <c r="A6100" t="str">
        <f>T("   ZZZ_Monde")</f>
        <v xml:space="preserve">   ZZZ_Monde</v>
      </c>
      <c r="B6100" t="str">
        <f>T("   ZZZ_Monde")</f>
        <v xml:space="preserve">   ZZZ_Monde</v>
      </c>
      <c r="C6100">
        <v>5154791</v>
      </c>
      <c r="D6100">
        <v>17148</v>
      </c>
    </row>
    <row r="6101" spans="1:4" x14ac:dyDescent="0.25">
      <c r="A6101" t="str">
        <f>T("   FR")</f>
        <v xml:space="preserve">   FR</v>
      </c>
      <c r="B6101" t="str">
        <f>T("   France")</f>
        <v xml:space="preserve">   France</v>
      </c>
      <c r="C6101">
        <v>1218773</v>
      </c>
      <c r="D6101">
        <v>908</v>
      </c>
    </row>
    <row r="6102" spans="1:4" x14ac:dyDescent="0.25">
      <c r="A6102" t="str">
        <f>T("   GE")</f>
        <v xml:space="preserve">   GE</v>
      </c>
      <c r="B6102" t="str">
        <f>T("   Géorgie")</f>
        <v xml:space="preserve">   Géorgie</v>
      </c>
      <c r="C6102">
        <v>255768</v>
      </c>
      <c r="D6102">
        <v>15</v>
      </c>
    </row>
    <row r="6103" spans="1:4" x14ac:dyDescent="0.25">
      <c r="A6103" t="str">
        <f>T("   Z2")</f>
        <v xml:space="preserve">   Z2</v>
      </c>
      <c r="B6103" t="str">
        <f>T("   Pays non défini")</f>
        <v xml:space="preserve">   Pays non défini</v>
      </c>
      <c r="C6103">
        <v>3680250</v>
      </c>
      <c r="D6103">
        <v>16225</v>
      </c>
    </row>
    <row r="6104" spans="1:4" x14ac:dyDescent="0.25">
      <c r="A6104" t="str">
        <f>T("490510")</f>
        <v>490510</v>
      </c>
      <c r="B6104" t="str">
        <f>T("Globes, imprimés (à l'excl. des globes en relief)")</f>
        <v>Globes, imprimés (à l'excl. des globes en relief)</v>
      </c>
    </row>
    <row r="6105" spans="1:4" x14ac:dyDescent="0.25">
      <c r="A6105" t="str">
        <f>T("   ZZZ_Monde")</f>
        <v xml:space="preserve">   ZZZ_Monde</v>
      </c>
      <c r="B6105" t="str">
        <f>T("   ZZZ_Monde")</f>
        <v xml:space="preserve">   ZZZ_Monde</v>
      </c>
      <c r="C6105">
        <v>2887552</v>
      </c>
      <c r="D6105">
        <v>1190</v>
      </c>
    </row>
    <row r="6106" spans="1:4" x14ac:dyDescent="0.25">
      <c r="A6106" t="str">
        <f>T("   CN")</f>
        <v xml:space="preserve">   CN</v>
      </c>
      <c r="B6106" t="str">
        <f>T("   Chine")</f>
        <v xml:space="preserve">   Chine</v>
      </c>
      <c r="C6106">
        <v>2887552</v>
      </c>
      <c r="D6106">
        <v>1190</v>
      </c>
    </row>
    <row r="6107" spans="1:4" x14ac:dyDescent="0.25">
      <c r="A6107" t="str">
        <f>T("490599")</f>
        <v>490599</v>
      </c>
      <c r="B6107" t="str">
        <f>T("Ouvrages cartographiques de tous genres, y.c. les cartes murales et les plans topographiques, imprimés (à l'excl. des cartes et plans en relief, des globes ainsi que des ouvrages cartographiques sous forme de livres ou de brochures)")</f>
        <v>Ouvrages cartographiques de tous genres, y.c. les cartes murales et les plans topographiques, imprimés (à l'excl. des cartes et plans en relief, des globes ainsi que des ouvrages cartographiques sous forme de livres ou de brochures)</v>
      </c>
    </row>
    <row r="6108" spans="1:4" x14ac:dyDescent="0.25">
      <c r="A6108" t="str">
        <f>T("   ZZZ_Monde")</f>
        <v xml:space="preserve">   ZZZ_Monde</v>
      </c>
      <c r="B6108" t="str">
        <f>T("   ZZZ_Monde")</f>
        <v xml:space="preserve">   ZZZ_Monde</v>
      </c>
      <c r="C6108">
        <v>15404302</v>
      </c>
      <c r="D6108">
        <v>1239</v>
      </c>
    </row>
    <row r="6109" spans="1:4" x14ac:dyDescent="0.25">
      <c r="A6109" t="str">
        <f>T("   ES")</f>
        <v xml:space="preserve">   ES</v>
      </c>
      <c r="B6109" t="str">
        <f>T("   Espagne")</f>
        <v xml:space="preserve">   Espagne</v>
      </c>
      <c r="C6109">
        <v>12109022</v>
      </c>
      <c r="D6109">
        <v>690</v>
      </c>
    </row>
    <row r="6110" spans="1:4" x14ac:dyDescent="0.25">
      <c r="A6110" t="str">
        <f>T("   FR")</f>
        <v xml:space="preserve">   FR</v>
      </c>
      <c r="B6110" t="str">
        <f>T("   France")</f>
        <v xml:space="preserve">   France</v>
      </c>
      <c r="C6110">
        <v>3295280</v>
      </c>
      <c r="D6110">
        <v>549</v>
      </c>
    </row>
    <row r="6111" spans="1:4" x14ac:dyDescent="0.25">
      <c r="A6111" t="str">
        <f>T("490600")</f>
        <v>490600</v>
      </c>
      <c r="B6111" t="str">
        <f>T("Plans et dessins d'architectes, d'ingénieurs et autres plans et dessins industriels, commerciaux, topographiques ou simil., obtenus en original à la main; textes écrits à la main; reproductions photographiques sur papier sensibilisé et copies obtenues au")</f>
        <v>Plans et dessins d'architectes, d'ingénieurs et autres plans et dessins industriels, commerciaux, topographiques ou simil., obtenus en original à la main; textes écrits à la main; reproductions photographiques sur papier sensibilisé et copies obtenues au</v>
      </c>
    </row>
    <row r="6112" spans="1:4" x14ac:dyDescent="0.25">
      <c r="A6112" t="str">
        <f>T("   ZZZ_Monde")</f>
        <v xml:space="preserve">   ZZZ_Monde</v>
      </c>
      <c r="B6112" t="str">
        <f>T("   ZZZ_Monde")</f>
        <v xml:space="preserve">   ZZZ_Monde</v>
      </c>
      <c r="C6112">
        <v>930000</v>
      </c>
      <c r="D6112">
        <v>684</v>
      </c>
    </row>
    <row r="6113" spans="1:4" x14ac:dyDescent="0.25">
      <c r="A6113" t="str">
        <f>T("   FR")</f>
        <v xml:space="preserve">   FR</v>
      </c>
      <c r="B6113" t="str">
        <f>T("   France")</f>
        <v xml:space="preserve">   France</v>
      </c>
      <c r="C6113">
        <v>930000</v>
      </c>
      <c r="D6113">
        <v>684</v>
      </c>
    </row>
    <row r="6114" spans="1:4" x14ac:dyDescent="0.25">
      <c r="A6114" t="str">
        <f>T("490700")</f>
        <v>490700</v>
      </c>
      <c r="B6114" t="str">
        <f>T("TIMBRES-POSTE, TIMBRES FISCAUX ET ANALOGUES, NON-OBLITÉRÉS, AYANT COURS OU DESTINÉS À AVOIR COURS DANS LE PAYS DANS LEQUEL ILS ONT,  OU AURONT, UNE VALEUR FACIALE RECONNUE; PAPIER TIMBRÉ; BILLETS DE BANQUE; CHÈQUES; TITRES D'ACTIONS OU D'OBLIGATIONS ET TI")</f>
        <v>TIMBRES-POSTE, TIMBRES FISCAUX ET ANALOGUES, NON-OBLITÉRÉS, AYANT COURS OU DESTINÉS À AVOIR COURS DANS LE PAYS DANS LEQUEL ILS ONT,  OU AURONT, UNE VALEUR FACIALE RECONNUE; PAPIER TIMBRÉ; BILLETS DE BANQUE; CHÈQUES; TITRES D'ACTIONS OU D'OBLIGATIONS ET TI</v>
      </c>
    </row>
    <row r="6115" spans="1:4" x14ac:dyDescent="0.25">
      <c r="A6115" t="str">
        <f>T("   ZZZ_Monde")</f>
        <v xml:space="preserve">   ZZZ_Monde</v>
      </c>
      <c r="B6115" t="str">
        <f>T("   ZZZ_Monde")</f>
        <v xml:space="preserve">   ZZZ_Monde</v>
      </c>
      <c r="C6115">
        <v>156799036</v>
      </c>
      <c r="D6115">
        <v>51912.800000000003</v>
      </c>
    </row>
    <row r="6116" spans="1:4" x14ac:dyDescent="0.25">
      <c r="A6116" t="str">
        <f>T("   AF")</f>
        <v xml:space="preserve">   AF</v>
      </c>
      <c r="B6116" t="str">
        <f>T("   Afghanistan")</f>
        <v xml:space="preserve">   Afghanistan</v>
      </c>
      <c r="C6116">
        <v>354300</v>
      </c>
      <c r="D6116">
        <v>10</v>
      </c>
    </row>
    <row r="6117" spans="1:4" x14ac:dyDescent="0.25">
      <c r="A6117" t="str">
        <f>T("   CI")</f>
        <v xml:space="preserve">   CI</v>
      </c>
      <c r="B6117" t="str">
        <f>T("   Côte d'Ivoire")</f>
        <v xml:space="preserve">   Côte d'Ivoire</v>
      </c>
      <c r="C6117">
        <v>36850000</v>
      </c>
      <c r="D6117">
        <v>2588</v>
      </c>
    </row>
    <row r="6118" spans="1:4" x14ac:dyDescent="0.25">
      <c r="A6118" t="str">
        <f>T("   EG")</f>
        <v xml:space="preserve">   EG</v>
      </c>
      <c r="B6118" t="str">
        <f>T("   Egypte")</f>
        <v xml:space="preserve">   Egypte</v>
      </c>
      <c r="C6118">
        <v>811600</v>
      </c>
      <c r="D6118">
        <v>66.8</v>
      </c>
    </row>
    <row r="6119" spans="1:4" x14ac:dyDescent="0.25">
      <c r="A6119" t="str">
        <f>T("   FR")</f>
        <v xml:space="preserve">   FR</v>
      </c>
      <c r="B6119" t="str">
        <f>T("   France")</f>
        <v xml:space="preserve">   France</v>
      </c>
      <c r="C6119">
        <v>81757785</v>
      </c>
      <c r="D6119">
        <v>38131</v>
      </c>
    </row>
    <row r="6120" spans="1:4" x14ac:dyDescent="0.25">
      <c r="A6120" t="str">
        <f>T("   MC")</f>
        <v xml:space="preserve">   MC</v>
      </c>
      <c r="B6120" t="str">
        <f>T("   Monaco")</f>
        <v xml:space="preserve">   Monaco</v>
      </c>
      <c r="C6120">
        <v>16480399</v>
      </c>
      <c r="D6120">
        <v>974</v>
      </c>
    </row>
    <row r="6121" spans="1:4" x14ac:dyDescent="0.25">
      <c r="A6121" t="str">
        <f>T("   NL")</f>
        <v xml:space="preserve">   NL</v>
      </c>
      <c r="B6121" t="str">
        <f>T("   Pays-bas")</f>
        <v xml:space="preserve">   Pays-bas</v>
      </c>
      <c r="C6121">
        <v>5406880</v>
      </c>
      <c r="D6121">
        <v>2619</v>
      </c>
    </row>
    <row r="6122" spans="1:4" x14ac:dyDescent="0.25">
      <c r="A6122" t="str">
        <f>T("   SE")</f>
        <v xml:space="preserve">   SE</v>
      </c>
      <c r="B6122" t="str">
        <f>T("   Suède")</f>
        <v xml:space="preserve">   Suède</v>
      </c>
      <c r="C6122">
        <v>2063122</v>
      </c>
      <c r="D6122">
        <v>2299</v>
      </c>
    </row>
    <row r="6123" spans="1:4" x14ac:dyDescent="0.25">
      <c r="A6123" t="str">
        <f>T("   TG")</f>
        <v xml:space="preserve">   TG</v>
      </c>
      <c r="B6123" t="str">
        <f>T("   Togo")</f>
        <v xml:space="preserve">   Togo</v>
      </c>
      <c r="C6123">
        <v>13074950</v>
      </c>
      <c r="D6123">
        <v>5225</v>
      </c>
    </row>
    <row r="6124" spans="1:4" x14ac:dyDescent="0.25">
      <c r="A6124" t="str">
        <f>T("490900")</f>
        <v>490900</v>
      </c>
      <c r="B6124" t="str">
        <f>T("Cartes postales imprimées ou illustrées; cartes imprimées comportant des voeux ou des messages personnels, même illustrées, avec ou sans enveloppes, garnitures ou applications")</f>
        <v>Cartes postales imprimées ou illustrées; cartes imprimées comportant des voeux ou des messages personnels, même illustrées, avec ou sans enveloppes, garnitures ou applications</v>
      </c>
    </row>
    <row r="6125" spans="1:4" x14ac:dyDescent="0.25">
      <c r="A6125" t="str">
        <f>T("   ZZZ_Monde")</f>
        <v xml:space="preserve">   ZZZ_Monde</v>
      </c>
      <c r="B6125" t="str">
        <f>T("   ZZZ_Monde")</f>
        <v xml:space="preserve">   ZZZ_Monde</v>
      </c>
      <c r="C6125">
        <v>42712059</v>
      </c>
      <c r="D6125">
        <v>9193</v>
      </c>
    </row>
    <row r="6126" spans="1:4" x14ac:dyDescent="0.25">
      <c r="A6126" t="str">
        <f>T("   CN")</f>
        <v xml:space="preserve">   CN</v>
      </c>
      <c r="B6126" t="str">
        <f>T("   Chine")</f>
        <v xml:space="preserve">   Chine</v>
      </c>
      <c r="C6126">
        <v>857101</v>
      </c>
      <c r="D6126">
        <v>4022</v>
      </c>
    </row>
    <row r="6127" spans="1:4" x14ac:dyDescent="0.25">
      <c r="A6127" t="str">
        <f>T("   FR")</f>
        <v xml:space="preserve">   FR</v>
      </c>
      <c r="B6127" t="str">
        <f>T("   France")</f>
        <v xml:space="preserve">   France</v>
      </c>
      <c r="C6127">
        <v>17462040</v>
      </c>
      <c r="D6127">
        <v>2212</v>
      </c>
    </row>
    <row r="6128" spans="1:4" x14ac:dyDescent="0.25">
      <c r="A6128" t="str">
        <f>T("   MT")</f>
        <v xml:space="preserve">   MT</v>
      </c>
      <c r="B6128" t="str">
        <f>T("   Malte")</f>
        <v xml:space="preserve">   Malte</v>
      </c>
      <c r="C6128">
        <v>24141952</v>
      </c>
      <c r="D6128">
        <v>2767</v>
      </c>
    </row>
    <row r="6129" spans="1:4" x14ac:dyDescent="0.25">
      <c r="A6129" t="str">
        <f>T("   TG")</f>
        <v xml:space="preserve">   TG</v>
      </c>
      <c r="B6129" t="str">
        <f>T("   Togo")</f>
        <v xml:space="preserve">   Togo</v>
      </c>
      <c r="C6129">
        <v>54615</v>
      </c>
      <c r="D6129">
        <v>160</v>
      </c>
    </row>
    <row r="6130" spans="1:4" x14ac:dyDescent="0.25">
      <c r="A6130" t="str">
        <f>T("   US")</f>
        <v xml:space="preserve">   US</v>
      </c>
      <c r="B6130" t="str">
        <f>T("   Etats-Unis")</f>
        <v xml:space="preserve">   Etats-Unis</v>
      </c>
      <c r="C6130">
        <v>196351</v>
      </c>
      <c r="D6130">
        <v>32</v>
      </c>
    </row>
    <row r="6131" spans="1:4" x14ac:dyDescent="0.25">
      <c r="A6131" t="str">
        <f>T("491000")</f>
        <v>491000</v>
      </c>
      <c r="B6131" t="str">
        <f>T("Calendriers de tous genres, imprimés, y.c. les blocs de calendriers à effeuiller")</f>
        <v>Calendriers de tous genres, imprimés, y.c. les blocs de calendriers à effeuiller</v>
      </c>
    </row>
    <row r="6132" spans="1:4" x14ac:dyDescent="0.25">
      <c r="A6132" t="str">
        <f>T("   ZZZ_Monde")</f>
        <v xml:space="preserve">   ZZZ_Monde</v>
      </c>
      <c r="B6132" t="str">
        <f>T("   ZZZ_Monde")</f>
        <v xml:space="preserve">   ZZZ_Monde</v>
      </c>
      <c r="C6132">
        <v>80651862</v>
      </c>
      <c r="D6132">
        <v>66098</v>
      </c>
    </row>
    <row r="6133" spans="1:4" x14ac:dyDescent="0.25">
      <c r="A6133" t="str">
        <f>T("   BE")</f>
        <v xml:space="preserve">   BE</v>
      </c>
      <c r="B6133" t="str">
        <f>T("   Belgique")</f>
        <v xml:space="preserve">   Belgique</v>
      </c>
      <c r="C6133">
        <v>54714</v>
      </c>
      <c r="D6133">
        <v>15</v>
      </c>
    </row>
    <row r="6134" spans="1:4" x14ac:dyDescent="0.25">
      <c r="A6134" t="str">
        <f>T("   CI")</f>
        <v xml:space="preserve">   CI</v>
      </c>
      <c r="B6134" t="str">
        <f>T("   Côte d'Ivoire")</f>
        <v xml:space="preserve">   Côte d'Ivoire</v>
      </c>
      <c r="C6134">
        <v>378900</v>
      </c>
      <c r="D6134">
        <v>56</v>
      </c>
    </row>
    <row r="6135" spans="1:4" x14ac:dyDescent="0.25">
      <c r="A6135" t="str">
        <f>T("   CN")</f>
        <v xml:space="preserve">   CN</v>
      </c>
      <c r="B6135" t="str">
        <f>T("   Chine")</f>
        <v xml:space="preserve">   Chine</v>
      </c>
      <c r="C6135">
        <v>30011823</v>
      </c>
      <c r="D6135">
        <v>31071</v>
      </c>
    </row>
    <row r="6136" spans="1:4" x14ac:dyDescent="0.25">
      <c r="A6136" t="str">
        <f>T("   DK")</f>
        <v xml:space="preserve">   DK</v>
      </c>
      <c r="B6136" t="str">
        <f>T("   Danemark")</f>
        <v xml:space="preserve">   Danemark</v>
      </c>
      <c r="C6136">
        <v>1503187</v>
      </c>
      <c r="D6136">
        <v>715</v>
      </c>
    </row>
    <row r="6137" spans="1:4" x14ac:dyDescent="0.25">
      <c r="A6137" t="str">
        <f>T("   ES")</f>
        <v xml:space="preserve">   ES</v>
      </c>
      <c r="B6137" t="str">
        <f>T("   Espagne")</f>
        <v xml:space="preserve">   Espagne</v>
      </c>
      <c r="C6137">
        <v>3008113</v>
      </c>
      <c r="D6137">
        <v>822</v>
      </c>
    </row>
    <row r="6138" spans="1:4" x14ac:dyDescent="0.25">
      <c r="A6138" t="str">
        <f>T("   FR")</f>
        <v xml:space="preserve">   FR</v>
      </c>
      <c r="B6138" t="str">
        <f>T("   France")</f>
        <v xml:space="preserve">   France</v>
      </c>
      <c r="C6138">
        <v>35211482</v>
      </c>
      <c r="D6138">
        <v>26819</v>
      </c>
    </row>
    <row r="6139" spans="1:4" x14ac:dyDescent="0.25">
      <c r="A6139" t="str">
        <f>T("   GB")</f>
        <v xml:space="preserve">   GB</v>
      </c>
      <c r="B6139" t="str">
        <f>T("   Royaume-Uni")</f>
        <v xml:space="preserve">   Royaume-Uni</v>
      </c>
      <c r="C6139">
        <v>295432</v>
      </c>
      <c r="D6139">
        <v>857</v>
      </c>
    </row>
    <row r="6140" spans="1:4" x14ac:dyDescent="0.25">
      <c r="A6140" t="str">
        <f>T("   HK")</f>
        <v xml:space="preserve">   HK</v>
      </c>
      <c r="B6140" t="str">
        <f>T("   Hong-Kong")</f>
        <v xml:space="preserve">   Hong-Kong</v>
      </c>
      <c r="C6140">
        <v>40977</v>
      </c>
      <c r="D6140">
        <v>48</v>
      </c>
    </row>
    <row r="6141" spans="1:4" x14ac:dyDescent="0.25">
      <c r="A6141" t="str">
        <f>T("   IN")</f>
        <v xml:space="preserve">   IN</v>
      </c>
      <c r="B6141" t="str">
        <f>T("   Inde")</f>
        <v xml:space="preserve">   Inde</v>
      </c>
      <c r="C6141">
        <v>216283</v>
      </c>
      <c r="D6141">
        <v>895</v>
      </c>
    </row>
    <row r="6142" spans="1:4" x14ac:dyDescent="0.25">
      <c r="A6142" t="str">
        <f>T("   LB")</f>
        <v xml:space="preserve">   LB</v>
      </c>
      <c r="B6142" t="str">
        <f>T("   Liban")</f>
        <v xml:space="preserve">   Liban</v>
      </c>
      <c r="C6142">
        <v>7603</v>
      </c>
      <c r="D6142">
        <v>3.5</v>
      </c>
    </row>
    <row r="6143" spans="1:4" x14ac:dyDescent="0.25">
      <c r="A6143" t="str">
        <f>T("   MA")</f>
        <v xml:space="preserve">   MA</v>
      </c>
      <c r="B6143" t="str">
        <f>T("   Maroc")</f>
        <v xml:space="preserve">   Maroc</v>
      </c>
      <c r="C6143">
        <v>3280</v>
      </c>
      <c r="D6143">
        <v>250</v>
      </c>
    </row>
    <row r="6144" spans="1:4" x14ac:dyDescent="0.25">
      <c r="A6144" t="str">
        <f>T("   NL")</f>
        <v xml:space="preserve">   NL</v>
      </c>
      <c r="B6144" t="str">
        <f>T("   Pays-bas")</f>
        <v xml:space="preserve">   Pays-bas</v>
      </c>
      <c r="C6144">
        <v>7155754</v>
      </c>
      <c r="D6144">
        <v>1055.5</v>
      </c>
    </row>
    <row r="6145" spans="1:4" x14ac:dyDescent="0.25">
      <c r="A6145" t="str">
        <f>T("   SG")</f>
        <v xml:space="preserve">   SG</v>
      </c>
      <c r="B6145" t="str">
        <f>T("   Singapour")</f>
        <v xml:space="preserve">   Singapour</v>
      </c>
      <c r="C6145">
        <v>134530</v>
      </c>
      <c r="D6145">
        <v>84</v>
      </c>
    </row>
    <row r="6146" spans="1:4" x14ac:dyDescent="0.25">
      <c r="A6146" t="str">
        <f>T("   TG")</f>
        <v xml:space="preserve">   TG</v>
      </c>
      <c r="B6146" t="str">
        <f>T("   Togo")</f>
        <v xml:space="preserve">   Togo</v>
      </c>
      <c r="C6146">
        <v>2583803</v>
      </c>
      <c r="D6146">
        <v>3355</v>
      </c>
    </row>
    <row r="6147" spans="1:4" x14ac:dyDescent="0.25">
      <c r="A6147" t="str">
        <f>T("   TR")</f>
        <v xml:space="preserve">   TR</v>
      </c>
      <c r="B6147" t="str">
        <f>T("   Turquie")</f>
        <v xml:space="preserve">   Turquie</v>
      </c>
      <c r="C6147">
        <v>10495</v>
      </c>
      <c r="D6147">
        <v>10</v>
      </c>
    </row>
    <row r="6148" spans="1:4" x14ac:dyDescent="0.25">
      <c r="A6148" t="str">
        <f>T("   US")</f>
        <v xml:space="preserve">   US</v>
      </c>
      <c r="B6148" t="str">
        <f>T("   Etats-Unis")</f>
        <v xml:space="preserve">   Etats-Unis</v>
      </c>
      <c r="C6148">
        <v>35486</v>
      </c>
      <c r="D6148">
        <v>42</v>
      </c>
    </row>
    <row r="6149" spans="1:4" x14ac:dyDescent="0.25">
      <c r="A6149" t="str">
        <f>T("491110")</f>
        <v>491110</v>
      </c>
      <c r="B6149" t="str">
        <f>T("Imprimés publicitaires, catalogues commerciaux et simil.")</f>
        <v>Imprimés publicitaires, catalogues commerciaux et simil.</v>
      </c>
    </row>
    <row r="6150" spans="1:4" x14ac:dyDescent="0.25">
      <c r="A6150" t="str">
        <f>T("   ZZZ_Monde")</f>
        <v xml:space="preserve">   ZZZ_Monde</v>
      </c>
      <c r="B6150" t="str">
        <f>T("   ZZZ_Monde")</f>
        <v xml:space="preserve">   ZZZ_Monde</v>
      </c>
      <c r="C6150">
        <v>69721215</v>
      </c>
      <c r="D6150">
        <v>57391.5</v>
      </c>
    </row>
    <row r="6151" spans="1:4" x14ac:dyDescent="0.25">
      <c r="A6151" t="str">
        <f>T("   AE")</f>
        <v xml:space="preserve">   AE</v>
      </c>
      <c r="B6151" t="str">
        <f>T("   Emirats Arabes Unis")</f>
        <v xml:space="preserve">   Emirats Arabes Unis</v>
      </c>
      <c r="C6151">
        <v>10938736</v>
      </c>
      <c r="D6151">
        <v>14665</v>
      </c>
    </row>
    <row r="6152" spans="1:4" x14ac:dyDescent="0.25">
      <c r="A6152" t="str">
        <f>T("   AL")</f>
        <v xml:space="preserve">   AL</v>
      </c>
      <c r="B6152" t="str">
        <f>T("   Albanie")</f>
        <v xml:space="preserve">   Albanie</v>
      </c>
      <c r="C6152">
        <v>213056</v>
      </c>
      <c r="D6152">
        <v>367</v>
      </c>
    </row>
    <row r="6153" spans="1:4" x14ac:dyDescent="0.25">
      <c r="A6153" t="str">
        <f>T("   BE")</f>
        <v xml:space="preserve">   BE</v>
      </c>
      <c r="B6153" t="str">
        <f>T("   Belgique")</f>
        <v xml:space="preserve">   Belgique</v>
      </c>
      <c r="C6153">
        <v>484598</v>
      </c>
      <c r="D6153">
        <v>249</v>
      </c>
    </row>
    <row r="6154" spans="1:4" x14ac:dyDescent="0.25">
      <c r="A6154" t="str">
        <f>T("   BR")</f>
        <v xml:space="preserve">   BR</v>
      </c>
      <c r="B6154" t="str">
        <f>T("   Brésil")</f>
        <v xml:space="preserve">   Brésil</v>
      </c>
      <c r="C6154">
        <v>25000</v>
      </c>
      <c r="D6154">
        <v>55</v>
      </c>
    </row>
    <row r="6155" spans="1:4" x14ac:dyDescent="0.25">
      <c r="A6155" t="str">
        <f>T("   CA")</f>
        <v xml:space="preserve">   CA</v>
      </c>
      <c r="B6155" t="str">
        <f>T("   Canada")</f>
        <v xml:space="preserve">   Canada</v>
      </c>
      <c r="C6155">
        <v>427687</v>
      </c>
      <c r="D6155">
        <v>439</v>
      </c>
    </row>
    <row r="6156" spans="1:4" x14ac:dyDescent="0.25">
      <c r="A6156" t="str">
        <f>T("   CG")</f>
        <v xml:space="preserve">   CG</v>
      </c>
      <c r="B6156" t="str">
        <f>T("   Congo (Brazzaville)")</f>
        <v xml:space="preserve">   Congo (Brazzaville)</v>
      </c>
      <c r="C6156">
        <v>145000</v>
      </c>
      <c r="D6156">
        <v>379</v>
      </c>
    </row>
    <row r="6157" spans="1:4" x14ac:dyDescent="0.25">
      <c r="A6157" t="str">
        <f>T("   CH")</f>
        <v xml:space="preserve">   CH</v>
      </c>
      <c r="B6157" t="str">
        <f>T("   Suisse")</f>
        <v xml:space="preserve">   Suisse</v>
      </c>
      <c r="C6157">
        <v>338475</v>
      </c>
      <c r="D6157">
        <v>332</v>
      </c>
    </row>
    <row r="6158" spans="1:4" x14ac:dyDescent="0.25">
      <c r="A6158" t="str">
        <f>T("   CI")</f>
        <v xml:space="preserve">   CI</v>
      </c>
      <c r="B6158" t="str">
        <f>T("   Côte d'Ivoire")</f>
        <v xml:space="preserve">   Côte d'Ivoire</v>
      </c>
      <c r="C6158">
        <v>4440400</v>
      </c>
      <c r="D6158">
        <v>3202</v>
      </c>
    </row>
    <row r="6159" spans="1:4" x14ac:dyDescent="0.25">
      <c r="A6159" t="str">
        <f>T("   CN")</f>
        <v xml:space="preserve">   CN</v>
      </c>
      <c r="B6159" t="str">
        <f>T("   Chine")</f>
        <v xml:space="preserve">   Chine</v>
      </c>
      <c r="C6159">
        <v>5089387</v>
      </c>
      <c r="D6159">
        <v>7052</v>
      </c>
    </row>
    <row r="6160" spans="1:4" x14ac:dyDescent="0.25">
      <c r="A6160" t="str">
        <f>T("   DE")</f>
        <v xml:space="preserve">   DE</v>
      </c>
      <c r="B6160" t="str">
        <f>T("   Allemagne")</f>
        <v xml:space="preserve">   Allemagne</v>
      </c>
      <c r="C6160">
        <v>13808130</v>
      </c>
      <c r="D6160">
        <v>5033</v>
      </c>
    </row>
    <row r="6161" spans="1:4" x14ac:dyDescent="0.25">
      <c r="A6161" t="str">
        <f>T("   DK")</f>
        <v xml:space="preserve">   DK</v>
      </c>
      <c r="B6161" t="str">
        <f>T("   Danemark")</f>
        <v xml:space="preserve">   Danemark</v>
      </c>
      <c r="C6161">
        <v>1017423</v>
      </c>
      <c r="D6161">
        <v>855</v>
      </c>
    </row>
    <row r="6162" spans="1:4" x14ac:dyDescent="0.25">
      <c r="A6162" t="str">
        <f>T("   ES")</f>
        <v xml:space="preserve">   ES</v>
      </c>
      <c r="B6162" t="str">
        <f>T("   Espagne")</f>
        <v xml:space="preserve">   Espagne</v>
      </c>
      <c r="C6162">
        <v>81263</v>
      </c>
      <c r="D6162">
        <v>1068</v>
      </c>
    </row>
    <row r="6163" spans="1:4" x14ac:dyDescent="0.25">
      <c r="A6163" t="str">
        <f>T("   FR")</f>
        <v xml:space="preserve">   FR</v>
      </c>
      <c r="B6163" t="str">
        <f>T("   France")</f>
        <v xml:space="preserve">   France</v>
      </c>
      <c r="C6163">
        <v>25204310</v>
      </c>
      <c r="D6163">
        <v>8002.5</v>
      </c>
    </row>
    <row r="6164" spans="1:4" x14ac:dyDescent="0.25">
      <c r="A6164" t="str">
        <f>T("   IN")</f>
        <v xml:space="preserve">   IN</v>
      </c>
      <c r="B6164" t="str">
        <f>T("   Inde")</f>
        <v xml:space="preserve">   Inde</v>
      </c>
      <c r="C6164">
        <v>1097523</v>
      </c>
      <c r="D6164">
        <v>2171</v>
      </c>
    </row>
    <row r="6165" spans="1:4" x14ac:dyDescent="0.25">
      <c r="A6165" t="str">
        <f>T("   IS")</f>
        <v xml:space="preserve">   IS</v>
      </c>
      <c r="B6165" t="str">
        <f>T("   Islande")</f>
        <v xml:space="preserve">   Islande</v>
      </c>
      <c r="C6165">
        <v>112972</v>
      </c>
      <c r="D6165">
        <v>10</v>
      </c>
    </row>
    <row r="6166" spans="1:4" x14ac:dyDescent="0.25">
      <c r="A6166" t="str">
        <f>T("   IT")</f>
        <v xml:space="preserve">   IT</v>
      </c>
      <c r="B6166" t="str">
        <f>T("   Italie")</f>
        <v xml:space="preserve">   Italie</v>
      </c>
      <c r="C6166">
        <v>38951</v>
      </c>
      <c r="D6166">
        <v>56</v>
      </c>
    </row>
    <row r="6167" spans="1:4" x14ac:dyDescent="0.25">
      <c r="A6167" t="str">
        <f>T("   JP")</f>
        <v xml:space="preserve">   JP</v>
      </c>
      <c r="B6167" t="str">
        <f>T("   Japon")</f>
        <v xml:space="preserve">   Japon</v>
      </c>
      <c r="C6167">
        <v>161576</v>
      </c>
      <c r="D6167">
        <v>1</v>
      </c>
    </row>
    <row r="6168" spans="1:4" x14ac:dyDescent="0.25">
      <c r="A6168" t="str">
        <f>T("   LB")</f>
        <v xml:space="preserve">   LB</v>
      </c>
      <c r="B6168" t="str">
        <f>T("   Liban")</f>
        <v xml:space="preserve">   Liban</v>
      </c>
      <c r="C6168">
        <v>203584</v>
      </c>
      <c r="D6168">
        <v>421</v>
      </c>
    </row>
    <row r="6169" spans="1:4" x14ac:dyDescent="0.25">
      <c r="A6169" t="str">
        <f>T("   MA")</f>
        <v xml:space="preserve">   MA</v>
      </c>
      <c r="B6169" t="str">
        <f>T("   Maroc")</f>
        <v xml:space="preserve">   Maroc</v>
      </c>
      <c r="C6169">
        <v>255824</v>
      </c>
      <c r="D6169">
        <v>538</v>
      </c>
    </row>
    <row r="6170" spans="1:4" x14ac:dyDescent="0.25">
      <c r="A6170" t="str">
        <f>T("   NG")</f>
        <v xml:space="preserve">   NG</v>
      </c>
      <c r="B6170" t="str">
        <f>T("   Nigéria")</f>
        <v xml:space="preserve">   Nigéria</v>
      </c>
      <c r="C6170">
        <v>1376494</v>
      </c>
      <c r="D6170">
        <v>6270</v>
      </c>
    </row>
    <row r="6171" spans="1:4" x14ac:dyDescent="0.25">
      <c r="A6171" t="str">
        <f>T("   NL")</f>
        <v xml:space="preserve">   NL</v>
      </c>
      <c r="B6171" t="str">
        <f>T("   Pays-bas")</f>
        <v xml:space="preserve">   Pays-bas</v>
      </c>
      <c r="C6171">
        <v>2633374</v>
      </c>
      <c r="D6171">
        <v>3336</v>
      </c>
    </row>
    <row r="6172" spans="1:4" x14ac:dyDescent="0.25">
      <c r="A6172" t="str">
        <f>T("   PT")</f>
        <v xml:space="preserve">   PT</v>
      </c>
      <c r="B6172" t="str">
        <f>T("   Portugal")</f>
        <v xml:space="preserve">   Portugal</v>
      </c>
      <c r="C6172">
        <v>31486</v>
      </c>
      <c r="D6172">
        <v>510</v>
      </c>
    </row>
    <row r="6173" spans="1:4" x14ac:dyDescent="0.25">
      <c r="A6173" t="str">
        <f>T("   SG")</f>
        <v xml:space="preserve">   SG</v>
      </c>
      <c r="B6173" t="str">
        <f>T("   Singapour")</f>
        <v xml:space="preserve">   Singapour</v>
      </c>
      <c r="C6173">
        <v>94286</v>
      </c>
      <c r="D6173">
        <v>461</v>
      </c>
    </row>
    <row r="6174" spans="1:4" x14ac:dyDescent="0.25">
      <c r="A6174" t="str">
        <f>T("   SN")</f>
        <v xml:space="preserve">   SN</v>
      </c>
      <c r="B6174" t="str">
        <f>T("   Sénégal")</f>
        <v xml:space="preserve">   Sénégal</v>
      </c>
      <c r="C6174">
        <v>238603</v>
      </c>
      <c r="D6174">
        <v>87</v>
      </c>
    </row>
    <row r="6175" spans="1:4" x14ac:dyDescent="0.25">
      <c r="A6175" t="str">
        <f>T("   TG")</f>
        <v xml:space="preserve">   TG</v>
      </c>
      <c r="B6175" t="str">
        <f>T("   Togo")</f>
        <v xml:space="preserve">   Togo</v>
      </c>
      <c r="C6175">
        <v>10000</v>
      </c>
      <c r="D6175">
        <v>5</v>
      </c>
    </row>
    <row r="6176" spans="1:4" x14ac:dyDescent="0.25">
      <c r="A6176" t="str">
        <f>T("   TH")</f>
        <v xml:space="preserve">   TH</v>
      </c>
      <c r="B6176" t="str">
        <f>T("   Thaïlande")</f>
        <v xml:space="preserve">   Thaïlande</v>
      </c>
      <c r="C6176">
        <v>120041</v>
      </c>
      <c r="D6176">
        <v>98</v>
      </c>
    </row>
    <row r="6177" spans="1:4" x14ac:dyDescent="0.25">
      <c r="A6177" t="str">
        <f>T("   TN")</f>
        <v xml:space="preserve">   TN</v>
      </c>
      <c r="B6177" t="str">
        <f>T("   Tunisie")</f>
        <v xml:space="preserve">   Tunisie</v>
      </c>
      <c r="C6177">
        <v>422065</v>
      </c>
      <c r="D6177">
        <v>392</v>
      </c>
    </row>
    <row r="6178" spans="1:4" x14ac:dyDescent="0.25">
      <c r="A6178" t="str">
        <f>T("   TR")</f>
        <v xml:space="preserve">   TR</v>
      </c>
      <c r="B6178" t="str">
        <f>T("   Turquie")</f>
        <v xml:space="preserve">   Turquie</v>
      </c>
      <c r="C6178">
        <v>3355</v>
      </c>
      <c r="D6178">
        <v>60</v>
      </c>
    </row>
    <row r="6179" spans="1:4" x14ac:dyDescent="0.25">
      <c r="A6179" t="str">
        <f>T("   US")</f>
        <v xml:space="preserve">   US</v>
      </c>
      <c r="B6179" t="str">
        <f>T("   Etats-Unis")</f>
        <v xml:space="preserve">   Etats-Unis</v>
      </c>
      <c r="C6179">
        <v>707616</v>
      </c>
      <c r="D6179">
        <v>1277</v>
      </c>
    </row>
    <row r="6180" spans="1:4" x14ac:dyDescent="0.25">
      <c r="A6180" t="str">
        <f>T("491191")</f>
        <v>491191</v>
      </c>
      <c r="B6180" t="str">
        <f>T("Images, gravures et photographies, n.d.a.")</f>
        <v>Images, gravures et photographies, n.d.a.</v>
      </c>
    </row>
    <row r="6181" spans="1:4" x14ac:dyDescent="0.25">
      <c r="A6181" t="str">
        <f>T("   ZZZ_Monde")</f>
        <v xml:space="preserve">   ZZZ_Monde</v>
      </c>
      <c r="B6181" t="str">
        <f>T("   ZZZ_Monde")</f>
        <v xml:space="preserve">   ZZZ_Monde</v>
      </c>
      <c r="C6181">
        <v>22289429</v>
      </c>
      <c r="D6181">
        <v>78288</v>
      </c>
    </row>
    <row r="6182" spans="1:4" x14ac:dyDescent="0.25">
      <c r="A6182" t="str">
        <f>T("   CN")</f>
        <v xml:space="preserve">   CN</v>
      </c>
      <c r="B6182" t="str">
        <f>T("   Chine")</f>
        <v xml:space="preserve">   Chine</v>
      </c>
      <c r="C6182">
        <v>20952330</v>
      </c>
      <c r="D6182">
        <v>77071</v>
      </c>
    </row>
    <row r="6183" spans="1:4" x14ac:dyDescent="0.25">
      <c r="A6183" t="str">
        <f>T("   DE")</f>
        <v xml:space="preserve">   DE</v>
      </c>
      <c r="B6183" t="str">
        <f>T("   Allemagne")</f>
        <v xml:space="preserve">   Allemagne</v>
      </c>
      <c r="C6183">
        <v>692713</v>
      </c>
      <c r="D6183">
        <v>129</v>
      </c>
    </row>
    <row r="6184" spans="1:4" x14ac:dyDescent="0.25">
      <c r="A6184" t="str">
        <f>T("   ES")</f>
        <v xml:space="preserve">   ES</v>
      </c>
      <c r="B6184" t="str">
        <f>T("   Espagne")</f>
        <v xml:space="preserve">   Espagne</v>
      </c>
      <c r="C6184">
        <v>39384</v>
      </c>
      <c r="D6184">
        <v>1</v>
      </c>
    </row>
    <row r="6185" spans="1:4" x14ac:dyDescent="0.25">
      <c r="A6185" t="str">
        <f>T("   FR")</f>
        <v xml:space="preserve">   FR</v>
      </c>
      <c r="B6185" t="str">
        <f>T("   France")</f>
        <v xml:space="preserve">   France</v>
      </c>
      <c r="C6185">
        <v>39613</v>
      </c>
      <c r="D6185">
        <v>7</v>
      </c>
    </row>
    <row r="6186" spans="1:4" x14ac:dyDescent="0.25">
      <c r="A6186" t="str">
        <f>T("   IT")</f>
        <v xml:space="preserve">   IT</v>
      </c>
      <c r="B6186" t="str">
        <f>T("   Italie")</f>
        <v xml:space="preserve">   Italie</v>
      </c>
      <c r="C6186">
        <v>525555</v>
      </c>
      <c r="D6186">
        <v>1000</v>
      </c>
    </row>
    <row r="6187" spans="1:4" x14ac:dyDescent="0.25">
      <c r="A6187" t="str">
        <f>T("   US")</f>
        <v xml:space="preserve">   US</v>
      </c>
      <c r="B6187" t="str">
        <f>T("   Etats-Unis")</f>
        <v xml:space="preserve">   Etats-Unis</v>
      </c>
      <c r="C6187">
        <v>39834</v>
      </c>
      <c r="D6187">
        <v>80</v>
      </c>
    </row>
    <row r="6188" spans="1:4" x14ac:dyDescent="0.25">
      <c r="A6188" t="str">
        <f>T("491199")</f>
        <v>491199</v>
      </c>
      <c r="B6188" t="str">
        <f>T("Imprimés, n.d.a.")</f>
        <v>Imprimés, n.d.a.</v>
      </c>
    </row>
    <row r="6189" spans="1:4" x14ac:dyDescent="0.25">
      <c r="A6189" t="str">
        <f>T("   ZZZ_Monde")</f>
        <v xml:space="preserve">   ZZZ_Monde</v>
      </c>
      <c r="B6189" t="str">
        <f>T("   ZZZ_Monde")</f>
        <v xml:space="preserve">   ZZZ_Monde</v>
      </c>
      <c r="C6189">
        <v>489012139</v>
      </c>
      <c r="D6189">
        <v>78365</v>
      </c>
    </row>
    <row r="6190" spans="1:4" x14ac:dyDescent="0.25">
      <c r="A6190" t="str">
        <f>T("   AE")</f>
        <v xml:space="preserve">   AE</v>
      </c>
      <c r="B6190" t="str">
        <f>T("   Emirats Arabes Unis")</f>
        <v xml:space="preserve">   Emirats Arabes Unis</v>
      </c>
      <c r="C6190">
        <v>273798</v>
      </c>
      <c r="D6190">
        <v>185</v>
      </c>
    </row>
    <row r="6191" spans="1:4" x14ac:dyDescent="0.25">
      <c r="A6191" t="str">
        <f>T("   BR")</f>
        <v xml:space="preserve">   BR</v>
      </c>
      <c r="B6191" t="str">
        <f>T("   Brésil")</f>
        <v xml:space="preserve">   Brésil</v>
      </c>
      <c r="C6191">
        <v>16423</v>
      </c>
      <c r="D6191">
        <v>3</v>
      </c>
    </row>
    <row r="6192" spans="1:4" x14ac:dyDescent="0.25">
      <c r="A6192" t="str">
        <f>T("   CA")</f>
        <v xml:space="preserve">   CA</v>
      </c>
      <c r="B6192" t="str">
        <f>T("   Canada")</f>
        <v xml:space="preserve">   Canada</v>
      </c>
      <c r="C6192">
        <v>90790</v>
      </c>
      <c r="D6192">
        <v>340</v>
      </c>
    </row>
    <row r="6193" spans="1:4" x14ac:dyDescent="0.25">
      <c r="A6193" t="str">
        <f>T("   CH")</f>
        <v xml:space="preserve">   CH</v>
      </c>
      <c r="B6193" t="str">
        <f>T("   Suisse")</f>
        <v xml:space="preserve">   Suisse</v>
      </c>
      <c r="C6193">
        <v>68220</v>
      </c>
      <c r="D6193">
        <v>115</v>
      </c>
    </row>
    <row r="6194" spans="1:4" x14ac:dyDescent="0.25">
      <c r="A6194" t="str">
        <f>T("   CN")</f>
        <v xml:space="preserve">   CN</v>
      </c>
      <c r="B6194" t="str">
        <f>T("   Chine")</f>
        <v xml:space="preserve">   Chine</v>
      </c>
      <c r="C6194">
        <v>58013939</v>
      </c>
      <c r="D6194">
        <v>14633</v>
      </c>
    </row>
    <row r="6195" spans="1:4" x14ac:dyDescent="0.25">
      <c r="A6195" t="str">
        <f>T("   DE")</f>
        <v xml:space="preserve">   DE</v>
      </c>
      <c r="B6195" t="str">
        <f>T("   Allemagne")</f>
        <v xml:space="preserve">   Allemagne</v>
      </c>
      <c r="C6195">
        <v>298331</v>
      </c>
      <c r="D6195">
        <v>193</v>
      </c>
    </row>
    <row r="6196" spans="1:4" x14ac:dyDescent="0.25">
      <c r="A6196" t="str">
        <f>T("   DK")</f>
        <v xml:space="preserve">   DK</v>
      </c>
      <c r="B6196" t="str">
        <f>T("   Danemark")</f>
        <v xml:space="preserve">   Danemark</v>
      </c>
      <c r="C6196">
        <v>1087050</v>
      </c>
      <c r="D6196">
        <v>300</v>
      </c>
    </row>
    <row r="6197" spans="1:4" x14ac:dyDescent="0.25">
      <c r="A6197" t="str">
        <f>T("   ES")</f>
        <v xml:space="preserve">   ES</v>
      </c>
      <c r="B6197" t="str">
        <f>T("   Espagne")</f>
        <v xml:space="preserve">   Espagne</v>
      </c>
      <c r="C6197">
        <v>26423381</v>
      </c>
      <c r="D6197">
        <v>5480</v>
      </c>
    </row>
    <row r="6198" spans="1:4" x14ac:dyDescent="0.25">
      <c r="A6198" t="str">
        <f>T("   FI")</f>
        <v xml:space="preserve">   FI</v>
      </c>
      <c r="B6198" t="str">
        <f>T("   Finlande")</f>
        <v xml:space="preserve">   Finlande</v>
      </c>
      <c r="C6198">
        <v>764849</v>
      </c>
      <c r="D6198">
        <v>11</v>
      </c>
    </row>
    <row r="6199" spans="1:4" x14ac:dyDescent="0.25">
      <c r="A6199" t="str">
        <f>T("   FR")</f>
        <v xml:space="preserve">   FR</v>
      </c>
      <c r="B6199" t="str">
        <f>T("   France")</f>
        <v xml:space="preserve">   France</v>
      </c>
      <c r="C6199">
        <v>83621683</v>
      </c>
      <c r="D6199">
        <v>16827</v>
      </c>
    </row>
    <row r="6200" spans="1:4" x14ac:dyDescent="0.25">
      <c r="A6200" t="str">
        <f>T("   GB")</f>
        <v xml:space="preserve">   GB</v>
      </c>
      <c r="B6200" t="str">
        <f>T("   Royaume-Uni")</f>
        <v xml:space="preserve">   Royaume-Uni</v>
      </c>
      <c r="C6200">
        <v>102726603</v>
      </c>
      <c r="D6200">
        <v>13720</v>
      </c>
    </row>
    <row r="6201" spans="1:4" x14ac:dyDescent="0.25">
      <c r="A6201" t="str">
        <f>T("   GE")</f>
        <v xml:space="preserve">   GE</v>
      </c>
      <c r="B6201" t="str">
        <f>T("   Géorgie")</f>
        <v xml:space="preserve">   Géorgie</v>
      </c>
      <c r="C6201">
        <v>113735</v>
      </c>
      <c r="D6201">
        <v>20</v>
      </c>
    </row>
    <row r="6202" spans="1:4" x14ac:dyDescent="0.25">
      <c r="A6202" t="str">
        <f>T("   IN")</f>
        <v xml:space="preserve">   IN</v>
      </c>
      <c r="B6202" t="str">
        <f>T("   Inde")</f>
        <v xml:space="preserve">   Inde</v>
      </c>
      <c r="C6202">
        <v>153194898</v>
      </c>
      <c r="D6202">
        <v>13940</v>
      </c>
    </row>
    <row r="6203" spans="1:4" x14ac:dyDescent="0.25">
      <c r="A6203" t="str">
        <f>T("   NG")</f>
        <v xml:space="preserve">   NG</v>
      </c>
      <c r="B6203" t="str">
        <f>T("   Nigéria")</f>
        <v xml:space="preserve">   Nigéria</v>
      </c>
      <c r="C6203">
        <v>38557200</v>
      </c>
      <c r="D6203">
        <v>5700</v>
      </c>
    </row>
    <row r="6204" spans="1:4" x14ac:dyDescent="0.25">
      <c r="A6204" t="str">
        <f>T("   NL")</f>
        <v xml:space="preserve">   NL</v>
      </c>
      <c r="B6204" t="str">
        <f>T("   Pays-bas")</f>
        <v xml:space="preserve">   Pays-bas</v>
      </c>
      <c r="C6204">
        <v>2792848</v>
      </c>
      <c r="D6204">
        <v>1995</v>
      </c>
    </row>
    <row r="6205" spans="1:4" x14ac:dyDescent="0.25">
      <c r="A6205" t="str">
        <f>T("   PL")</f>
        <v xml:space="preserve">   PL</v>
      </c>
      <c r="B6205" t="str">
        <f>T("   Pologne")</f>
        <v xml:space="preserve">   Pologne</v>
      </c>
      <c r="C6205">
        <v>65596</v>
      </c>
      <c r="D6205">
        <v>800</v>
      </c>
    </row>
    <row r="6206" spans="1:4" x14ac:dyDescent="0.25">
      <c r="A6206" t="str">
        <f>T("   PT")</f>
        <v xml:space="preserve">   PT</v>
      </c>
      <c r="B6206" t="str">
        <f>T("   Portugal")</f>
        <v xml:space="preserve">   Portugal</v>
      </c>
      <c r="C6206">
        <v>203348</v>
      </c>
      <c r="D6206">
        <v>38</v>
      </c>
    </row>
    <row r="6207" spans="1:4" x14ac:dyDescent="0.25">
      <c r="A6207" t="str">
        <f>T("   SN")</f>
        <v xml:space="preserve">   SN</v>
      </c>
      <c r="B6207" t="str">
        <f>T("   Sénégal")</f>
        <v xml:space="preserve">   Sénégal</v>
      </c>
      <c r="C6207">
        <v>4115802</v>
      </c>
      <c r="D6207">
        <v>1468</v>
      </c>
    </row>
    <row r="6208" spans="1:4" x14ac:dyDescent="0.25">
      <c r="A6208" t="str">
        <f>T("   UM")</f>
        <v xml:space="preserve">   UM</v>
      </c>
      <c r="B6208" t="str">
        <f>T("   îles mineures éloignées(Etats-Unis)")</f>
        <v xml:space="preserve">   îles mineures éloignées(Etats-Unis)</v>
      </c>
      <c r="C6208">
        <v>16016224</v>
      </c>
      <c r="D6208">
        <v>2152</v>
      </c>
    </row>
    <row r="6209" spans="1:4" x14ac:dyDescent="0.25">
      <c r="A6209" t="str">
        <f>T("   US")</f>
        <v xml:space="preserve">   US</v>
      </c>
      <c r="B6209" t="str">
        <f>T("   Etats-Unis")</f>
        <v xml:space="preserve">   Etats-Unis</v>
      </c>
      <c r="C6209">
        <v>154166</v>
      </c>
      <c r="D6209">
        <v>280</v>
      </c>
    </row>
    <row r="6210" spans="1:4" x14ac:dyDescent="0.25">
      <c r="A6210" t="str">
        <f>T("   ZA")</f>
        <v xml:space="preserve">   ZA</v>
      </c>
      <c r="B6210" t="str">
        <f>T("   Afrique du Sud")</f>
        <v xml:space="preserve">   Afrique du Sud</v>
      </c>
      <c r="C6210">
        <v>413255</v>
      </c>
      <c r="D6210">
        <v>165</v>
      </c>
    </row>
    <row r="6211" spans="1:4" x14ac:dyDescent="0.25">
      <c r="A6211" t="str">
        <f>T("500200")</f>
        <v>500200</v>
      </c>
      <c r="B6211" t="str">
        <f>T("Soie grège [non moulinée]")</f>
        <v>Soie grège [non moulinée]</v>
      </c>
    </row>
    <row r="6212" spans="1:4" x14ac:dyDescent="0.25">
      <c r="A6212" t="str">
        <f>T("   ZZZ_Monde")</f>
        <v xml:space="preserve">   ZZZ_Monde</v>
      </c>
      <c r="B6212" t="str">
        <f>T("   ZZZ_Monde")</f>
        <v xml:space="preserve">   ZZZ_Monde</v>
      </c>
      <c r="C6212">
        <v>450000</v>
      </c>
      <c r="D6212">
        <v>151</v>
      </c>
    </row>
    <row r="6213" spans="1:4" x14ac:dyDescent="0.25">
      <c r="A6213" t="str">
        <f>T("   CH")</f>
        <v xml:space="preserve">   CH</v>
      </c>
      <c r="B6213" t="str">
        <f>T("   Suisse")</f>
        <v xml:space="preserve">   Suisse</v>
      </c>
      <c r="C6213">
        <v>450000</v>
      </c>
      <c r="D6213">
        <v>151</v>
      </c>
    </row>
    <row r="6214" spans="1:4" x14ac:dyDescent="0.25">
      <c r="A6214" t="str">
        <f>T("500790")</f>
        <v>500790</v>
      </c>
      <c r="B6214" t="str">
        <f>T("Tissus de soie ou de déchets de soie (autres que la bourrette), contenant en prédominance, mais &lt; 85% de soie ou de déchets de soie")</f>
        <v>Tissus de soie ou de déchets de soie (autres que la bourrette), contenant en prédominance, mais &lt; 85% de soie ou de déchets de soie</v>
      </c>
    </row>
    <row r="6215" spans="1:4" x14ac:dyDescent="0.25">
      <c r="A6215" t="str">
        <f>T("   ZZZ_Monde")</f>
        <v xml:space="preserve">   ZZZ_Monde</v>
      </c>
      <c r="B6215" t="str">
        <f>T("   ZZZ_Monde")</f>
        <v xml:space="preserve">   ZZZ_Monde</v>
      </c>
      <c r="C6215">
        <v>3862637</v>
      </c>
      <c r="D6215">
        <v>10499</v>
      </c>
    </row>
    <row r="6216" spans="1:4" x14ac:dyDescent="0.25">
      <c r="A6216" t="str">
        <f>T("   BE")</f>
        <v xml:space="preserve">   BE</v>
      </c>
      <c r="B6216" t="str">
        <f>T("   Belgique")</f>
        <v xml:space="preserve">   Belgique</v>
      </c>
      <c r="C6216">
        <v>29518</v>
      </c>
      <c r="D6216">
        <v>19</v>
      </c>
    </row>
    <row r="6217" spans="1:4" x14ac:dyDescent="0.25">
      <c r="A6217" t="str">
        <f>T("   CN")</f>
        <v xml:space="preserve">   CN</v>
      </c>
      <c r="B6217" t="str">
        <f>T("   Chine")</f>
        <v xml:space="preserve">   Chine</v>
      </c>
      <c r="C6217">
        <v>3440119</v>
      </c>
      <c r="D6217">
        <v>9748</v>
      </c>
    </row>
    <row r="6218" spans="1:4" x14ac:dyDescent="0.25">
      <c r="A6218" t="str">
        <f>T("   FR")</f>
        <v xml:space="preserve">   FR</v>
      </c>
      <c r="B6218" t="str">
        <f>T("   France")</f>
        <v xml:space="preserve">   France</v>
      </c>
      <c r="C6218">
        <v>393000</v>
      </c>
      <c r="D6218">
        <v>732</v>
      </c>
    </row>
    <row r="6219" spans="1:4" x14ac:dyDescent="0.25">
      <c r="A6219" t="str">
        <f>T("510910")</f>
        <v>510910</v>
      </c>
      <c r="B6219" t="str">
        <f>T("Fils de laine ou de poils fins, contenant &gt;= 85% en poids de laine ou de poils fins, conditionnés pour la vente au détail")</f>
        <v>Fils de laine ou de poils fins, contenant &gt;= 85% en poids de laine ou de poils fins, conditionnés pour la vente au détail</v>
      </c>
    </row>
    <row r="6220" spans="1:4" x14ac:dyDescent="0.25">
      <c r="A6220" t="str">
        <f>T("   ZZZ_Monde")</f>
        <v xml:space="preserve">   ZZZ_Monde</v>
      </c>
      <c r="B6220" t="str">
        <f>T("   ZZZ_Monde")</f>
        <v xml:space="preserve">   ZZZ_Monde</v>
      </c>
      <c r="C6220">
        <v>18000</v>
      </c>
      <c r="D6220">
        <v>10</v>
      </c>
    </row>
    <row r="6221" spans="1:4" x14ac:dyDescent="0.25">
      <c r="A6221" t="str">
        <f>T("   NG")</f>
        <v xml:space="preserve">   NG</v>
      </c>
      <c r="B6221" t="str">
        <f>T("   Nigéria")</f>
        <v xml:space="preserve">   Nigéria</v>
      </c>
      <c r="C6221">
        <v>18000</v>
      </c>
      <c r="D6221">
        <v>10</v>
      </c>
    </row>
    <row r="6222" spans="1:4" x14ac:dyDescent="0.25">
      <c r="A6222" t="str">
        <f>T("511190")</f>
        <v>511190</v>
      </c>
      <c r="B6222" t="str">
        <f>T("Tissus de laine cardée ou de poils fins cardés, contenant en prédominance, mais &lt; 85% en poids de laine ou de poils fins (à l'excl. des tissus de laine ou de poils fins mélangés principalement ou uniquement avec des filaments synthétiques ou artificiels o")</f>
        <v>Tissus de laine cardée ou de poils fins cardés, contenant en prédominance, mais &lt; 85% en poids de laine ou de poils fins (à l'excl. des tissus de laine ou de poils fins mélangés principalement ou uniquement avec des filaments synthétiques ou artificiels o</v>
      </c>
    </row>
    <row r="6223" spans="1:4" x14ac:dyDescent="0.25">
      <c r="A6223" t="str">
        <f>T("   ZZZ_Monde")</f>
        <v xml:space="preserve">   ZZZ_Monde</v>
      </c>
      <c r="B6223" t="str">
        <f>T("   ZZZ_Monde")</f>
        <v xml:space="preserve">   ZZZ_Monde</v>
      </c>
      <c r="C6223">
        <v>8816759</v>
      </c>
      <c r="D6223">
        <v>840</v>
      </c>
    </row>
    <row r="6224" spans="1:4" x14ac:dyDescent="0.25">
      <c r="A6224" t="str">
        <f>T("   FR")</f>
        <v xml:space="preserve">   FR</v>
      </c>
      <c r="B6224" t="str">
        <f>T("   France")</f>
        <v xml:space="preserve">   France</v>
      </c>
      <c r="C6224">
        <v>8816759</v>
      </c>
      <c r="D6224">
        <v>840</v>
      </c>
    </row>
    <row r="6225" spans="1:4" x14ac:dyDescent="0.25">
      <c r="A6225" t="str">
        <f>T("511290")</f>
        <v>511290</v>
      </c>
      <c r="B6225" t="str">
        <f>T("Tissus de laine peignée ou de poils fins peignés, contenant en prédominance, mais &lt; 85% en poids de laine ou de poils fins (à l'excl. des tissus de laine ou de poils fins mélangés principalement ou uniquement avec des filaments synthétiques ou artificiels")</f>
        <v>Tissus de laine peignée ou de poils fins peignés, contenant en prédominance, mais &lt; 85% en poids de laine ou de poils fins (à l'excl. des tissus de laine ou de poils fins mélangés principalement ou uniquement avec des filaments synthétiques ou artificiels</v>
      </c>
    </row>
    <row r="6226" spans="1:4" x14ac:dyDescent="0.25">
      <c r="A6226" t="str">
        <f>T("   ZZZ_Monde")</f>
        <v xml:space="preserve">   ZZZ_Monde</v>
      </c>
      <c r="B6226" t="str">
        <f>T("   ZZZ_Monde")</f>
        <v xml:space="preserve">   ZZZ_Monde</v>
      </c>
      <c r="C6226">
        <v>7561251</v>
      </c>
      <c r="D6226">
        <v>1317</v>
      </c>
    </row>
    <row r="6227" spans="1:4" x14ac:dyDescent="0.25">
      <c r="A6227" t="str">
        <f>T("   FR")</f>
        <v xml:space="preserve">   FR</v>
      </c>
      <c r="B6227" t="str">
        <f>T("   France")</f>
        <v xml:space="preserve">   France</v>
      </c>
      <c r="C6227">
        <v>7561251</v>
      </c>
      <c r="D6227">
        <v>1317</v>
      </c>
    </row>
    <row r="6228" spans="1:4" x14ac:dyDescent="0.25">
      <c r="A6228" t="str">
        <f>T("511300")</f>
        <v>511300</v>
      </c>
      <c r="B6228" t="str">
        <f>T("Tissus de poils grossiers ou de crin (à l'excl. des tissus pour usages techniques du n° 5911)")</f>
        <v>Tissus de poils grossiers ou de crin (à l'excl. des tissus pour usages techniques du n° 5911)</v>
      </c>
    </row>
    <row r="6229" spans="1:4" x14ac:dyDescent="0.25">
      <c r="A6229" t="str">
        <f>T("   ZZZ_Monde")</f>
        <v xml:space="preserve">   ZZZ_Monde</v>
      </c>
      <c r="B6229" t="str">
        <f>T("   ZZZ_Monde")</f>
        <v xml:space="preserve">   ZZZ_Monde</v>
      </c>
      <c r="C6229">
        <v>9000000</v>
      </c>
      <c r="D6229">
        <v>15200</v>
      </c>
    </row>
    <row r="6230" spans="1:4" x14ac:dyDescent="0.25">
      <c r="A6230" t="str">
        <f>T("   CN")</f>
        <v xml:space="preserve">   CN</v>
      </c>
      <c r="B6230" t="str">
        <f>T("   Chine")</f>
        <v xml:space="preserve">   Chine</v>
      </c>
      <c r="C6230">
        <v>6000000</v>
      </c>
      <c r="D6230">
        <v>10200</v>
      </c>
    </row>
    <row r="6231" spans="1:4" x14ac:dyDescent="0.25">
      <c r="A6231" t="str">
        <f>T("   TG")</f>
        <v xml:space="preserve">   TG</v>
      </c>
      <c r="B6231" t="str">
        <f>T("   Togo")</f>
        <v xml:space="preserve">   Togo</v>
      </c>
      <c r="C6231">
        <v>3000000</v>
      </c>
      <c r="D6231">
        <v>5000</v>
      </c>
    </row>
    <row r="6232" spans="1:4" x14ac:dyDescent="0.25">
      <c r="A6232" t="str">
        <f>T("520100")</f>
        <v>520100</v>
      </c>
      <c r="B6232" t="str">
        <f>T("COTON, NON-CARDÉ NI PEIGNÉ")</f>
        <v>COTON, NON-CARDÉ NI PEIGNÉ</v>
      </c>
    </row>
    <row r="6233" spans="1:4" x14ac:dyDescent="0.25">
      <c r="A6233" t="str">
        <f>T("   ZZZ_Monde")</f>
        <v xml:space="preserve">   ZZZ_Monde</v>
      </c>
      <c r="B6233" t="str">
        <f>T("   ZZZ_Monde")</f>
        <v xml:space="preserve">   ZZZ_Monde</v>
      </c>
      <c r="C6233">
        <v>1350000</v>
      </c>
      <c r="D6233">
        <v>1300</v>
      </c>
    </row>
    <row r="6234" spans="1:4" x14ac:dyDescent="0.25">
      <c r="A6234" t="str">
        <f>T("   TG")</f>
        <v xml:space="preserve">   TG</v>
      </c>
      <c r="B6234" t="str">
        <f>T("   Togo")</f>
        <v xml:space="preserve">   Togo</v>
      </c>
      <c r="C6234">
        <v>1350000</v>
      </c>
      <c r="D6234">
        <v>1300</v>
      </c>
    </row>
    <row r="6235" spans="1:4" x14ac:dyDescent="0.25">
      <c r="A6235" t="str">
        <f>T("520299")</f>
        <v>520299</v>
      </c>
      <c r="B6235" t="str">
        <f>T("Déchets de coton (à l'excl. des déchets de fils et des effilochés)")</f>
        <v>Déchets de coton (à l'excl. des déchets de fils et des effilochés)</v>
      </c>
    </row>
    <row r="6236" spans="1:4" x14ac:dyDescent="0.25">
      <c r="A6236" t="str">
        <f>T("   ZZZ_Monde")</f>
        <v xml:space="preserve">   ZZZ_Monde</v>
      </c>
      <c r="B6236" t="str">
        <f>T("   ZZZ_Monde")</f>
        <v xml:space="preserve">   ZZZ_Monde</v>
      </c>
      <c r="C6236">
        <v>1021638</v>
      </c>
      <c r="D6236">
        <v>7248</v>
      </c>
    </row>
    <row r="6237" spans="1:4" x14ac:dyDescent="0.25">
      <c r="A6237" t="str">
        <f>T("   FR")</f>
        <v xml:space="preserve">   FR</v>
      </c>
      <c r="B6237" t="str">
        <f>T("   France")</f>
        <v xml:space="preserve">   France</v>
      </c>
      <c r="C6237">
        <v>211638</v>
      </c>
      <c r="D6237">
        <v>26</v>
      </c>
    </row>
    <row r="6238" spans="1:4" x14ac:dyDescent="0.25">
      <c r="A6238" t="str">
        <f>T("   TG")</f>
        <v xml:space="preserve">   TG</v>
      </c>
      <c r="B6238" t="str">
        <f>T("   Togo")</f>
        <v xml:space="preserve">   Togo</v>
      </c>
      <c r="C6238">
        <v>600000</v>
      </c>
      <c r="D6238">
        <v>1950</v>
      </c>
    </row>
    <row r="6239" spans="1:4" x14ac:dyDescent="0.25">
      <c r="A6239" t="str">
        <f>T("   Z2")</f>
        <v xml:space="preserve">   Z2</v>
      </c>
      <c r="B6239" t="str">
        <f>T("   Pays non défini")</f>
        <v xml:space="preserve">   Pays non défini</v>
      </c>
      <c r="C6239">
        <v>210000</v>
      </c>
      <c r="D6239">
        <v>5272</v>
      </c>
    </row>
    <row r="6240" spans="1:4" x14ac:dyDescent="0.25">
      <c r="A6240" t="str">
        <f>T("520300")</f>
        <v>520300</v>
      </c>
      <c r="B6240" t="str">
        <f>T("Coton, cardé ou peigné")</f>
        <v>Coton, cardé ou peigné</v>
      </c>
    </row>
    <row r="6241" spans="1:4" x14ac:dyDescent="0.25">
      <c r="A6241" t="str">
        <f>T("   ZZZ_Monde")</f>
        <v xml:space="preserve">   ZZZ_Monde</v>
      </c>
      <c r="B6241" t="str">
        <f>T("   ZZZ_Monde")</f>
        <v xml:space="preserve">   ZZZ_Monde</v>
      </c>
      <c r="C6241">
        <v>20197291</v>
      </c>
      <c r="D6241">
        <v>28141</v>
      </c>
    </row>
    <row r="6242" spans="1:4" x14ac:dyDescent="0.25">
      <c r="A6242" t="str">
        <f>T("   CN")</f>
        <v xml:space="preserve">   CN</v>
      </c>
      <c r="B6242" t="str">
        <f>T("   Chine")</f>
        <v xml:space="preserve">   Chine</v>
      </c>
      <c r="C6242">
        <v>2362684</v>
      </c>
      <c r="D6242">
        <v>2419</v>
      </c>
    </row>
    <row r="6243" spans="1:4" x14ac:dyDescent="0.25">
      <c r="A6243" t="str">
        <f>T("   NG")</f>
        <v xml:space="preserve">   NG</v>
      </c>
      <c r="B6243" t="str">
        <f>T("   Nigéria")</f>
        <v xml:space="preserve">   Nigéria</v>
      </c>
      <c r="C6243">
        <v>657000</v>
      </c>
      <c r="D6243">
        <v>1095</v>
      </c>
    </row>
    <row r="6244" spans="1:4" x14ac:dyDescent="0.25">
      <c r="A6244" t="str">
        <f>T("   TG")</f>
        <v xml:space="preserve">   TG</v>
      </c>
      <c r="B6244" t="str">
        <f>T("   Togo")</f>
        <v xml:space="preserve">   Togo</v>
      </c>
      <c r="C6244">
        <v>4607612</v>
      </c>
      <c r="D6244">
        <v>11225</v>
      </c>
    </row>
    <row r="6245" spans="1:4" x14ac:dyDescent="0.25">
      <c r="A6245" t="str">
        <f>T("   TR")</f>
        <v xml:space="preserve">   TR</v>
      </c>
      <c r="B6245" t="str">
        <f>T("   Turquie")</f>
        <v xml:space="preserve">   Turquie</v>
      </c>
      <c r="C6245">
        <v>12569995</v>
      </c>
      <c r="D6245">
        <v>13402</v>
      </c>
    </row>
    <row r="6246" spans="1:4" x14ac:dyDescent="0.25">
      <c r="A6246" t="str">
        <f>T("520411")</f>
        <v>520411</v>
      </c>
      <c r="B6246" t="str">
        <f>T("Fils à coudre de coton, contenant &gt;= 85% en poids de coton, non conditionnés pour la vente au détail")</f>
        <v>Fils à coudre de coton, contenant &gt;= 85% en poids de coton, non conditionnés pour la vente au détail</v>
      </c>
    </row>
    <row r="6247" spans="1:4" x14ac:dyDescent="0.25">
      <c r="A6247" t="str">
        <f>T("   ZZZ_Monde")</f>
        <v xml:space="preserve">   ZZZ_Monde</v>
      </c>
      <c r="B6247" t="str">
        <f>T("   ZZZ_Monde")</f>
        <v xml:space="preserve">   ZZZ_Monde</v>
      </c>
      <c r="C6247">
        <v>2885206</v>
      </c>
      <c r="D6247">
        <v>5763</v>
      </c>
    </row>
    <row r="6248" spans="1:4" x14ac:dyDescent="0.25">
      <c r="A6248" t="str">
        <f>T("   TG")</f>
        <v xml:space="preserve">   TG</v>
      </c>
      <c r="B6248" t="str">
        <f>T("   Togo")</f>
        <v xml:space="preserve">   Togo</v>
      </c>
      <c r="C6248">
        <v>2885206</v>
      </c>
      <c r="D6248">
        <v>5763</v>
      </c>
    </row>
    <row r="6249" spans="1:4" x14ac:dyDescent="0.25">
      <c r="A6249" t="str">
        <f>T("520419")</f>
        <v>520419</v>
      </c>
      <c r="B6249" t="str">
        <f>T("Fils à coudre de coton, contenant en prédominance, mais &lt; 85% en poids de coton, non conditionnés pour la vente au détail")</f>
        <v>Fils à coudre de coton, contenant en prédominance, mais &lt; 85% en poids de coton, non conditionnés pour la vente au détail</v>
      </c>
    </row>
    <row r="6250" spans="1:4" x14ac:dyDescent="0.25">
      <c r="A6250" t="str">
        <f>T("   ZZZ_Monde")</f>
        <v xml:space="preserve">   ZZZ_Monde</v>
      </c>
      <c r="B6250" t="str">
        <f>T("   ZZZ_Monde")</f>
        <v xml:space="preserve">   ZZZ_Monde</v>
      </c>
      <c r="C6250">
        <v>16410461</v>
      </c>
      <c r="D6250">
        <v>25186</v>
      </c>
    </row>
    <row r="6251" spans="1:4" x14ac:dyDescent="0.25">
      <c r="A6251" t="str">
        <f>T("   CN")</f>
        <v xml:space="preserve">   CN</v>
      </c>
      <c r="B6251" t="str">
        <f>T("   Chine")</f>
        <v xml:space="preserve">   Chine</v>
      </c>
      <c r="C6251">
        <v>8953631</v>
      </c>
      <c r="D6251">
        <v>9246</v>
      </c>
    </row>
    <row r="6252" spans="1:4" x14ac:dyDescent="0.25">
      <c r="A6252" t="str">
        <f>T("   GH")</f>
        <v xml:space="preserve">   GH</v>
      </c>
      <c r="B6252" t="str">
        <f>T("   Ghana")</f>
        <v xml:space="preserve">   Ghana</v>
      </c>
      <c r="C6252">
        <v>400000</v>
      </c>
      <c r="D6252">
        <v>700</v>
      </c>
    </row>
    <row r="6253" spans="1:4" x14ac:dyDescent="0.25">
      <c r="A6253" t="str">
        <f>T("   TG")</f>
        <v xml:space="preserve">   TG</v>
      </c>
      <c r="B6253" t="str">
        <f>T("   Togo")</f>
        <v xml:space="preserve">   Togo</v>
      </c>
      <c r="C6253">
        <v>5196830</v>
      </c>
      <c r="D6253">
        <v>14490</v>
      </c>
    </row>
    <row r="6254" spans="1:4" x14ac:dyDescent="0.25">
      <c r="A6254" t="str">
        <f>T("   US")</f>
        <v xml:space="preserve">   US</v>
      </c>
      <c r="B6254" t="str">
        <f>T("   Etats-Unis")</f>
        <v xml:space="preserve">   Etats-Unis</v>
      </c>
      <c r="C6254">
        <v>1860000</v>
      </c>
      <c r="D6254">
        <v>750</v>
      </c>
    </row>
    <row r="6255" spans="1:4" x14ac:dyDescent="0.25">
      <c r="A6255" t="str">
        <f>T("520420")</f>
        <v>520420</v>
      </c>
      <c r="B6255" t="str">
        <f>T("Fils à coudre de coton, conditionnés pour la vente au détail")</f>
        <v>Fils à coudre de coton, conditionnés pour la vente au détail</v>
      </c>
    </row>
    <row r="6256" spans="1:4" x14ac:dyDescent="0.25">
      <c r="A6256" t="str">
        <f>T("   ZZZ_Monde")</f>
        <v xml:space="preserve">   ZZZ_Monde</v>
      </c>
      <c r="B6256" t="str">
        <f>T("   ZZZ_Monde")</f>
        <v xml:space="preserve">   ZZZ_Monde</v>
      </c>
      <c r="C6256">
        <v>34909918</v>
      </c>
      <c r="D6256">
        <v>112892</v>
      </c>
    </row>
    <row r="6257" spans="1:4" x14ac:dyDescent="0.25">
      <c r="A6257" t="str">
        <f>T("   CN")</f>
        <v xml:space="preserve">   CN</v>
      </c>
      <c r="B6257" t="str">
        <f>T("   Chine")</f>
        <v xml:space="preserve">   Chine</v>
      </c>
      <c r="C6257">
        <v>12984915</v>
      </c>
      <c r="D6257">
        <v>29346</v>
      </c>
    </row>
    <row r="6258" spans="1:4" x14ac:dyDescent="0.25">
      <c r="A6258" t="str">
        <f>T("   GH")</f>
        <v xml:space="preserve">   GH</v>
      </c>
      <c r="B6258" t="str">
        <f>T("   Ghana")</f>
        <v xml:space="preserve">   Ghana</v>
      </c>
      <c r="C6258">
        <v>11610000</v>
      </c>
      <c r="D6258">
        <v>37140</v>
      </c>
    </row>
    <row r="6259" spans="1:4" x14ac:dyDescent="0.25">
      <c r="A6259" t="str">
        <f>T("   NG")</f>
        <v xml:space="preserve">   NG</v>
      </c>
      <c r="B6259" t="str">
        <f>T("   Nigéria")</f>
        <v xml:space="preserve">   Nigéria</v>
      </c>
      <c r="C6259">
        <v>28000</v>
      </c>
      <c r="D6259">
        <v>20</v>
      </c>
    </row>
    <row r="6260" spans="1:4" x14ac:dyDescent="0.25">
      <c r="A6260" t="str">
        <f>T("   TG")</f>
        <v xml:space="preserve">   TG</v>
      </c>
      <c r="B6260" t="str">
        <f>T("   Togo")</f>
        <v xml:space="preserve">   Togo</v>
      </c>
      <c r="C6260">
        <v>10287003</v>
      </c>
      <c r="D6260">
        <v>46386</v>
      </c>
    </row>
    <row r="6261" spans="1:4" x14ac:dyDescent="0.25">
      <c r="A6261" t="str">
        <f>T("520611")</f>
        <v>520611</v>
      </c>
      <c r="B6261" t="str">
        <f>T("Fils simples de coton, en fibres non peignées, contenant en prédominance, mais &lt; 85% en poids de coton, titrant &gt;= 714,29 décitex [&lt;= 14 numéros métriques] (sauf les fils à coudre et les fils conditionnés pour la vente au détail)")</f>
        <v>Fils simples de coton, en fibres non peignées, contenant en prédominance, mais &lt; 85% en poids de coton, titrant &gt;= 714,29 décitex [&lt;= 14 numéros métriques] (sauf les fils à coudre et les fils conditionnés pour la vente au détail)</v>
      </c>
    </row>
    <row r="6262" spans="1:4" x14ac:dyDescent="0.25">
      <c r="A6262" t="str">
        <f>T("   ZZZ_Monde")</f>
        <v xml:space="preserve">   ZZZ_Monde</v>
      </c>
      <c r="B6262" t="str">
        <f>T("   ZZZ_Monde")</f>
        <v xml:space="preserve">   ZZZ_Monde</v>
      </c>
      <c r="C6262">
        <v>147600</v>
      </c>
      <c r="D6262">
        <v>350</v>
      </c>
    </row>
    <row r="6263" spans="1:4" x14ac:dyDescent="0.25">
      <c r="A6263" t="str">
        <f>T("   TG")</f>
        <v xml:space="preserve">   TG</v>
      </c>
      <c r="B6263" t="str">
        <f>T("   Togo")</f>
        <v xml:space="preserve">   Togo</v>
      </c>
      <c r="C6263">
        <v>147600</v>
      </c>
      <c r="D6263">
        <v>350</v>
      </c>
    </row>
    <row r="6264" spans="1:4" x14ac:dyDescent="0.25">
      <c r="A6264" t="str">
        <f>T("520710")</f>
        <v>520710</v>
      </c>
      <c r="B6264" t="str">
        <f>T("Fils de coton, contenant &gt;= 85% en poids de coton, conditionnés pour la vente au détail (sauf les fils à coudre)")</f>
        <v>Fils de coton, contenant &gt;= 85% en poids de coton, conditionnés pour la vente au détail (sauf les fils à coudre)</v>
      </c>
    </row>
    <row r="6265" spans="1:4" x14ac:dyDescent="0.25">
      <c r="A6265" t="str">
        <f>T("   ZZZ_Monde")</f>
        <v xml:space="preserve">   ZZZ_Monde</v>
      </c>
      <c r="B6265" t="str">
        <f>T("   ZZZ_Monde")</f>
        <v xml:space="preserve">   ZZZ_Monde</v>
      </c>
      <c r="C6265">
        <v>10101158</v>
      </c>
      <c r="D6265">
        <v>7200</v>
      </c>
    </row>
    <row r="6266" spans="1:4" x14ac:dyDescent="0.25">
      <c r="A6266" t="str">
        <f>T("   CI")</f>
        <v xml:space="preserve">   CI</v>
      </c>
      <c r="B6266" t="str">
        <f>T("   Côte d'Ivoire")</f>
        <v xml:space="preserve">   Côte d'Ivoire</v>
      </c>
      <c r="C6266">
        <v>10101158</v>
      </c>
      <c r="D6266">
        <v>7200</v>
      </c>
    </row>
    <row r="6267" spans="1:4" x14ac:dyDescent="0.25">
      <c r="A6267" t="str">
        <f>T("520790")</f>
        <v>520790</v>
      </c>
      <c r="B6267" t="str">
        <f>T("Fils de coton, contenant en prédominance, mais &lt; 85% en poids de coton, conditionnés pour la vente au détail (sauf les fils à coudre)")</f>
        <v>Fils de coton, contenant en prédominance, mais &lt; 85% en poids de coton, conditionnés pour la vente au détail (sauf les fils à coudre)</v>
      </c>
    </row>
    <row r="6268" spans="1:4" x14ac:dyDescent="0.25">
      <c r="A6268" t="str">
        <f>T("   ZZZ_Monde")</f>
        <v xml:space="preserve">   ZZZ_Monde</v>
      </c>
      <c r="B6268" t="str">
        <f>T("   ZZZ_Monde")</f>
        <v xml:space="preserve">   ZZZ_Monde</v>
      </c>
      <c r="C6268">
        <v>17602411</v>
      </c>
      <c r="D6268">
        <v>47183</v>
      </c>
    </row>
    <row r="6269" spans="1:4" x14ac:dyDescent="0.25">
      <c r="A6269" t="str">
        <f>T("   CN")</f>
        <v xml:space="preserve">   CN</v>
      </c>
      <c r="B6269" t="str">
        <f>T("   Chine")</f>
        <v xml:space="preserve">   Chine</v>
      </c>
      <c r="C6269">
        <v>7648615</v>
      </c>
      <c r="D6269">
        <v>17913</v>
      </c>
    </row>
    <row r="6270" spans="1:4" x14ac:dyDescent="0.25">
      <c r="A6270" t="str">
        <f>T("   NG")</f>
        <v xml:space="preserve">   NG</v>
      </c>
      <c r="B6270" t="str">
        <f>T("   Nigéria")</f>
        <v xml:space="preserve">   Nigéria</v>
      </c>
      <c r="C6270">
        <v>3400000</v>
      </c>
      <c r="D6270">
        <v>12450</v>
      </c>
    </row>
    <row r="6271" spans="1:4" x14ac:dyDescent="0.25">
      <c r="A6271" t="str">
        <f>T("   TG")</f>
        <v xml:space="preserve">   TG</v>
      </c>
      <c r="B6271" t="str">
        <f>T("   Togo")</f>
        <v xml:space="preserve">   Togo</v>
      </c>
      <c r="C6271">
        <v>6553796</v>
      </c>
      <c r="D6271">
        <v>16820</v>
      </c>
    </row>
    <row r="6272" spans="1:4" x14ac:dyDescent="0.25">
      <c r="A6272" t="str">
        <f>T("520811")</f>
        <v>520811</v>
      </c>
      <c r="B6272" t="str">
        <f>T("Tissus de coton, écrus, à armure toile, contenant &gt;= 85% en poids de coton, d'un poids &lt;= 100 g/m²")</f>
        <v>Tissus de coton, écrus, à armure toile, contenant &gt;= 85% en poids de coton, d'un poids &lt;= 100 g/m²</v>
      </c>
    </row>
    <row r="6273" spans="1:4" x14ac:dyDescent="0.25">
      <c r="A6273" t="str">
        <f>T("   ZZZ_Monde")</f>
        <v xml:space="preserve">   ZZZ_Monde</v>
      </c>
      <c r="B6273" t="str">
        <f>T("   ZZZ_Monde")</f>
        <v xml:space="preserve">   ZZZ_Monde</v>
      </c>
      <c r="C6273">
        <v>20000000</v>
      </c>
      <c r="D6273">
        <v>20080</v>
      </c>
    </row>
    <row r="6274" spans="1:4" x14ac:dyDescent="0.25">
      <c r="A6274" t="str">
        <f>T("   CN")</f>
        <v xml:space="preserve">   CN</v>
      </c>
      <c r="B6274" t="str">
        <f>T("   Chine")</f>
        <v xml:space="preserve">   Chine</v>
      </c>
      <c r="C6274">
        <v>20000000</v>
      </c>
      <c r="D6274">
        <v>20080</v>
      </c>
    </row>
    <row r="6275" spans="1:4" x14ac:dyDescent="0.25">
      <c r="A6275" t="str">
        <f>T("520829")</f>
        <v>520829</v>
      </c>
      <c r="B6275" t="str">
        <f>T("Tissus de coton, blanchis, contenant &gt;= 85% en poids de coton, d'un poids &lt;= 200 g/m² (à l'excl. des tissus à armure toile ou à armure sergé [y.c. le croisé] d'un rapport d'armure &lt;= 4)")</f>
        <v>Tissus de coton, blanchis, contenant &gt;= 85% en poids de coton, d'un poids &lt;= 200 g/m² (à l'excl. des tissus à armure toile ou à armure sergé [y.c. le croisé] d'un rapport d'armure &lt;= 4)</v>
      </c>
    </row>
    <row r="6276" spans="1:4" x14ac:dyDescent="0.25">
      <c r="A6276" t="str">
        <f>T("   ZZZ_Monde")</f>
        <v xml:space="preserve">   ZZZ_Monde</v>
      </c>
      <c r="B6276" t="str">
        <f>T("   ZZZ_Monde")</f>
        <v xml:space="preserve">   ZZZ_Monde</v>
      </c>
      <c r="C6276">
        <v>639015901</v>
      </c>
      <c r="D6276">
        <v>983464</v>
      </c>
    </row>
    <row r="6277" spans="1:4" x14ac:dyDescent="0.25">
      <c r="A6277" t="str">
        <f>T("   AE")</f>
        <v xml:space="preserve">   AE</v>
      </c>
      <c r="B6277" t="str">
        <f>T("   Emirats Arabes Unis")</f>
        <v xml:space="preserve">   Emirats Arabes Unis</v>
      </c>
      <c r="C6277">
        <v>12000000</v>
      </c>
      <c r="D6277">
        <v>17480</v>
      </c>
    </row>
    <row r="6278" spans="1:4" x14ac:dyDescent="0.25">
      <c r="A6278" t="str">
        <f>T("   AL")</f>
        <v xml:space="preserve">   AL</v>
      </c>
      <c r="B6278" t="str">
        <f>T("   Albanie")</f>
        <v xml:space="preserve">   Albanie</v>
      </c>
      <c r="C6278">
        <v>430000</v>
      </c>
      <c r="D6278">
        <v>300</v>
      </c>
    </row>
    <row r="6279" spans="1:4" x14ac:dyDescent="0.25">
      <c r="A6279" t="str">
        <f>T("   CN")</f>
        <v xml:space="preserve">   CN</v>
      </c>
      <c r="B6279" t="str">
        <f>T("   Chine")</f>
        <v xml:space="preserve">   Chine</v>
      </c>
      <c r="C6279">
        <v>459408611</v>
      </c>
      <c r="D6279">
        <v>689386</v>
      </c>
    </row>
    <row r="6280" spans="1:4" x14ac:dyDescent="0.25">
      <c r="A6280" t="str">
        <f>T("   HK")</f>
        <v xml:space="preserve">   HK</v>
      </c>
      <c r="B6280" t="str">
        <f>T("   Hong-Kong")</f>
        <v xml:space="preserve">   Hong-Kong</v>
      </c>
      <c r="C6280">
        <v>12000000</v>
      </c>
      <c r="D6280">
        <v>17950</v>
      </c>
    </row>
    <row r="6281" spans="1:4" x14ac:dyDescent="0.25">
      <c r="A6281" t="str">
        <f>T("   IN")</f>
        <v xml:space="preserve">   IN</v>
      </c>
      <c r="B6281" t="str">
        <f>T("   Inde")</f>
        <v xml:space="preserve">   Inde</v>
      </c>
      <c r="C6281">
        <v>24000000</v>
      </c>
      <c r="D6281">
        <v>40057</v>
      </c>
    </row>
    <row r="6282" spans="1:4" x14ac:dyDescent="0.25">
      <c r="A6282" t="str">
        <f>T("   TG")</f>
        <v xml:space="preserve">   TG</v>
      </c>
      <c r="B6282" t="str">
        <f>T("   Togo")</f>
        <v xml:space="preserve">   Togo</v>
      </c>
      <c r="C6282">
        <v>82397290</v>
      </c>
      <c r="D6282">
        <v>126820</v>
      </c>
    </row>
    <row r="6283" spans="1:4" x14ac:dyDescent="0.25">
      <c r="A6283" t="str">
        <f>T("   TH")</f>
        <v xml:space="preserve">   TH</v>
      </c>
      <c r="B6283" t="str">
        <f>T("   Thaïlande")</f>
        <v xml:space="preserve">   Thaïlande</v>
      </c>
      <c r="C6283">
        <v>48000000</v>
      </c>
      <c r="D6283">
        <v>73971</v>
      </c>
    </row>
    <row r="6284" spans="1:4" x14ac:dyDescent="0.25">
      <c r="A6284" t="str">
        <f>T("   Z2")</f>
        <v xml:space="preserve">   Z2</v>
      </c>
      <c r="B6284" t="str">
        <f>T("   Pays non défini")</f>
        <v xml:space="preserve">   Pays non défini</v>
      </c>
      <c r="C6284">
        <v>780000</v>
      </c>
      <c r="D6284">
        <v>17500</v>
      </c>
    </row>
    <row r="6285" spans="1:4" x14ac:dyDescent="0.25">
      <c r="A6285" t="str">
        <f>T("520839")</f>
        <v>520839</v>
      </c>
      <c r="B6285" t="str">
        <f>T("Tissus de coton, teints, contenant &gt;= 85% en poids de coton, d'un poids &lt;= 200 g/m² (à l'excl. des tissus à armure toile ou à armure sergé [y.c. le croisé] d'un rapport d'armure &lt;= 4)")</f>
        <v>Tissus de coton, teints, contenant &gt;= 85% en poids de coton, d'un poids &lt;= 200 g/m² (à l'excl. des tissus à armure toile ou à armure sergé [y.c. le croisé] d'un rapport d'armure &lt;= 4)</v>
      </c>
    </row>
    <row r="6286" spans="1:4" x14ac:dyDescent="0.25">
      <c r="A6286" t="str">
        <f>T("   ZZZ_Monde")</f>
        <v xml:space="preserve">   ZZZ_Monde</v>
      </c>
      <c r="B6286" t="str">
        <f>T("   ZZZ_Monde")</f>
        <v xml:space="preserve">   ZZZ_Monde</v>
      </c>
      <c r="C6286">
        <v>179408655</v>
      </c>
      <c r="D6286">
        <v>302784</v>
      </c>
    </row>
    <row r="6287" spans="1:4" x14ac:dyDescent="0.25">
      <c r="A6287" t="str">
        <f>T("   CN")</f>
        <v xml:space="preserve">   CN</v>
      </c>
      <c r="B6287" t="str">
        <f>T("   Chine")</f>
        <v xml:space="preserve">   Chine</v>
      </c>
      <c r="C6287">
        <v>140422880</v>
      </c>
      <c r="D6287">
        <v>221912</v>
      </c>
    </row>
    <row r="6288" spans="1:4" x14ac:dyDescent="0.25">
      <c r="A6288" t="str">
        <f>T("   IN")</f>
        <v xml:space="preserve">   IN</v>
      </c>
      <c r="B6288" t="str">
        <f>T("   Inde")</f>
        <v xml:space="preserve">   Inde</v>
      </c>
      <c r="C6288">
        <v>4093649</v>
      </c>
      <c r="D6288">
        <v>3788</v>
      </c>
    </row>
    <row r="6289" spans="1:4" x14ac:dyDescent="0.25">
      <c r="A6289" t="str">
        <f>T("   TG")</f>
        <v xml:space="preserve">   TG</v>
      </c>
      <c r="B6289" t="str">
        <f>T("   Togo")</f>
        <v xml:space="preserve">   Togo</v>
      </c>
      <c r="C6289">
        <v>34892126</v>
      </c>
      <c r="D6289">
        <v>77084</v>
      </c>
    </row>
    <row r="6290" spans="1:4" x14ac:dyDescent="0.25">
      <c r="A6290" t="str">
        <f>T("520841")</f>
        <v>520841</v>
      </c>
      <c r="B6290" t="str">
        <f>T("Tissus de coton, en fils de diverses couleurs, à armure toile, contenant &gt;= 85% en poids de coton, d'un poids &lt;= 100 g/m²")</f>
        <v>Tissus de coton, en fils de diverses couleurs, à armure toile, contenant &gt;= 85% en poids de coton, d'un poids &lt;= 100 g/m²</v>
      </c>
    </row>
    <row r="6291" spans="1:4" x14ac:dyDescent="0.25">
      <c r="A6291" t="str">
        <f>T("   ZZZ_Monde")</f>
        <v xml:space="preserve">   ZZZ_Monde</v>
      </c>
      <c r="B6291" t="str">
        <f>T("   ZZZ_Monde")</f>
        <v xml:space="preserve">   ZZZ_Monde</v>
      </c>
      <c r="C6291">
        <v>39000000</v>
      </c>
      <c r="D6291">
        <v>55066</v>
      </c>
    </row>
    <row r="6292" spans="1:4" x14ac:dyDescent="0.25">
      <c r="A6292" t="str">
        <f>T("   GH")</f>
        <v xml:space="preserve">   GH</v>
      </c>
      <c r="B6292" t="str">
        <f>T("   Ghana")</f>
        <v xml:space="preserve">   Ghana</v>
      </c>
      <c r="C6292">
        <v>13000000</v>
      </c>
      <c r="D6292">
        <v>16586</v>
      </c>
    </row>
    <row r="6293" spans="1:4" x14ac:dyDescent="0.25">
      <c r="A6293" t="str">
        <f>T("   TG")</f>
        <v xml:space="preserve">   TG</v>
      </c>
      <c r="B6293" t="str">
        <f>T("   Togo")</f>
        <v xml:space="preserve">   Togo</v>
      </c>
      <c r="C6293">
        <v>26000000</v>
      </c>
      <c r="D6293">
        <v>38480</v>
      </c>
    </row>
    <row r="6294" spans="1:4" x14ac:dyDescent="0.25">
      <c r="A6294" t="str">
        <f>T("520849")</f>
        <v>520849</v>
      </c>
      <c r="B6294" t="str">
        <f>T("Tissus de coton, en fils de diverses couleurs, contenant &gt;= 85% en poids de coton, d'un poids &lt;= 200 g/m² (à l'excl. des tissus à armure toile ou à armure sergé [y.c. le croisé] d'un rapport d'armure &lt;= 4)")</f>
        <v>Tissus de coton, en fils de diverses couleurs, contenant &gt;= 85% en poids de coton, d'un poids &lt;= 200 g/m² (à l'excl. des tissus à armure toile ou à armure sergé [y.c. le croisé] d'un rapport d'armure &lt;= 4)</v>
      </c>
    </row>
    <row r="6295" spans="1:4" x14ac:dyDescent="0.25">
      <c r="A6295" t="str">
        <f>T("   ZZZ_Monde")</f>
        <v xml:space="preserve">   ZZZ_Monde</v>
      </c>
      <c r="B6295" t="str">
        <f>T("   ZZZ_Monde")</f>
        <v xml:space="preserve">   ZZZ_Monde</v>
      </c>
      <c r="C6295">
        <v>111578177</v>
      </c>
      <c r="D6295">
        <v>120358</v>
      </c>
    </row>
    <row r="6296" spans="1:4" x14ac:dyDescent="0.25">
      <c r="A6296" t="str">
        <f>T("   CN")</f>
        <v xml:space="preserve">   CN</v>
      </c>
      <c r="B6296" t="str">
        <f>T("   Chine")</f>
        <v xml:space="preserve">   Chine</v>
      </c>
      <c r="C6296">
        <v>60277000</v>
      </c>
      <c r="D6296">
        <v>63280</v>
      </c>
    </row>
    <row r="6297" spans="1:4" x14ac:dyDescent="0.25">
      <c r="A6297" t="str">
        <f>T("   GH")</f>
        <v xml:space="preserve">   GH</v>
      </c>
      <c r="B6297" t="str">
        <f>T("   Ghana")</f>
        <v xml:space="preserve">   Ghana</v>
      </c>
      <c r="C6297">
        <v>300000</v>
      </c>
      <c r="D6297">
        <v>352</v>
      </c>
    </row>
    <row r="6298" spans="1:4" x14ac:dyDescent="0.25">
      <c r="A6298" t="str">
        <f>T("   IN")</f>
        <v xml:space="preserve">   IN</v>
      </c>
      <c r="B6298" t="str">
        <f>T("   Inde")</f>
        <v xml:space="preserve">   Inde</v>
      </c>
      <c r="C6298">
        <v>51001177</v>
      </c>
      <c r="D6298">
        <v>56726</v>
      </c>
    </row>
    <row r="6299" spans="1:4" x14ac:dyDescent="0.25">
      <c r="A6299" t="str">
        <f>T("520851")</f>
        <v>520851</v>
      </c>
      <c r="B6299" t="str">
        <f>T("Tissus de coton, imprimés, à armure toile, contenant &gt;= 85% en poids de coton, d'un poids &lt;= 100 g/m²")</f>
        <v>Tissus de coton, imprimés, à armure toile, contenant &gt;= 85% en poids de coton, d'un poids &lt;= 100 g/m²</v>
      </c>
    </row>
    <row r="6300" spans="1:4" x14ac:dyDescent="0.25">
      <c r="A6300" t="str">
        <f>T("   ZZZ_Monde")</f>
        <v xml:space="preserve">   ZZZ_Monde</v>
      </c>
      <c r="B6300" t="str">
        <f>T("   ZZZ_Monde")</f>
        <v xml:space="preserve">   ZZZ_Monde</v>
      </c>
      <c r="C6300">
        <v>359592599</v>
      </c>
      <c r="D6300">
        <v>405784</v>
      </c>
    </row>
    <row r="6301" spans="1:4" x14ac:dyDescent="0.25">
      <c r="A6301" t="str">
        <f>T("   CN")</f>
        <v xml:space="preserve">   CN</v>
      </c>
      <c r="B6301" t="str">
        <f>T("   Chine")</f>
        <v xml:space="preserve">   Chine</v>
      </c>
      <c r="C6301">
        <v>272004280</v>
      </c>
      <c r="D6301">
        <v>303980</v>
      </c>
    </row>
    <row r="6302" spans="1:4" x14ac:dyDescent="0.25">
      <c r="A6302" t="str">
        <f>T("   FR")</f>
        <v xml:space="preserve">   FR</v>
      </c>
      <c r="B6302" t="str">
        <f>T("   France")</f>
        <v xml:space="preserve">   France</v>
      </c>
      <c r="C6302">
        <v>150871</v>
      </c>
      <c r="D6302">
        <v>136</v>
      </c>
    </row>
    <row r="6303" spans="1:4" x14ac:dyDescent="0.25">
      <c r="A6303" t="str">
        <f>T("   IN")</f>
        <v xml:space="preserve">   IN</v>
      </c>
      <c r="B6303" t="str">
        <f>T("   Inde")</f>
        <v xml:space="preserve">   Inde</v>
      </c>
      <c r="C6303">
        <v>85001744</v>
      </c>
      <c r="D6303">
        <v>98693</v>
      </c>
    </row>
    <row r="6304" spans="1:4" x14ac:dyDescent="0.25">
      <c r="A6304" t="str">
        <f>T("   NL")</f>
        <v xml:space="preserve">   NL</v>
      </c>
      <c r="B6304" t="str">
        <f>T("   Pays-bas")</f>
        <v xml:space="preserve">   Pays-bas</v>
      </c>
      <c r="C6304">
        <v>2435704</v>
      </c>
      <c r="D6304">
        <v>2975</v>
      </c>
    </row>
    <row r="6305" spans="1:4" x14ac:dyDescent="0.25">
      <c r="A6305" t="str">
        <f>T("520852")</f>
        <v>520852</v>
      </c>
      <c r="B6305" t="str">
        <f>T("Tissus de coton, imprimés, à armure toile, contenant &gt;= 85% en poids de coton, d'un poids &gt; 100 g/m² mais &lt;= 200 g/m²")</f>
        <v>Tissus de coton, imprimés, à armure toile, contenant &gt;= 85% en poids de coton, d'un poids &gt; 100 g/m² mais &lt;= 200 g/m²</v>
      </c>
    </row>
    <row r="6306" spans="1:4" x14ac:dyDescent="0.25">
      <c r="A6306" t="str">
        <f>T("   ZZZ_Monde")</f>
        <v xml:space="preserve">   ZZZ_Monde</v>
      </c>
      <c r="B6306" t="str">
        <f>T("   ZZZ_Monde")</f>
        <v xml:space="preserve">   ZZZ_Monde</v>
      </c>
      <c r="C6306">
        <v>24192941905</v>
      </c>
      <c r="D6306">
        <v>11517956.699999999</v>
      </c>
    </row>
    <row r="6307" spans="1:4" x14ac:dyDescent="0.25">
      <c r="A6307" t="str">
        <f>T("   AE")</f>
        <v xml:space="preserve">   AE</v>
      </c>
      <c r="B6307" t="str">
        <f>T("   Emirats Arabes Unis")</f>
        <v xml:space="preserve">   Emirats Arabes Unis</v>
      </c>
      <c r="C6307">
        <v>24146198</v>
      </c>
      <c r="D6307">
        <v>27278</v>
      </c>
    </row>
    <row r="6308" spans="1:4" x14ac:dyDescent="0.25">
      <c r="A6308" t="str">
        <f>T("   BE")</f>
        <v xml:space="preserve">   BE</v>
      </c>
      <c r="B6308" t="str">
        <f>T("   Belgique")</f>
        <v xml:space="preserve">   Belgique</v>
      </c>
      <c r="C6308">
        <v>1513477</v>
      </c>
      <c r="D6308">
        <v>3055</v>
      </c>
    </row>
    <row r="6309" spans="1:4" x14ac:dyDescent="0.25">
      <c r="A6309" t="str">
        <f>T("   CI")</f>
        <v xml:space="preserve">   CI</v>
      </c>
      <c r="B6309" t="str">
        <f>T("   Côte d'Ivoire")</f>
        <v xml:space="preserve">   Côte d'Ivoire</v>
      </c>
      <c r="C6309">
        <v>5410125683</v>
      </c>
      <c r="D6309">
        <v>608509</v>
      </c>
    </row>
    <row r="6310" spans="1:4" x14ac:dyDescent="0.25">
      <c r="A6310" t="str">
        <f>T("   CN")</f>
        <v xml:space="preserve">   CN</v>
      </c>
      <c r="B6310" t="str">
        <f>T("   Chine")</f>
        <v xml:space="preserve">   Chine</v>
      </c>
      <c r="C6310">
        <v>5762935538</v>
      </c>
      <c r="D6310">
        <v>5945367</v>
      </c>
    </row>
    <row r="6311" spans="1:4" x14ac:dyDescent="0.25">
      <c r="A6311" t="str">
        <f>T("   FR")</f>
        <v xml:space="preserve">   FR</v>
      </c>
      <c r="B6311" t="str">
        <f>T("   France")</f>
        <v xml:space="preserve">   France</v>
      </c>
      <c r="C6311">
        <v>177183212</v>
      </c>
      <c r="D6311">
        <v>183074</v>
      </c>
    </row>
    <row r="6312" spans="1:4" x14ac:dyDescent="0.25">
      <c r="A6312" t="str">
        <f>T("   GH")</f>
        <v xml:space="preserve">   GH</v>
      </c>
      <c r="B6312" t="str">
        <f>T("   Ghana")</f>
        <v xml:space="preserve">   Ghana</v>
      </c>
      <c r="C6312">
        <v>1269655171</v>
      </c>
      <c r="D6312">
        <v>176847</v>
      </c>
    </row>
    <row r="6313" spans="1:4" x14ac:dyDescent="0.25">
      <c r="A6313" t="str">
        <f>T("   GM")</f>
        <v xml:space="preserve">   GM</v>
      </c>
      <c r="B6313" t="str">
        <f>T("   Gambie")</f>
        <v xml:space="preserve">   Gambie</v>
      </c>
      <c r="C6313">
        <v>17000000</v>
      </c>
      <c r="D6313">
        <v>18450</v>
      </c>
    </row>
    <row r="6314" spans="1:4" x14ac:dyDescent="0.25">
      <c r="A6314" t="str">
        <f>T("   HK")</f>
        <v xml:space="preserve">   HK</v>
      </c>
      <c r="B6314" t="str">
        <f>T("   Hong-Kong")</f>
        <v xml:space="preserve">   Hong-Kong</v>
      </c>
      <c r="C6314">
        <v>275020652</v>
      </c>
      <c r="D6314">
        <v>292318</v>
      </c>
    </row>
    <row r="6315" spans="1:4" x14ac:dyDescent="0.25">
      <c r="A6315" t="str">
        <f>T("   ID")</f>
        <v xml:space="preserve">   ID</v>
      </c>
      <c r="B6315" t="str">
        <f>T("   Indonésie")</f>
        <v xml:space="preserve">   Indonésie</v>
      </c>
      <c r="C6315">
        <v>13074018</v>
      </c>
      <c r="D6315">
        <v>7829</v>
      </c>
    </row>
    <row r="6316" spans="1:4" x14ac:dyDescent="0.25">
      <c r="A6316" t="str">
        <f>T("   IN")</f>
        <v xml:space="preserve">   IN</v>
      </c>
      <c r="B6316" t="str">
        <f>T("   Inde")</f>
        <v xml:space="preserve">   Inde</v>
      </c>
      <c r="C6316">
        <v>444657601</v>
      </c>
      <c r="D6316">
        <v>479689</v>
      </c>
    </row>
    <row r="6317" spans="1:4" x14ac:dyDescent="0.25">
      <c r="A6317" t="str">
        <f>T("   NG")</f>
        <v xml:space="preserve">   NG</v>
      </c>
      <c r="B6317" t="str">
        <f>T("   Nigéria")</f>
        <v xml:space="preserve">   Nigéria</v>
      </c>
      <c r="C6317">
        <v>1019730</v>
      </c>
      <c r="D6317">
        <v>1030</v>
      </c>
    </row>
    <row r="6318" spans="1:4" x14ac:dyDescent="0.25">
      <c r="A6318" t="str">
        <f>T("   NL")</f>
        <v xml:space="preserve">   NL</v>
      </c>
      <c r="B6318" t="str">
        <f>T("   Pays-bas")</f>
        <v xml:space="preserve">   Pays-bas</v>
      </c>
      <c r="C6318">
        <v>8000396112</v>
      </c>
      <c r="D6318">
        <v>1066774.7</v>
      </c>
    </row>
    <row r="6319" spans="1:4" x14ac:dyDescent="0.25">
      <c r="A6319" t="str">
        <f>T("   SG")</f>
        <v xml:space="preserve">   SG</v>
      </c>
      <c r="B6319" t="str">
        <f>T("   Singapour")</f>
        <v xml:space="preserve">   Singapour</v>
      </c>
      <c r="C6319">
        <v>12000000</v>
      </c>
      <c r="D6319">
        <v>18302</v>
      </c>
    </row>
    <row r="6320" spans="1:4" x14ac:dyDescent="0.25">
      <c r="A6320" t="str">
        <f>T("   TG")</f>
        <v xml:space="preserve">   TG</v>
      </c>
      <c r="B6320" t="str">
        <f>T("   Togo")</f>
        <v xml:space="preserve">   Togo</v>
      </c>
      <c r="C6320">
        <v>1440019958</v>
      </c>
      <c r="D6320">
        <v>1255760</v>
      </c>
    </row>
    <row r="6321" spans="1:4" x14ac:dyDescent="0.25">
      <c r="A6321" t="str">
        <f>T("   TH")</f>
        <v xml:space="preserve">   TH</v>
      </c>
      <c r="B6321" t="str">
        <f>T("   Thaïlande")</f>
        <v xml:space="preserve">   Thaïlande</v>
      </c>
      <c r="C6321">
        <v>1344194555</v>
      </c>
      <c r="D6321">
        <v>1433674</v>
      </c>
    </row>
    <row r="6322" spans="1:4" x14ac:dyDescent="0.25">
      <c r="A6322" t="str">
        <f>T("520859")</f>
        <v>520859</v>
      </c>
      <c r="B6322" t="str">
        <f>T("TISSUS DE COTON, IMPRIMÉS, CONTENANT &gt;= 85% EN POIDS DE COTON, D'UN POIDS &lt;= 200 G/M² (À L'EXCL. DES TISSUS À ARMURE TOILE)")</f>
        <v>TISSUS DE COTON, IMPRIMÉS, CONTENANT &gt;= 85% EN POIDS DE COTON, D'UN POIDS &lt;= 200 G/M² (À L'EXCL. DES TISSUS À ARMURE TOILE)</v>
      </c>
    </row>
    <row r="6323" spans="1:4" x14ac:dyDescent="0.25">
      <c r="A6323" t="str">
        <f>T("   ZZZ_Monde")</f>
        <v xml:space="preserve">   ZZZ_Monde</v>
      </c>
      <c r="B6323" t="str">
        <f>T("   ZZZ_Monde")</f>
        <v xml:space="preserve">   ZZZ_Monde</v>
      </c>
      <c r="C6323">
        <v>1005446176</v>
      </c>
      <c r="D6323">
        <v>1154632</v>
      </c>
    </row>
    <row r="6324" spans="1:4" x14ac:dyDescent="0.25">
      <c r="A6324" t="str">
        <f>T("   AE")</f>
        <v xml:space="preserve">   AE</v>
      </c>
      <c r="B6324" t="str">
        <f>T("   Emirats Arabes Unis")</f>
        <v xml:space="preserve">   Emirats Arabes Unis</v>
      </c>
      <c r="C6324">
        <v>14920727</v>
      </c>
      <c r="D6324">
        <v>19995</v>
      </c>
    </row>
    <row r="6325" spans="1:4" x14ac:dyDescent="0.25">
      <c r="A6325" t="str">
        <f>T("   BF")</f>
        <v xml:space="preserve">   BF</v>
      </c>
      <c r="B6325" t="str">
        <f>T("   Burkina Faso")</f>
        <v xml:space="preserve">   Burkina Faso</v>
      </c>
      <c r="C6325">
        <v>5617969</v>
      </c>
      <c r="D6325">
        <v>9062</v>
      </c>
    </row>
    <row r="6326" spans="1:4" x14ac:dyDescent="0.25">
      <c r="A6326" t="str">
        <f>T("   CN")</f>
        <v xml:space="preserve">   CN</v>
      </c>
      <c r="B6326" t="str">
        <f>T("   Chine")</f>
        <v xml:space="preserve">   Chine</v>
      </c>
      <c r="C6326">
        <v>613001939</v>
      </c>
      <c r="D6326">
        <v>665233</v>
      </c>
    </row>
    <row r="6327" spans="1:4" x14ac:dyDescent="0.25">
      <c r="A6327" t="str">
        <f>T("   FR")</f>
        <v xml:space="preserve">   FR</v>
      </c>
      <c r="B6327" t="str">
        <f>T("   France")</f>
        <v xml:space="preserve">   France</v>
      </c>
      <c r="C6327">
        <v>4883453</v>
      </c>
      <c r="D6327">
        <v>1277</v>
      </c>
    </row>
    <row r="6328" spans="1:4" x14ac:dyDescent="0.25">
      <c r="A6328" t="str">
        <f>T("   GH")</f>
        <v xml:space="preserve">   GH</v>
      </c>
      <c r="B6328" t="str">
        <f>T("   Ghana")</f>
        <v xml:space="preserve">   Ghana</v>
      </c>
      <c r="C6328">
        <v>1300000</v>
      </c>
      <c r="D6328">
        <v>3584</v>
      </c>
    </row>
    <row r="6329" spans="1:4" x14ac:dyDescent="0.25">
      <c r="A6329" t="str">
        <f>T("   HK")</f>
        <v xml:space="preserve">   HK</v>
      </c>
      <c r="B6329" t="str">
        <f>T("   Hong-Kong")</f>
        <v xml:space="preserve">   Hong-Kong</v>
      </c>
      <c r="C6329">
        <v>17000000</v>
      </c>
      <c r="D6329">
        <v>19800</v>
      </c>
    </row>
    <row r="6330" spans="1:4" x14ac:dyDescent="0.25">
      <c r="A6330" t="str">
        <f>T("   ID")</f>
        <v xml:space="preserve">   ID</v>
      </c>
      <c r="B6330" t="str">
        <f>T("   Indonésie")</f>
        <v xml:space="preserve">   Indonésie</v>
      </c>
      <c r="C6330">
        <v>17000000</v>
      </c>
      <c r="D6330">
        <v>13014</v>
      </c>
    </row>
    <row r="6331" spans="1:4" x14ac:dyDescent="0.25">
      <c r="A6331" t="str">
        <f>T("   IN")</f>
        <v xml:space="preserve">   IN</v>
      </c>
      <c r="B6331" t="str">
        <f>T("   Inde")</f>
        <v xml:space="preserve">   Inde</v>
      </c>
      <c r="C6331">
        <v>69149343</v>
      </c>
      <c r="D6331">
        <v>76308</v>
      </c>
    </row>
    <row r="6332" spans="1:4" x14ac:dyDescent="0.25">
      <c r="A6332" t="str">
        <f>T("   TG")</f>
        <v xml:space="preserve">   TG</v>
      </c>
      <c r="B6332" t="str">
        <f>T("   Togo")</f>
        <v xml:space="preserve">   Togo</v>
      </c>
      <c r="C6332">
        <v>95572431</v>
      </c>
      <c r="D6332">
        <v>162080</v>
      </c>
    </row>
    <row r="6333" spans="1:4" x14ac:dyDescent="0.25">
      <c r="A6333" t="str">
        <f>T("   TH")</f>
        <v xml:space="preserve">   TH</v>
      </c>
      <c r="B6333" t="str">
        <f>T("   Thaïlande")</f>
        <v xml:space="preserve">   Thaïlande</v>
      </c>
      <c r="C6333">
        <v>167000314</v>
      </c>
      <c r="D6333">
        <v>184279</v>
      </c>
    </row>
    <row r="6334" spans="1:4" x14ac:dyDescent="0.25">
      <c r="A6334" t="str">
        <f>T("520919")</f>
        <v>520919</v>
      </c>
      <c r="B6334" t="str">
        <f>T("Tissus de coton, écrus, contenant &gt;= 85% en poids de coton, d'un poids &gt; 200 g/m² (à l'excl. des tissus à armure toile ou à armure sergé [y.c. le croisé] d'un rapport d'armure &lt;= 4)")</f>
        <v>Tissus de coton, écrus, contenant &gt;= 85% en poids de coton, d'un poids &gt; 200 g/m² (à l'excl. des tissus à armure toile ou à armure sergé [y.c. le croisé] d'un rapport d'armure &lt;= 4)</v>
      </c>
    </row>
    <row r="6335" spans="1:4" x14ac:dyDescent="0.25">
      <c r="A6335" t="str">
        <f>T("   ZZZ_Monde")</f>
        <v xml:space="preserve">   ZZZ_Monde</v>
      </c>
      <c r="B6335" t="str">
        <f>T("   ZZZ_Monde")</f>
        <v xml:space="preserve">   ZZZ_Monde</v>
      </c>
      <c r="C6335">
        <v>300000</v>
      </c>
      <c r="D6335">
        <v>150</v>
      </c>
    </row>
    <row r="6336" spans="1:4" x14ac:dyDescent="0.25">
      <c r="A6336" t="str">
        <f>T("   FR")</f>
        <v xml:space="preserve">   FR</v>
      </c>
      <c r="B6336" t="str">
        <f>T("   France")</f>
        <v xml:space="preserve">   France</v>
      </c>
      <c r="C6336">
        <v>300000</v>
      </c>
      <c r="D6336">
        <v>150</v>
      </c>
    </row>
    <row r="6337" spans="1:4" x14ac:dyDescent="0.25">
      <c r="A6337" t="str">
        <f>T("520929")</f>
        <v>520929</v>
      </c>
      <c r="B6337" t="str">
        <f>T("Tissus de coton, blanchis, contenant &gt;= 85% en poids de coton, d'un poids &gt; 200 g/m² (à l'excl. des tissus à armure toile ou à armure sergé [y.c. le croisé] d'un rapport d'armure &lt;= 4)")</f>
        <v>Tissus de coton, blanchis, contenant &gt;= 85% en poids de coton, d'un poids &gt; 200 g/m² (à l'excl. des tissus à armure toile ou à armure sergé [y.c. le croisé] d'un rapport d'armure &lt;= 4)</v>
      </c>
    </row>
    <row r="6338" spans="1:4" x14ac:dyDescent="0.25">
      <c r="A6338" t="str">
        <f>T("   ZZZ_Monde")</f>
        <v xml:space="preserve">   ZZZ_Monde</v>
      </c>
      <c r="B6338" t="str">
        <f>T("   ZZZ_Monde")</f>
        <v xml:space="preserve">   ZZZ_Monde</v>
      </c>
      <c r="C6338">
        <v>503672756</v>
      </c>
      <c r="D6338">
        <v>871169</v>
      </c>
    </row>
    <row r="6339" spans="1:4" x14ac:dyDescent="0.25">
      <c r="A6339" t="str">
        <f>T("   CN")</f>
        <v xml:space="preserve">   CN</v>
      </c>
      <c r="B6339" t="str">
        <f>T("   Chine")</f>
        <v xml:space="preserve">   Chine</v>
      </c>
      <c r="C6339">
        <v>364923858</v>
      </c>
      <c r="D6339">
        <v>555510</v>
      </c>
    </row>
    <row r="6340" spans="1:4" x14ac:dyDescent="0.25">
      <c r="A6340" t="str">
        <f>T("   GH")</f>
        <v xml:space="preserve">   GH</v>
      </c>
      <c r="B6340" t="str">
        <f>T("   Ghana")</f>
        <v xml:space="preserve">   Ghana</v>
      </c>
      <c r="C6340">
        <v>16000000</v>
      </c>
      <c r="D6340">
        <v>28140</v>
      </c>
    </row>
    <row r="6341" spans="1:4" x14ac:dyDescent="0.25">
      <c r="A6341" t="str">
        <f>T("   NG")</f>
        <v xml:space="preserve">   NG</v>
      </c>
      <c r="B6341" t="str">
        <f>T("   Nigéria")</f>
        <v xml:space="preserve">   Nigéria</v>
      </c>
      <c r="C6341">
        <v>972000</v>
      </c>
      <c r="D6341">
        <v>1500</v>
      </c>
    </row>
    <row r="6342" spans="1:4" x14ac:dyDescent="0.25">
      <c r="A6342" t="str">
        <f>T("   TG")</f>
        <v xml:space="preserve">   TG</v>
      </c>
      <c r="B6342" t="str">
        <f>T("   Togo")</f>
        <v xml:space="preserve">   Togo</v>
      </c>
      <c r="C6342">
        <v>113776898</v>
      </c>
      <c r="D6342">
        <v>277582</v>
      </c>
    </row>
    <row r="6343" spans="1:4" x14ac:dyDescent="0.25">
      <c r="A6343" t="str">
        <f>T("   TH")</f>
        <v xml:space="preserve">   TH</v>
      </c>
      <c r="B6343" t="str">
        <f>T("   Thaïlande")</f>
        <v xml:space="preserve">   Thaïlande</v>
      </c>
      <c r="C6343">
        <v>8000000</v>
      </c>
      <c r="D6343">
        <v>8437</v>
      </c>
    </row>
    <row r="6344" spans="1:4" x14ac:dyDescent="0.25">
      <c r="A6344" t="str">
        <f>T("520951")</f>
        <v>520951</v>
      </c>
      <c r="B6344" t="str">
        <f>T("Tissus de coton, imprimés, à armure toile, contenant &gt;= 85% en poids de coton, d'un poids &gt; 200 g/m²")</f>
        <v>Tissus de coton, imprimés, à armure toile, contenant &gt;= 85% en poids de coton, d'un poids &gt; 200 g/m²</v>
      </c>
    </row>
    <row r="6345" spans="1:4" x14ac:dyDescent="0.25">
      <c r="A6345" t="str">
        <f>T("   ZZZ_Monde")</f>
        <v xml:space="preserve">   ZZZ_Monde</v>
      </c>
      <c r="B6345" t="str">
        <f>T("   ZZZ_Monde")</f>
        <v xml:space="preserve">   ZZZ_Monde</v>
      </c>
      <c r="C6345">
        <v>286743092</v>
      </c>
      <c r="D6345">
        <v>308462</v>
      </c>
    </row>
    <row r="6346" spans="1:4" x14ac:dyDescent="0.25">
      <c r="A6346" t="str">
        <f>T("   BF")</f>
        <v xml:space="preserve">   BF</v>
      </c>
      <c r="B6346" t="str">
        <f>T("   Burkina Faso")</f>
        <v xml:space="preserve">   Burkina Faso</v>
      </c>
      <c r="C6346">
        <v>425000</v>
      </c>
      <c r="D6346">
        <v>383</v>
      </c>
    </row>
    <row r="6347" spans="1:4" x14ac:dyDescent="0.25">
      <c r="A6347" t="str">
        <f>T("   CN")</f>
        <v xml:space="preserve">   CN</v>
      </c>
      <c r="B6347" t="str">
        <f>T("   Chine")</f>
        <v xml:space="preserve">   Chine</v>
      </c>
      <c r="C6347">
        <v>142416707</v>
      </c>
      <c r="D6347">
        <v>154432</v>
      </c>
    </row>
    <row r="6348" spans="1:4" x14ac:dyDescent="0.25">
      <c r="A6348" t="str">
        <f>T("   DE")</f>
        <v xml:space="preserve">   DE</v>
      </c>
      <c r="B6348" t="str">
        <f>T("   Allemagne")</f>
        <v xml:space="preserve">   Allemagne</v>
      </c>
      <c r="C6348">
        <v>5685238</v>
      </c>
      <c r="D6348">
        <v>3349</v>
      </c>
    </row>
    <row r="6349" spans="1:4" x14ac:dyDescent="0.25">
      <c r="A6349" t="str">
        <f>T("   GH")</f>
        <v xml:space="preserve">   GH</v>
      </c>
      <c r="B6349" t="str">
        <f>T("   Ghana")</f>
        <v xml:space="preserve">   Ghana</v>
      </c>
      <c r="C6349">
        <v>37678504</v>
      </c>
      <c r="D6349">
        <v>8239</v>
      </c>
    </row>
    <row r="6350" spans="1:4" x14ac:dyDescent="0.25">
      <c r="A6350" t="str">
        <f>T("   NG")</f>
        <v xml:space="preserve">   NG</v>
      </c>
      <c r="B6350" t="str">
        <f>T("   Nigéria")</f>
        <v xml:space="preserve">   Nigéria</v>
      </c>
      <c r="C6350">
        <v>5052399</v>
      </c>
      <c r="D6350">
        <v>45200</v>
      </c>
    </row>
    <row r="6351" spans="1:4" x14ac:dyDescent="0.25">
      <c r="A6351" t="str">
        <f>T("   TG")</f>
        <v xml:space="preserve">   TG</v>
      </c>
      <c r="B6351" t="str">
        <f>T("   Togo")</f>
        <v xml:space="preserve">   Togo</v>
      </c>
      <c r="C6351">
        <v>78485006</v>
      </c>
      <c r="D6351">
        <v>78295</v>
      </c>
    </row>
    <row r="6352" spans="1:4" x14ac:dyDescent="0.25">
      <c r="A6352" t="str">
        <f>T("   TH")</f>
        <v xml:space="preserve">   TH</v>
      </c>
      <c r="B6352" t="str">
        <f>T("   Thaïlande")</f>
        <v xml:space="preserve">   Thaïlande</v>
      </c>
      <c r="C6352">
        <v>17000238</v>
      </c>
      <c r="D6352">
        <v>18564</v>
      </c>
    </row>
    <row r="6353" spans="1:4" x14ac:dyDescent="0.25">
      <c r="A6353" t="str">
        <f>T("520959")</f>
        <v>520959</v>
      </c>
      <c r="B6353" t="str">
        <f>T("Tissus de coton, imprimés, contenant &gt;= 85% en poids de coton, d'un poids &gt; 200 g/m² (à l'excl. des tissus à armure toile ou à armure sergé [y.c. le croisé] d'un rapport d'armure &lt;= 4)")</f>
        <v>Tissus de coton, imprimés, contenant &gt;= 85% en poids de coton, d'un poids &gt; 200 g/m² (à l'excl. des tissus à armure toile ou à armure sergé [y.c. le croisé] d'un rapport d'armure &lt;= 4)</v>
      </c>
    </row>
    <row r="6354" spans="1:4" x14ac:dyDescent="0.25">
      <c r="A6354" t="str">
        <f>T("   ZZZ_Monde")</f>
        <v xml:space="preserve">   ZZZ_Monde</v>
      </c>
      <c r="B6354" t="str">
        <f>T("   ZZZ_Monde")</f>
        <v xml:space="preserve">   ZZZ_Monde</v>
      </c>
      <c r="C6354">
        <v>17698012</v>
      </c>
      <c r="D6354">
        <v>27071</v>
      </c>
    </row>
    <row r="6355" spans="1:4" x14ac:dyDescent="0.25">
      <c r="A6355" t="str">
        <f>T("   BF")</f>
        <v xml:space="preserve">   BF</v>
      </c>
      <c r="B6355" t="str">
        <f>T("   Burkina Faso")</f>
        <v xml:space="preserve">   Burkina Faso</v>
      </c>
      <c r="C6355">
        <v>4488782</v>
      </c>
      <c r="D6355">
        <v>5060</v>
      </c>
    </row>
    <row r="6356" spans="1:4" x14ac:dyDescent="0.25">
      <c r="A6356" t="str">
        <f>T("   CN")</f>
        <v xml:space="preserve">   CN</v>
      </c>
      <c r="B6356" t="str">
        <f>T("   Chine")</f>
        <v xml:space="preserve">   Chine</v>
      </c>
      <c r="C6356">
        <v>13100000</v>
      </c>
      <c r="D6356">
        <v>21861</v>
      </c>
    </row>
    <row r="6357" spans="1:4" x14ac:dyDescent="0.25">
      <c r="A6357" t="str">
        <f>T("   TG")</f>
        <v xml:space="preserve">   TG</v>
      </c>
      <c r="B6357" t="str">
        <f>T("   Togo")</f>
        <v xml:space="preserve">   Togo</v>
      </c>
      <c r="C6357">
        <v>109230</v>
      </c>
      <c r="D6357">
        <v>150</v>
      </c>
    </row>
    <row r="6358" spans="1:4" x14ac:dyDescent="0.25">
      <c r="A6358" t="str">
        <f>T("521051")</f>
        <v>521051</v>
      </c>
      <c r="B6358" t="str">
        <f>T("Tissus de coton, imprimés, à armure toile, contenant en prédominance, mais &lt; 85% en poids de coton, mélangés principalement ou uniquement avec des fibres synthétiques ou artificielles, d'un poids &lt;= 200 g/m²")</f>
        <v>Tissus de coton, imprimés, à armure toile, contenant en prédominance, mais &lt; 85% en poids de coton, mélangés principalement ou uniquement avec des fibres synthétiques ou artificielles, d'un poids &lt;= 200 g/m²</v>
      </c>
    </row>
    <row r="6359" spans="1:4" x14ac:dyDescent="0.25">
      <c r="A6359" t="str">
        <f>T("   ZZZ_Monde")</f>
        <v xml:space="preserve">   ZZZ_Monde</v>
      </c>
      <c r="B6359" t="str">
        <f>T("   ZZZ_Monde")</f>
        <v xml:space="preserve">   ZZZ_Monde</v>
      </c>
      <c r="C6359">
        <v>5800000</v>
      </c>
      <c r="D6359">
        <v>8215</v>
      </c>
    </row>
    <row r="6360" spans="1:4" x14ac:dyDescent="0.25">
      <c r="A6360" t="str">
        <f>T("   BF")</f>
        <v xml:space="preserve">   BF</v>
      </c>
      <c r="B6360" t="str">
        <f>T("   Burkina Faso")</f>
        <v xml:space="preserve">   Burkina Faso</v>
      </c>
      <c r="C6360">
        <v>800000</v>
      </c>
      <c r="D6360">
        <v>215</v>
      </c>
    </row>
    <row r="6361" spans="1:4" x14ac:dyDescent="0.25">
      <c r="A6361" t="str">
        <f>T("   TG")</f>
        <v xml:space="preserve">   TG</v>
      </c>
      <c r="B6361" t="str">
        <f>T("   Togo")</f>
        <v xml:space="preserve">   Togo</v>
      </c>
      <c r="C6361">
        <v>5000000</v>
      </c>
      <c r="D6361">
        <v>8000</v>
      </c>
    </row>
    <row r="6362" spans="1:4" x14ac:dyDescent="0.25">
      <c r="A6362" t="str">
        <f>T("521059")</f>
        <v>521059</v>
      </c>
      <c r="B6362" t="str">
        <f>T("Tissus de coton, imprimés, contenant en prédominance, mais &lt; 85% en poids de coton, mélangés principalement ou uniquement avec des fibres synthétiques ou artificielles, d'un poids &lt;= 200 g/m² (à l'excl. des tissus à armure toile ou à armure sergé [y.c. le")</f>
        <v>Tissus de coton, imprimés, contenant en prédominance, mais &lt; 85% en poids de coton, mélangés principalement ou uniquement avec des fibres synthétiques ou artificielles, d'un poids &lt;= 200 g/m² (à l'excl. des tissus à armure toile ou à armure sergé [y.c. le</v>
      </c>
    </row>
    <row r="6363" spans="1:4" x14ac:dyDescent="0.25">
      <c r="A6363" t="str">
        <f>T("   ZZZ_Monde")</f>
        <v xml:space="preserve">   ZZZ_Monde</v>
      </c>
      <c r="B6363" t="str">
        <f>T("   ZZZ_Monde")</f>
        <v xml:space="preserve">   ZZZ_Monde</v>
      </c>
      <c r="C6363">
        <v>51033947</v>
      </c>
      <c r="D6363">
        <v>59400</v>
      </c>
    </row>
    <row r="6364" spans="1:4" x14ac:dyDescent="0.25">
      <c r="A6364" t="str">
        <f>T("   CN")</f>
        <v xml:space="preserve">   CN</v>
      </c>
      <c r="B6364" t="str">
        <f>T("   Chine")</f>
        <v xml:space="preserve">   Chine</v>
      </c>
      <c r="C6364">
        <v>51001178</v>
      </c>
      <c r="D6364">
        <v>59320</v>
      </c>
    </row>
    <row r="6365" spans="1:4" x14ac:dyDescent="0.25">
      <c r="A6365" t="str">
        <f>T("   TG")</f>
        <v xml:space="preserve">   TG</v>
      </c>
      <c r="B6365" t="str">
        <f>T("   Togo")</f>
        <v xml:space="preserve">   Togo</v>
      </c>
      <c r="C6365">
        <v>32769</v>
      </c>
      <c r="D6365">
        <v>80</v>
      </c>
    </row>
    <row r="6366" spans="1:4" x14ac:dyDescent="0.25">
      <c r="A6366" t="str">
        <f>T("521129")</f>
        <v>521129</v>
      </c>
      <c r="B6366" t="str">
        <f>T("Tissus de coton, blanchis, contenant en prédominance, mais &lt; 85% en poids de coton, mélangés principalement ou uniquement avec des fibres synthétiques ou artificielles, d'un poids &gt; 200 g/m² (à l'excl. des tissus à armure toile ou à armure sergé [y.c. le")</f>
        <v>Tissus de coton, blanchis, contenant en prédominance, mais &lt; 85% en poids de coton, mélangés principalement ou uniquement avec des fibres synthétiques ou artificielles, d'un poids &gt; 200 g/m² (à l'excl. des tissus à armure toile ou à armure sergé [y.c. le</v>
      </c>
    </row>
    <row r="6367" spans="1:4" x14ac:dyDescent="0.25">
      <c r="A6367" t="str">
        <f>T("   ZZZ_Monde")</f>
        <v xml:space="preserve">   ZZZ_Monde</v>
      </c>
      <c r="B6367" t="str">
        <f>T("   ZZZ_Monde")</f>
        <v xml:space="preserve">   ZZZ_Monde</v>
      </c>
      <c r="C6367">
        <v>14719400</v>
      </c>
      <c r="D6367">
        <v>18423</v>
      </c>
    </row>
    <row r="6368" spans="1:4" x14ac:dyDescent="0.25">
      <c r="A6368" t="str">
        <f>T("   CN")</f>
        <v xml:space="preserve">   CN</v>
      </c>
      <c r="B6368" t="str">
        <f>T("   Chine")</f>
        <v xml:space="preserve">   Chine</v>
      </c>
      <c r="C6368">
        <v>719025</v>
      </c>
      <c r="D6368">
        <v>900</v>
      </c>
    </row>
    <row r="6369" spans="1:4" x14ac:dyDescent="0.25">
      <c r="A6369" t="str">
        <f>T("   IN")</f>
        <v xml:space="preserve">   IN</v>
      </c>
      <c r="B6369" t="str">
        <f>T("   Inde")</f>
        <v xml:space="preserve">   Inde</v>
      </c>
      <c r="C6369">
        <v>14000375</v>
      </c>
      <c r="D6369">
        <v>17523</v>
      </c>
    </row>
    <row r="6370" spans="1:4" x14ac:dyDescent="0.25">
      <c r="A6370" t="str">
        <f>T("521141")</f>
        <v>521141</v>
      </c>
      <c r="B6370" t="str">
        <f>T("Tissus de coton, en fils de diverses couleurs, à armure toile, contenant en prédominance, mais &lt; 85% en poids de coton, mélangés principalement ou uniquement avec des fibres synthétiques ou artificielles, d'un poids &gt; 200 g/m²")</f>
        <v>Tissus de coton, en fils de diverses couleurs, à armure toile, contenant en prédominance, mais &lt; 85% en poids de coton, mélangés principalement ou uniquement avec des fibres synthétiques ou artificielles, d'un poids &gt; 200 g/m²</v>
      </c>
    </row>
    <row r="6371" spans="1:4" x14ac:dyDescent="0.25">
      <c r="A6371" t="str">
        <f>T("   ZZZ_Monde")</f>
        <v xml:space="preserve">   ZZZ_Monde</v>
      </c>
      <c r="B6371" t="str">
        <f>T("   ZZZ_Monde")</f>
        <v xml:space="preserve">   ZZZ_Monde</v>
      </c>
      <c r="C6371">
        <v>489600</v>
      </c>
      <c r="D6371">
        <v>575</v>
      </c>
    </row>
    <row r="6372" spans="1:4" x14ac:dyDescent="0.25">
      <c r="A6372" t="str">
        <f>T("   NG")</f>
        <v xml:space="preserve">   NG</v>
      </c>
      <c r="B6372" t="str">
        <f>T("   Nigéria")</f>
        <v xml:space="preserve">   Nigéria</v>
      </c>
      <c r="C6372">
        <v>489600</v>
      </c>
      <c r="D6372">
        <v>575</v>
      </c>
    </row>
    <row r="6373" spans="1:4" x14ac:dyDescent="0.25">
      <c r="A6373" t="str">
        <f>T("521151")</f>
        <v>521151</v>
      </c>
      <c r="B6373" t="str">
        <f>T("Tissus de coton, imprimés, à armure toile, contenant en prédominance, mais &lt; 85% en poids de coton, mélangés principalement ou uniquement avec des fibres synthétiques ou artificielles, d'un poids &gt; 200 g/m²")</f>
        <v>Tissus de coton, imprimés, à armure toile, contenant en prédominance, mais &lt; 85% en poids de coton, mélangés principalement ou uniquement avec des fibres synthétiques ou artificielles, d'un poids &gt; 200 g/m²</v>
      </c>
    </row>
    <row r="6374" spans="1:4" x14ac:dyDescent="0.25">
      <c r="A6374" t="str">
        <f>T("   ZZZ_Monde")</f>
        <v xml:space="preserve">   ZZZ_Monde</v>
      </c>
      <c r="B6374" t="str">
        <f>T("   ZZZ_Monde")</f>
        <v xml:space="preserve">   ZZZ_Monde</v>
      </c>
      <c r="C6374">
        <v>73294700</v>
      </c>
      <c r="D6374">
        <v>73980</v>
      </c>
    </row>
    <row r="6375" spans="1:4" x14ac:dyDescent="0.25">
      <c r="A6375" t="str">
        <f>T("   CN")</f>
        <v xml:space="preserve">   CN</v>
      </c>
      <c r="B6375" t="str">
        <f>T("   Chine")</f>
        <v xml:space="preserve">   Chine</v>
      </c>
      <c r="C6375">
        <v>17000000</v>
      </c>
      <c r="D6375">
        <v>20250</v>
      </c>
    </row>
    <row r="6376" spans="1:4" x14ac:dyDescent="0.25">
      <c r="A6376" t="str">
        <f>T("   TG")</f>
        <v xml:space="preserve">   TG</v>
      </c>
      <c r="B6376" t="str">
        <f>T("   Togo")</f>
        <v xml:space="preserve">   Togo</v>
      </c>
      <c r="C6376">
        <v>56294700</v>
      </c>
      <c r="D6376">
        <v>53730</v>
      </c>
    </row>
    <row r="6377" spans="1:4" x14ac:dyDescent="0.25">
      <c r="A6377" t="str">
        <f>T("521159")</f>
        <v>521159</v>
      </c>
      <c r="B6377" t="str">
        <f>T("Tissus de coton, imprimés, contenant en prédominance, mais &lt; 85% en poids de coton, mélangés principalement ou uniquement avec des fibres synthétiques ou artificielles, d'un poids &gt; 200 g/m² (à l'excl. des tissus à armure toile ou à armure sergé [y.c. le")</f>
        <v>Tissus de coton, imprimés, contenant en prédominance, mais &lt; 85% en poids de coton, mélangés principalement ou uniquement avec des fibres synthétiques ou artificielles, d'un poids &gt; 200 g/m² (à l'excl. des tissus à armure toile ou à armure sergé [y.c. le</v>
      </c>
    </row>
    <row r="6378" spans="1:4" x14ac:dyDescent="0.25">
      <c r="A6378" t="str">
        <f>T("   ZZZ_Monde")</f>
        <v xml:space="preserve">   ZZZ_Monde</v>
      </c>
      <c r="B6378" t="str">
        <f>T("   ZZZ_Monde")</f>
        <v xml:space="preserve">   ZZZ_Monde</v>
      </c>
      <c r="C6378">
        <v>80862012</v>
      </c>
      <c r="D6378">
        <v>163863</v>
      </c>
    </row>
    <row r="6379" spans="1:4" x14ac:dyDescent="0.25">
      <c r="A6379" t="str">
        <f>T("   CN")</f>
        <v xml:space="preserve">   CN</v>
      </c>
      <c r="B6379" t="str">
        <f>T("   Chine")</f>
        <v xml:space="preserve">   Chine</v>
      </c>
      <c r="C6379">
        <v>16792086</v>
      </c>
      <c r="D6379">
        <v>53680</v>
      </c>
    </row>
    <row r="6380" spans="1:4" x14ac:dyDescent="0.25">
      <c r="A6380" t="str">
        <f>T("   TG")</f>
        <v xml:space="preserve">   TG</v>
      </c>
      <c r="B6380" t="str">
        <f>T("   Togo")</f>
        <v xml:space="preserve">   Togo</v>
      </c>
      <c r="C6380">
        <v>44069926</v>
      </c>
      <c r="D6380">
        <v>89758</v>
      </c>
    </row>
    <row r="6381" spans="1:4" x14ac:dyDescent="0.25">
      <c r="A6381" t="str">
        <f>T("   TH")</f>
        <v xml:space="preserve">   TH</v>
      </c>
      <c r="B6381" t="str">
        <f>T("   Thaïlande")</f>
        <v xml:space="preserve">   Thaïlande</v>
      </c>
      <c r="C6381">
        <v>20000000</v>
      </c>
      <c r="D6381">
        <v>20425</v>
      </c>
    </row>
    <row r="6382" spans="1:4" x14ac:dyDescent="0.25">
      <c r="A6382" t="str">
        <f>T("521211")</f>
        <v>521211</v>
      </c>
      <c r="B6382" t="str">
        <f>T("Tissus de coton, écrus, contenant en prédominance, mais &lt; 85% en poids de coton, autres que mélangés principalement ou uniquement avec des fibres synthétiques ou artificielles, d'un poids &lt;= 200 g/m²")</f>
        <v>Tissus de coton, écrus, contenant en prédominance, mais &lt; 85% en poids de coton, autres que mélangés principalement ou uniquement avec des fibres synthétiques ou artificielles, d'un poids &lt;= 200 g/m²</v>
      </c>
    </row>
    <row r="6383" spans="1:4" x14ac:dyDescent="0.25">
      <c r="A6383" t="str">
        <f>T("   ZZZ_Monde")</f>
        <v xml:space="preserve">   ZZZ_Monde</v>
      </c>
      <c r="B6383" t="str">
        <f>T("   ZZZ_Monde")</f>
        <v xml:space="preserve">   ZZZ_Monde</v>
      </c>
      <c r="C6383">
        <v>3306266</v>
      </c>
      <c r="D6383">
        <v>9065</v>
      </c>
    </row>
    <row r="6384" spans="1:4" x14ac:dyDescent="0.25">
      <c r="A6384" t="str">
        <f>T("   TG")</f>
        <v xml:space="preserve">   TG</v>
      </c>
      <c r="B6384" t="str">
        <f>T("   Togo")</f>
        <v xml:space="preserve">   Togo</v>
      </c>
      <c r="C6384">
        <v>3306266</v>
      </c>
      <c r="D6384">
        <v>9065</v>
      </c>
    </row>
    <row r="6385" spans="1:4" x14ac:dyDescent="0.25">
      <c r="A6385" t="str">
        <f>T("521213")</f>
        <v>521213</v>
      </c>
      <c r="B6385" t="str">
        <f>T("Tissus de coton, teints, contenant en prédominance, mais &lt; 85% en poids de coton, autres que mélangés principalement ou uniquement avec des fibres synthétiques ou artificielles, d'un poids &lt;= 200 g/m²")</f>
        <v>Tissus de coton, teints, contenant en prédominance, mais &lt; 85% en poids de coton, autres que mélangés principalement ou uniquement avec des fibres synthétiques ou artificielles, d'un poids &lt;= 200 g/m²</v>
      </c>
    </row>
    <row r="6386" spans="1:4" x14ac:dyDescent="0.25">
      <c r="A6386" t="str">
        <f>T("   ZZZ_Monde")</f>
        <v xml:space="preserve">   ZZZ_Monde</v>
      </c>
      <c r="B6386" t="str">
        <f>T("   ZZZ_Monde")</f>
        <v xml:space="preserve">   ZZZ_Monde</v>
      </c>
      <c r="C6386">
        <v>1056146</v>
      </c>
      <c r="D6386">
        <v>85</v>
      </c>
    </row>
    <row r="6387" spans="1:4" x14ac:dyDescent="0.25">
      <c r="A6387" t="str">
        <f>T("   TG")</f>
        <v xml:space="preserve">   TG</v>
      </c>
      <c r="B6387" t="str">
        <f>T("   Togo")</f>
        <v xml:space="preserve">   Togo</v>
      </c>
      <c r="C6387">
        <v>1056146</v>
      </c>
      <c r="D6387">
        <v>85</v>
      </c>
    </row>
    <row r="6388" spans="1:4" x14ac:dyDescent="0.25">
      <c r="A6388" t="str">
        <f>T("521214")</f>
        <v>521214</v>
      </c>
      <c r="B6388" t="str">
        <f>T("Tissus de coton, en fils de diverses couleurs, contenant en prédominance, mais &lt; 85% en poids de coton, autres que mélangés principalement ou uniquement avec des fibres synthétiques ou artificielles, d'un poids &lt;= 200 g/m²")</f>
        <v>Tissus de coton, en fils de diverses couleurs, contenant en prédominance, mais &lt; 85% en poids de coton, autres que mélangés principalement ou uniquement avec des fibres synthétiques ou artificielles, d'un poids &lt;= 200 g/m²</v>
      </c>
    </row>
    <row r="6389" spans="1:4" x14ac:dyDescent="0.25">
      <c r="A6389" t="str">
        <f>T("   ZZZ_Monde")</f>
        <v xml:space="preserve">   ZZZ_Monde</v>
      </c>
      <c r="B6389" t="str">
        <f>T("   ZZZ_Monde")</f>
        <v xml:space="preserve">   ZZZ_Monde</v>
      </c>
      <c r="C6389">
        <v>2828671</v>
      </c>
      <c r="D6389">
        <v>4180</v>
      </c>
    </row>
    <row r="6390" spans="1:4" x14ac:dyDescent="0.25">
      <c r="A6390" t="str">
        <f>T("   CI")</f>
        <v xml:space="preserve">   CI</v>
      </c>
      <c r="B6390" t="str">
        <f>T("   Côte d'Ivoire")</f>
        <v xml:space="preserve">   Côte d'Ivoire</v>
      </c>
      <c r="C6390">
        <v>900000</v>
      </c>
      <c r="D6390">
        <v>870</v>
      </c>
    </row>
    <row r="6391" spans="1:4" x14ac:dyDescent="0.25">
      <c r="A6391" t="str">
        <f>T("   NG")</f>
        <v xml:space="preserve">   NG</v>
      </c>
      <c r="B6391" t="str">
        <f>T("   Nigéria")</f>
        <v xml:space="preserve">   Nigéria</v>
      </c>
      <c r="C6391">
        <v>1116000</v>
      </c>
      <c r="D6391">
        <v>930</v>
      </c>
    </row>
    <row r="6392" spans="1:4" x14ac:dyDescent="0.25">
      <c r="A6392" t="str">
        <f>T("   TG")</f>
        <v xml:space="preserve">   TG</v>
      </c>
      <c r="B6392" t="str">
        <f>T("   Togo")</f>
        <v xml:space="preserve">   Togo</v>
      </c>
      <c r="C6392">
        <v>812671</v>
      </c>
      <c r="D6392">
        <v>2380</v>
      </c>
    </row>
    <row r="6393" spans="1:4" x14ac:dyDescent="0.25">
      <c r="A6393" t="str">
        <f>T("521215")</f>
        <v>521215</v>
      </c>
      <c r="B6393" t="str">
        <f>T("Tissus de coton, imprimés, contenant en prédominance, mais &lt; 85% en poids de coton, autres que mélangés principalement ou uniquement avec des fibres synthétiques ou artificielles, d'un poids &lt;= 200 g/m²")</f>
        <v>Tissus de coton, imprimés, contenant en prédominance, mais &lt; 85% en poids de coton, autres que mélangés principalement ou uniquement avec des fibres synthétiques ou artificielles, d'un poids &lt;= 200 g/m²</v>
      </c>
    </row>
    <row r="6394" spans="1:4" x14ac:dyDescent="0.25">
      <c r="A6394" t="str">
        <f>T("   ZZZ_Monde")</f>
        <v xml:space="preserve">   ZZZ_Monde</v>
      </c>
      <c r="B6394" t="str">
        <f>T("   ZZZ_Monde")</f>
        <v xml:space="preserve">   ZZZ_Monde</v>
      </c>
      <c r="C6394">
        <v>53950000</v>
      </c>
      <c r="D6394">
        <v>58978</v>
      </c>
    </row>
    <row r="6395" spans="1:4" x14ac:dyDescent="0.25">
      <c r="A6395" t="str">
        <f>T("   CN")</f>
        <v xml:space="preserve">   CN</v>
      </c>
      <c r="B6395" t="str">
        <f>T("   Chine")</f>
        <v xml:space="preserve">   Chine</v>
      </c>
      <c r="C6395">
        <v>51000000</v>
      </c>
      <c r="D6395">
        <v>51700</v>
      </c>
    </row>
    <row r="6396" spans="1:4" x14ac:dyDescent="0.25">
      <c r="A6396" t="str">
        <f>T("   NG")</f>
        <v xml:space="preserve">   NG</v>
      </c>
      <c r="B6396" t="str">
        <f>T("   Nigéria")</f>
        <v xml:space="preserve">   Nigéria</v>
      </c>
      <c r="C6396">
        <v>50000</v>
      </c>
      <c r="D6396">
        <v>50</v>
      </c>
    </row>
    <row r="6397" spans="1:4" x14ac:dyDescent="0.25">
      <c r="A6397" t="str">
        <f>T("   TG")</f>
        <v xml:space="preserve">   TG</v>
      </c>
      <c r="B6397" t="str">
        <f>T("   Togo")</f>
        <v xml:space="preserve">   Togo</v>
      </c>
      <c r="C6397">
        <v>2900000</v>
      </c>
      <c r="D6397">
        <v>7228</v>
      </c>
    </row>
    <row r="6398" spans="1:4" x14ac:dyDescent="0.25">
      <c r="A6398" t="str">
        <f>T("521223")</f>
        <v>521223</v>
      </c>
      <c r="B6398" t="str">
        <f>T("Tissus de coton, teints, contenant en prédominance, mais &lt; 85% en poids de coton, autres que mélangés principalement ou uniquement avec des fibres synthétiques ou artificielles, d'un poids &gt; 200 g/m²")</f>
        <v>Tissus de coton, teints, contenant en prédominance, mais &lt; 85% en poids de coton, autres que mélangés principalement ou uniquement avec des fibres synthétiques ou artificielles, d'un poids &gt; 200 g/m²</v>
      </c>
    </row>
    <row r="6399" spans="1:4" x14ac:dyDescent="0.25">
      <c r="A6399" t="str">
        <f>T("   ZZZ_Monde")</f>
        <v xml:space="preserve">   ZZZ_Monde</v>
      </c>
      <c r="B6399" t="str">
        <f>T("   ZZZ_Monde")</f>
        <v xml:space="preserve">   ZZZ_Monde</v>
      </c>
      <c r="C6399">
        <v>400000</v>
      </c>
      <c r="D6399">
        <v>6500</v>
      </c>
    </row>
    <row r="6400" spans="1:4" x14ac:dyDescent="0.25">
      <c r="A6400" t="str">
        <f>T("   CN")</f>
        <v xml:space="preserve">   CN</v>
      </c>
      <c r="B6400" t="str">
        <f>T("   Chine")</f>
        <v xml:space="preserve">   Chine</v>
      </c>
      <c r="C6400">
        <v>400000</v>
      </c>
      <c r="D6400">
        <v>6500</v>
      </c>
    </row>
    <row r="6401" spans="1:4" x14ac:dyDescent="0.25">
      <c r="A6401" t="str">
        <f>T("521224")</f>
        <v>521224</v>
      </c>
      <c r="B6401" t="str">
        <f>T("Tissus de coton, en fils de diverses couleurs, contenant en prédominance, mais &lt; 85% en poids de coton, autres que mélangés principalement ou uniquement avec des fibres synthétiques ou artificielles, d'un poids &gt; 200 g/m²")</f>
        <v>Tissus de coton, en fils de diverses couleurs, contenant en prédominance, mais &lt; 85% en poids de coton, autres que mélangés principalement ou uniquement avec des fibres synthétiques ou artificielles, d'un poids &gt; 200 g/m²</v>
      </c>
    </row>
    <row r="6402" spans="1:4" x14ac:dyDescent="0.25">
      <c r="A6402" t="str">
        <f>T("   ZZZ_Monde")</f>
        <v xml:space="preserve">   ZZZ_Monde</v>
      </c>
      <c r="B6402" t="str">
        <f>T("   ZZZ_Monde")</f>
        <v xml:space="preserve">   ZZZ_Monde</v>
      </c>
      <c r="C6402">
        <v>898665</v>
      </c>
      <c r="D6402">
        <v>89.6</v>
      </c>
    </row>
    <row r="6403" spans="1:4" x14ac:dyDescent="0.25">
      <c r="A6403" t="str">
        <f>T("   AU")</f>
        <v xml:space="preserve">   AU</v>
      </c>
      <c r="B6403" t="str">
        <f>T("   Australie")</f>
        <v xml:space="preserve">   Australie</v>
      </c>
      <c r="C6403">
        <v>898665</v>
      </c>
      <c r="D6403">
        <v>89.6</v>
      </c>
    </row>
    <row r="6404" spans="1:4" x14ac:dyDescent="0.25">
      <c r="A6404" t="str">
        <f>T("521225")</f>
        <v>521225</v>
      </c>
      <c r="B6404" t="str">
        <f>T("Tissus de coton, imprimés, contenant en prédominance, mais &lt; 85% en poids de coton, autres que mélangés principalement ou uniquement avec des fibres synthétiques ou artificielles, d'un poids &gt; 200 g/m²")</f>
        <v>Tissus de coton, imprimés, contenant en prédominance, mais &lt; 85% en poids de coton, autres que mélangés principalement ou uniquement avec des fibres synthétiques ou artificielles, d'un poids &gt; 200 g/m²</v>
      </c>
    </row>
    <row r="6405" spans="1:4" x14ac:dyDescent="0.25">
      <c r="A6405" t="str">
        <f>T("   ZZZ_Monde")</f>
        <v xml:space="preserve">   ZZZ_Monde</v>
      </c>
      <c r="B6405" t="str">
        <f>T("   ZZZ_Monde")</f>
        <v xml:space="preserve">   ZZZ_Monde</v>
      </c>
      <c r="C6405">
        <v>319852170</v>
      </c>
      <c r="D6405">
        <v>359355</v>
      </c>
    </row>
    <row r="6406" spans="1:4" x14ac:dyDescent="0.25">
      <c r="A6406" t="str">
        <f>T("   CN")</f>
        <v xml:space="preserve">   CN</v>
      </c>
      <c r="B6406" t="str">
        <f>T("   Chine")</f>
        <v xml:space="preserve">   Chine</v>
      </c>
      <c r="C6406">
        <v>200850607</v>
      </c>
      <c r="D6406">
        <v>222424</v>
      </c>
    </row>
    <row r="6407" spans="1:4" x14ac:dyDescent="0.25">
      <c r="A6407" t="str">
        <f>T("   IN")</f>
        <v xml:space="preserve">   IN</v>
      </c>
      <c r="B6407" t="str">
        <f>T("   Inde")</f>
        <v xml:space="preserve">   Inde</v>
      </c>
      <c r="C6407">
        <v>88001261</v>
      </c>
      <c r="D6407">
        <v>99602</v>
      </c>
    </row>
    <row r="6408" spans="1:4" x14ac:dyDescent="0.25">
      <c r="A6408" t="str">
        <f>T("   TH")</f>
        <v xml:space="preserve">   TH</v>
      </c>
      <c r="B6408" t="str">
        <f>T("   Thaïlande")</f>
        <v xml:space="preserve">   Thaïlande</v>
      </c>
      <c r="C6408">
        <v>31000302</v>
      </c>
      <c r="D6408">
        <v>37329</v>
      </c>
    </row>
    <row r="6409" spans="1:4" x14ac:dyDescent="0.25">
      <c r="A6409" t="str">
        <f>T("530390")</f>
        <v>530390</v>
      </c>
      <c r="B6409" t="str">
        <f>T("Jute et autres fibres textiles libériennes, travaillés mais non filés (à l'excl. des produits rouis ainsi que du lin, du chanvre et de la ramie); étoupes et déchets de ces fibres, y.c. les déchets de fils et les effilochés")</f>
        <v>Jute et autres fibres textiles libériennes, travaillés mais non filés (à l'excl. des produits rouis ainsi que du lin, du chanvre et de la ramie); étoupes et déchets de ces fibres, y.c. les déchets de fils et les effilochés</v>
      </c>
    </row>
    <row r="6410" spans="1:4" x14ac:dyDescent="0.25">
      <c r="A6410" t="str">
        <f>T("   ZZZ_Monde")</f>
        <v xml:space="preserve">   ZZZ_Monde</v>
      </c>
      <c r="B6410" t="str">
        <f>T("   ZZZ_Monde")</f>
        <v xml:space="preserve">   ZZZ_Monde</v>
      </c>
      <c r="C6410">
        <v>21435286</v>
      </c>
      <c r="D6410">
        <v>38649</v>
      </c>
    </row>
    <row r="6411" spans="1:4" x14ac:dyDescent="0.25">
      <c r="A6411" t="str">
        <f>T("   BD")</f>
        <v xml:space="preserve">   BD</v>
      </c>
      <c r="B6411" t="str">
        <f>T("   Bangladesh")</f>
        <v xml:space="preserve">   Bangladesh</v>
      </c>
      <c r="C6411">
        <v>21435286</v>
      </c>
      <c r="D6411">
        <v>38649</v>
      </c>
    </row>
    <row r="6412" spans="1:4" x14ac:dyDescent="0.25">
      <c r="A6412" t="str">
        <f>T("530410")</f>
        <v>530410</v>
      </c>
      <c r="B6412" t="str">
        <f>T("Sisal et autres fibres textiles du genre 'Agave', bruts")</f>
        <v>Sisal et autres fibres textiles du genre 'Agave', bruts</v>
      </c>
    </row>
    <row r="6413" spans="1:4" x14ac:dyDescent="0.25">
      <c r="A6413" t="str">
        <f>T("   ZZZ_Monde")</f>
        <v xml:space="preserve">   ZZZ_Monde</v>
      </c>
      <c r="B6413" t="str">
        <f>T("   ZZZ_Monde")</f>
        <v xml:space="preserve">   ZZZ_Monde</v>
      </c>
      <c r="C6413">
        <v>26752524</v>
      </c>
      <c r="D6413">
        <v>29000</v>
      </c>
    </row>
    <row r="6414" spans="1:4" x14ac:dyDescent="0.25">
      <c r="A6414" t="str">
        <f>T("   KE")</f>
        <v xml:space="preserve">   KE</v>
      </c>
      <c r="B6414" t="str">
        <f>T("   Kenya")</f>
        <v xml:space="preserve">   Kenya</v>
      </c>
      <c r="C6414">
        <v>26752524</v>
      </c>
      <c r="D6414">
        <v>29000</v>
      </c>
    </row>
    <row r="6415" spans="1:4" x14ac:dyDescent="0.25">
      <c r="A6415" t="str">
        <f>T("530490")</f>
        <v>530490</v>
      </c>
      <c r="B6415" t="str">
        <f>T("Sisal et autres fibres textiles du genre 'Agave', travaillés mais non filés; étoupes et déchets de ces fibres, y.c. les déchets de fils et les effilochés")</f>
        <v>Sisal et autres fibres textiles du genre 'Agave', travaillés mais non filés; étoupes et déchets de ces fibres, y.c. les déchets de fils et les effilochés</v>
      </c>
    </row>
    <row r="6416" spans="1:4" x14ac:dyDescent="0.25">
      <c r="A6416" t="str">
        <f>T("   ZZZ_Monde")</f>
        <v xml:space="preserve">   ZZZ_Monde</v>
      </c>
      <c r="B6416" t="str">
        <f>T("   ZZZ_Monde")</f>
        <v xml:space="preserve">   ZZZ_Monde</v>
      </c>
      <c r="C6416">
        <v>27890669</v>
      </c>
      <c r="D6416">
        <v>29000</v>
      </c>
    </row>
    <row r="6417" spans="1:4" x14ac:dyDescent="0.25">
      <c r="A6417" t="str">
        <f>T("   KE")</f>
        <v xml:space="preserve">   KE</v>
      </c>
      <c r="B6417" t="str">
        <f>T("   Kenya")</f>
        <v xml:space="preserve">   Kenya</v>
      </c>
      <c r="C6417">
        <v>27890669</v>
      </c>
      <c r="D6417">
        <v>29000</v>
      </c>
    </row>
    <row r="6418" spans="1:4" x14ac:dyDescent="0.25">
      <c r="A6418" t="str">
        <f>T("530591")</f>
        <v>530591</v>
      </c>
      <c r="B6418" t="str">
        <f>T("FIBRES DE RAMIE ET AUTRES FIBRES TEXTILES VÉGÉTALES, N.D.A., BRUTES")</f>
        <v>FIBRES DE RAMIE ET AUTRES FIBRES TEXTILES VÉGÉTALES, N.D.A., BRUTES</v>
      </c>
    </row>
    <row r="6419" spans="1:4" x14ac:dyDescent="0.25">
      <c r="A6419" t="str">
        <f>T("   ZZZ_Monde")</f>
        <v xml:space="preserve">   ZZZ_Monde</v>
      </c>
      <c r="B6419" t="str">
        <f>T("   ZZZ_Monde")</f>
        <v xml:space="preserve">   ZZZ_Monde</v>
      </c>
      <c r="C6419">
        <v>716207</v>
      </c>
      <c r="D6419">
        <v>1200</v>
      </c>
    </row>
    <row r="6420" spans="1:4" x14ac:dyDescent="0.25">
      <c r="A6420" t="str">
        <f>T("   TG")</f>
        <v xml:space="preserve">   TG</v>
      </c>
      <c r="B6420" t="str">
        <f>T("   Togo")</f>
        <v xml:space="preserve">   Togo</v>
      </c>
      <c r="C6420">
        <v>716207</v>
      </c>
      <c r="D6420">
        <v>1200</v>
      </c>
    </row>
    <row r="6421" spans="1:4" x14ac:dyDescent="0.25">
      <c r="A6421" t="str">
        <f>T("530710")</f>
        <v>530710</v>
      </c>
      <c r="B6421" t="str">
        <f>T("Fils de jute ou d'autres fibres textiles libériennes du n° 5303, simples")</f>
        <v>Fils de jute ou d'autres fibres textiles libériennes du n° 5303, simples</v>
      </c>
    </row>
    <row r="6422" spans="1:4" x14ac:dyDescent="0.25">
      <c r="A6422" t="str">
        <f>T("   ZZZ_Monde")</f>
        <v xml:space="preserve">   ZZZ_Monde</v>
      </c>
      <c r="B6422" t="str">
        <f>T("   ZZZ_Monde")</f>
        <v xml:space="preserve">   ZZZ_Monde</v>
      </c>
      <c r="C6422">
        <v>2342104</v>
      </c>
      <c r="D6422">
        <v>4000</v>
      </c>
    </row>
    <row r="6423" spans="1:4" x14ac:dyDescent="0.25">
      <c r="A6423" t="str">
        <f>T("   IN")</f>
        <v xml:space="preserve">   IN</v>
      </c>
      <c r="B6423" t="str">
        <f>T("   Inde")</f>
        <v xml:space="preserve">   Inde</v>
      </c>
      <c r="C6423">
        <v>2342104</v>
      </c>
      <c r="D6423">
        <v>4000</v>
      </c>
    </row>
    <row r="6424" spans="1:4" x14ac:dyDescent="0.25">
      <c r="A6424" t="str">
        <f>T("530890")</f>
        <v>530890</v>
      </c>
      <c r="B6424" t="str">
        <f>T("Fils de fibres textiles végétales (à l'excl. des fils de coton, de lin, de coco, de chanvre, de jute ou d'autres fibres textiles libériennes du n° 5303)")</f>
        <v>Fils de fibres textiles végétales (à l'excl. des fils de coton, de lin, de coco, de chanvre, de jute ou d'autres fibres textiles libériennes du n° 5303)</v>
      </c>
    </row>
    <row r="6425" spans="1:4" x14ac:dyDescent="0.25">
      <c r="A6425" t="str">
        <f>T("   ZZZ_Monde")</f>
        <v xml:space="preserve">   ZZZ_Monde</v>
      </c>
      <c r="B6425" t="str">
        <f>T("   ZZZ_Monde")</f>
        <v xml:space="preserve">   ZZZ_Monde</v>
      </c>
      <c r="C6425">
        <v>2947457</v>
      </c>
      <c r="D6425">
        <v>4100</v>
      </c>
    </row>
    <row r="6426" spans="1:4" x14ac:dyDescent="0.25">
      <c r="A6426" t="str">
        <f>T("   TG")</f>
        <v xml:space="preserve">   TG</v>
      </c>
      <c r="B6426" t="str">
        <f>T("   Togo")</f>
        <v xml:space="preserve">   Togo</v>
      </c>
      <c r="C6426">
        <v>2947457</v>
      </c>
      <c r="D6426">
        <v>4100</v>
      </c>
    </row>
    <row r="6427" spans="1:4" x14ac:dyDescent="0.25">
      <c r="A6427" t="str">
        <f>T("530919")</f>
        <v>530919</v>
      </c>
      <c r="B6427" t="str">
        <f>T("Tissus de lin, contenant &gt;= 85% en poids de lin, teints ou en fils de diverses couleurs ou imprimés")</f>
        <v>Tissus de lin, contenant &gt;= 85% en poids de lin, teints ou en fils de diverses couleurs ou imprimés</v>
      </c>
    </row>
    <row r="6428" spans="1:4" x14ac:dyDescent="0.25">
      <c r="A6428" t="str">
        <f>T("   ZZZ_Monde")</f>
        <v xml:space="preserve">   ZZZ_Monde</v>
      </c>
      <c r="B6428" t="str">
        <f>T("   ZZZ_Monde")</f>
        <v xml:space="preserve">   ZZZ_Monde</v>
      </c>
      <c r="C6428">
        <v>3067185</v>
      </c>
      <c r="D6428">
        <v>3420</v>
      </c>
    </row>
    <row r="6429" spans="1:4" x14ac:dyDescent="0.25">
      <c r="A6429" t="str">
        <f>T("   TG")</f>
        <v xml:space="preserve">   TG</v>
      </c>
      <c r="B6429" t="str">
        <f>T("   Togo")</f>
        <v xml:space="preserve">   Togo</v>
      </c>
      <c r="C6429">
        <v>3067185</v>
      </c>
      <c r="D6429">
        <v>3420</v>
      </c>
    </row>
    <row r="6430" spans="1:4" x14ac:dyDescent="0.25">
      <c r="A6430" t="str">
        <f>T("530929")</f>
        <v>530929</v>
      </c>
      <c r="B6430" t="str">
        <f>T("Tissus de lin, contenant en prédominance, mais &lt; 85% en poids de lin, teints ou en fils de diverses couleurs ou imprimés")</f>
        <v>Tissus de lin, contenant en prédominance, mais &lt; 85% en poids de lin, teints ou en fils de diverses couleurs ou imprimés</v>
      </c>
    </row>
    <row r="6431" spans="1:4" x14ac:dyDescent="0.25">
      <c r="A6431" t="str">
        <f>T("   ZZZ_Monde")</f>
        <v xml:space="preserve">   ZZZ_Monde</v>
      </c>
      <c r="B6431" t="str">
        <f>T("   ZZZ_Monde")</f>
        <v xml:space="preserve">   ZZZ_Monde</v>
      </c>
      <c r="C6431">
        <v>17000000</v>
      </c>
      <c r="D6431">
        <v>18560</v>
      </c>
    </row>
    <row r="6432" spans="1:4" x14ac:dyDescent="0.25">
      <c r="A6432" t="str">
        <f>T("   BR")</f>
        <v xml:space="preserve">   BR</v>
      </c>
      <c r="B6432" t="str">
        <f>T("   Brésil")</f>
        <v xml:space="preserve">   Brésil</v>
      </c>
      <c r="C6432">
        <v>17000000</v>
      </c>
      <c r="D6432">
        <v>18560</v>
      </c>
    </row>
    <row r="6433" spans="1:4" x14ac:dyDescent="0.25">
      <c r="A6433" t="str">
        <f>T("531100")</f>
        <v>531100</v>
      </c>
      <c r="B6433" t="str">
        <f>T("Tissus de fibres textiles végétales (à l'excl. des tissus de coton, de lin, de jute ou d'autres fibres textiles libériennes du n° 5303); tissus de fils de papier")</f>
        <v>Tissus de fibres textiles végétales (à l'excl. des tissus de coton, de lin, de jute ou d'autres fibres textiles libériennes du n° 5303); tissus de fils de papier</v>
      </c>
    </row>
    <row r="6434" spans="1:4" x14ac:dyDescent="0.25">
      <c r="A6434" t="str">
        <f>T("   ZZZ_Monde")</f>
        <v xml:space="preserve">   ZZZ_Monde</v>
      </c>
      <c r="B6434" t="str">
        <f>T("   ZZZ_Monde")</f>
        <v xml:space="preserve">   ZZZ_Monde</v>
      </c>
      <c r="C6434">
        <v>1201590</v>
      </c>
      <c r="D6434">
        <v>2095</v>
      </c>
    </row>
    <row r="6435" spans="1:4" x14ac:dyDescent="0.25">
      <c r="A6435" t="str">
        <f>T("   CN")</f>
        <v xml:space="preserve">   CN</v>
      </c>
      <c r="B6435" t="str">
        <f>T("   Chine")</f>
        <v xml:space="preserve">   Chine</v>
      </c>
      <c r="C6435">
        <v>1201590</v>
      </c>
      <c r="D6435">
        <v>2095</v>
      </c>
    </row>
    <row r="6436" spans="1:4" x14ac:dyDescent="0.25">
      <c r="A6436" t="str">
        <f>T("540110")</f>
        <v>540110</v>
      </c>
      <c r="B6436" t="str">
        <f>T("Fils à coudre de filaments synthétiques, même conditionnés pour la vente au détail")</f>
        <v>Fils à coudre de filaments synthétiques, même conditionnés pour la vente au détail</v>
      </c>
    </row>
    <row r="6437" spans="1:4" x14ac:dyDescent="0.25">
      <c r="A6437" t="str">
        <f>T("   ZZZ_Monde")</f>
        <v xml:space="preserve">   ZZZ_Monde</v>
      </c>
      <c r="B6437" t="str">
        <f>T("   ZZZ_Monde")</f>
        <v xml:space="preserve">   ZZZ_Monde</v>
      </c>
      <c r="C6437">
        <v>73221742</v>
      </c>
      <c r="D6437">
        <v>99016</v>
      </c>
    </row>
    <row r="6438" spans="1:4" x14ac:dyDescent="0.25">
      <c r="A6438" t="str">
        <f>T("   BE")</f>
        <v xml:space="preserve">   BE</v>
      </c>
      <c r="B6438" t="str">
        <f>T("   Belgique")</f>
        <v xml:space="preserve">   Belgique</v>
      </c>
      <c r="C6438">
        <v>231554</v>
      </c>
      <c r="D6438">
        <v>88</v>
      </c>
    </row>
    <row r="6439" spans="1:4" x14ac:dyDescent="0.25">
      <c r="A6439" t="str">
        <f>T("   CN")</f>
        <v xml:space="preserve">   CN</v>
      </c>
      <c r="B6439" t="str">
        <f>T("   Chine")</f>
        <v xml:space="preserve">   Chine</v>
      </c>
      <c r="C6439">
        <v>69703526</v>
      </c>
      <c r="D6439">
        <v>76733</v>
      </c>
    </row>
    <row r="6440" spans="1:4" x14ac:dyDescent="0.25">
      <c r="A6440" t="str">
        <f>T("   GH")</f>
        <v xml:space="preserve">   GH</v>
      </c>
      <c r="B6440" t="str">
        <f>T("   Ghana")</f>
        <v xml:space="preserve">   Ghana</v>
      </c>
      <c r="C6440">
        <v>1976221</v>
      </c>
      <c r="D6440">
        <v>17250</v>
      </c>
    </row>
    <row r="6441" spans="1:4" x14ac:dyDescent="0.25">
      <c r="A6441" t="str">
        <f>T("   TG")</f>
        <v xml:space="preserve">   TG</v>
      </c>
      <c r="B6441" t="str">
        <f>T("   Togo")</f>
        <v xml:space="preserve">   Togo</v>
      </c>
      <c r="C6441">
        <v>1310441</v>
      </c>
      <c r="D6441">
        <v>4945</v>
      </c>
    </row>
    <row r="6442" spans="1:4" x14ac:dyDescent="0.25">
      <c r="A6442" t="str">
        <f>T("540120")</f>
        <v>540120</v>
      </c>
      <c r="B6442" t="str">
        <f>T("Fils à coudre de filaments artificiels, même conditionnés pour la vente au détail")</f>
        <v>Fils à coudre de filaments artificiels, même conditionnés pour la vente au détail</v>
      </c>
    </row>
    <row r="6443" spans="1:4" x14ac:dyDescent="0.25">
      <c r="A6443" t="str">
        <f>T("   ZZZ_Monde")</f>
        <v xml:space="preserve">   ZZZ_Monde</v>
      </c>
      <c r="B6443" t="str">
        <f>T("   ZZZ_Monde")</f>
        <v xml:space="preserve">   ZZZ_Monde</v>
      </c>
      <c r="C6443">
        <v>53805423</v>
      </c>
      <c r="D6443">
        <v>114203</v>
      </c>
    </row>
    <row r="6444" spans="1:4" x14ac:dyDescent="0.25">
      <c r="A6444" t="str">
        <f>T("   CN")</f>
        <v xml:space="preserve">   CN</v>
      </c>
      <c r="B6444" t="str">
        <f>T("   Chine")</f>
        <v xml:space="preserve">   Chine</v>
      </c>
      <c r="C6444">
        <v>51040276</v>
      </c>
      <c r="D6444">
        <v>102029</v>
      </c>
    </row>
    <row r="6445" spans="1:4" x14ac:dyDescent="0.25">
      <c r="A6445" t="str">
        <f>T("   TG")</f>
        <v xml:space="preserve">   TG</v>
      </c>
      <c r="B6445" t="str">
        <f>T("   Togo")</f>
        <v xml:space="preserve">   Togo</v>
      </c>
      <c r="C6445">
        <v>2236597</v>
      </c>
      <c r="D6445">
        <v>11674</v>
      </c>
    </row>
    <row r="6446" spans="1:4" x14ac:dyDescent="0.25">
      <c r="A6446" t="str">
        <f>T("   Z2")</f>
        <v xml:space="preserve">   Z2</v>
      </c>
      <c r="B6446" t="str">
        <f>T("   Pays non défini")</f>
        <v xml:space="preserve">   Pays non défini</v>
      </c>
      <c r="C6446">
        <v>528550</v>
      </c>
      <c r="D6446">
        <v>500</v>
      </c>
    </row>
    <row r="6447" spans="1:4" x14ac:dyDescent="0.25">
      <c r="A6447" t="str">
        <f>T("540210")</f>
        <v>540210</v>
      </c>
      <c r="B6447" t="str">
        <f>T("FILS À HAUTE TÉNACITÉ DE FILAMENTS DE NYLON OU D'AUTRES POLYAMIDES, NON-CONDITIONNÉS POUR LA VENTE AU DÉTAIL (À L'EXCL. DES FILS À COUDRE)")</f>
        <v>FILS À HAUTE TÉNACITÉ DE FILAMENTS DE NYLON OU D'AUTRES POLYAMIDES, NON-CONDITIONNÉS POUR LA VENTE AU DÉTAIL (À L'EXCL. DES FILS À COUDRE)</v>
      </c>
    </row>
    <row r="6448" spans="1:4" x14ac:dyDescent="0.25">
      <c r="A6448" t="str">
        <f>T("   ZZZ_Monde")</f>
        <v xml:space="preserve">   ZZZ_Monde</v>
      </c>
      <c r="B6448" t="str">
        <f>T("   ZZZ_Monde")</f>
        <v xml:space="preserve">   ZZZ_Monde</v>
      </c>
      <c r="C6448">
        <v>2945126</v>
      </c>
      <c r="D6448">
        <v>3033</v>
      </c>
    </row>
    <row r="6449" spans="1:4" x14ac:dyDescent="0.25">
      <c r="A6449" t="str">
        <f>T("   CN")</f>
        <v xml:space="preserve">   CN</v>
      </c>
      <c r="B6449" t="str">
        <f>T("   Chine")</f>
        <v xml:space="preserve">   Chine</v>
      </c>
      <c r="C6449">
        <v>2945126</v>
      </c>
      <c r="D6449">
        <v>3033</v>
      </c>
    </row>
    <row r="6450" spans="1:4" x14ac:dyDescent="0.25">
      <c r="A6450" t="str">
        <f>T("540220")</f>
        <v>540220</v>
      </c>
      <c r="B6450" t="str">
        <f>T("Fils à haute ténacité de filaments de polyesters, non conditionnés pour la vente au détail (à l'excl. des fils à coudre)")</f>
        <v>Fils à haute ténacité de filaments de polyesters, non conditionnés pour la vente au détail (à l'excl. des fils à coudre)</v>
      </c>
    </row>
    <row r="6451" spans="1:4" x14ac:dyDescent="0.25">
      <c r="A6451" t="str">
        <f>T("   ZZZ_Monde")</f>
        <v xml:space="preserve">   ZZZ_Monde</v>
      </c>
      <c r="B6451" t="str">
        <f>T("   ZZZ_Monde")</f>
        <v xml:space="preserve">   ZZZ_Monde</v>
      </c>
      <c r="C6451">
        <v>12000003</v>
      </c>
      <c r="D6451">
        <v>15664</v>
      </c>
    </row>
    <row r="6452" spans="1:4" x14ac:dyDescent="0.25">
      <c r="A6452" t="str">
        <f>T("   CN")</f>
        <v xml:space="preserve">   CN</v>
      </c>
      <c r="B6452" t="str">
        <f>T("   Chine")</f>
        <v xml:space="preserve">   Chine</v>
      </c>
      <c r="C6452">
        <v>12000003</v>
      </c>
      <c r="D6452">
        <v>15664</v>
      </c>
    </row>
    <row r="6453" spans="1:4" x14ac:dyDescent="0.25">
      <c r="A6453" t="str">
        <f>T("540239")</f>
        <v>540239</v>
      </c>
      <c r="B6453" t="str">
        <f>T("FILS TEXTURÉS DE FILAMENTS SYNTHÉTIQUES, NON-CONDITIONNÉS POUR LA VENTE AU DÉTAIL (À L'EXCL. DES FILS À COUDRE AINSI QUE DES FILS TEXTURÉS DE FILAMENTS DE POLYESTERS, DE NYLON OU D'AUTRES POLYAMIDES)")</f>
        <v>FILS TEXTURÉS DE FILAMENTS SYNTHÉTIQUES, NON-CONDITIONNÉS POUR LA VENTE AU DÉTAIL (À L'EXCL. DES FILS À COUDRE AINSI QUE DES FILS TEXTURÉS DE FILAMENTS DE POLYESTERS, DE NYLON OU D'AUTRES POLYAMIDES)</v>
      </c>
    </row>
    <row r="6454" spans="1:4" x14ac:dyDescent="0.25">
      <c r="A6454" t="str">
        <f>T("   ZZZ_Monde")</f>
        <v xml:space="preserve">   ZZZ_Monde</v>
      </c>
      <c r="B6454" t="str">
        <f>T("   ZZZ_Monde")</f>
        <v xml:space="preserve">   ZZZ_Monde</v>
      </c>
      <c r="C6454">
        <v>4425000</v>
      </c>
      <c r="D6454">
        <v>5000</v>
      </c>
    </row>
    <row r="6455" spans="1:4" x14ac:dyDescent="0.25">
      <c r="A6455" t="str">
        <f>T("   CN")</f>
        <v xml:space="preserve">   CN</v>
      </c>
      <c r="B6455" t="str">
        <f>T("   Chine")</f>
        <v xml:space="preserve">   Chine</v>
      </c>
      <c r="C6455">
        <v>3825000</v>
      </c>
      <c r="D6455">
        <v>3500</v>
      </c>
    </row>
    <row r="6456" spans="1:4" x14ac:dyDescent="0.25">
      <c r="A6456" t="str">
        <f>T("   GH")</f>
        <v xml:space="preserve">   GH</v>
      </c>
      <c r="B6456" t="str">
        <f>T("   Ghana")</f>
        <v xml:space="preserve">   Ghana</v>
      </c>
      <c r="C6456">
        <v>600000</v>
      </c>
      <c r="D6456">
        <v>1500</v>
      </c>
    </row>
    <row r="6457" spans="1:4" x14ac:dyDescent="0.25">
      <c r="A6457" t="str">
        <f>T("540333")</f>
        <v>540333</v>
      </c>
      <c r="B6457" t="str">
        <f>T("Fils simples, de filaments d'acétate de cellulose, y.c. les monofilaments de moins de 67 décitex (à l'excl. des fils à coudre et des fils texturés et conditionnés pour la vente au détail)")</f>
        <v>Fils simples, de filaments d'acétate de cellulose, y.c. les monofilaments de moins de 67 décitex (à l'excl. des fils à coudre et des fils texturés et conditionnés pour la vente au détail)</v>
      </c>
    </row>
    <row r="6458" spans="1:4" x14ac:dyDescent="0.25">
      <c r="A6458" t="str">
        <f>T("   ZZZ_Monde")</f>
        <v xml:space="preserve">   ZZZ_Monde</v>
      </c>
      <c r="B6458" t="str">
        <f>T("   ZZZ_Monde")</f>
        <v xml:space="preserve">   ZZZ_Monde</v>
      </c>
      <c r="C6458">
        <v>150000</v>
      </c>
      <c r="D6458">
        <v>300</v>
      </c>
    </row>
    <row r="6459" spans="1:4" x14ac:dyDescent="0.25">
      <c r="A6459" t="str">
        <f>T("   BE")</f>
        <v xml:space="preserve">   BE</v>
      </c>
      <c r="B6459" t="str">
        <f>T("   Belgique")</f>
        <v xml:space="preserve">   Belgique</v>
      </c>
      <c r="C6459">
        <v>150000</v>
      </c>
      <c r="D6459">
        <v>300</v>
      </c>
    </row>
    <row r="6460" spans="1:4" x14ac:dyDescent="0.25">
      <c r="A6460" t="str">
        <f>T("540410")</f>
        <v>540410</v>
      </c>
      <c r="B6460" t="str">
        <f>T("Monofilaments synthétiques de &gt;= 67 décitex et dont la plus grande dimension de la coupe transversale &lt;= 1 mm")</f>
        <v>Monofilaments synthétiques de &gt;= 67 décitex et dont la plus grande dimension de la coupe transversale &lt;= 1 mm</v>
      </c>
    </row>
    <row r="6461" spans="1:4" x14ac:dyDescent="0.25">
      <c r="A6461" t="str">
        <f>T("   ZZZ_Monde")</f>
        <v xml:space="preserve">   ZZZ_Monde</v>
      </c>
      <c r="B6461" t="str">
        <f>T("   ZZZ_Monde")</f>
        <v xml:space="preserve">   ZZZ_Monde</v>
      </c>
      <c r="C6461">
        <v>6924062</v>
      </c>
      <c r="D6461">
        <v>8516</v>
      </c>
    </row>
    <row r="6462" spans="1:4" x14ac:dyDescent="0.25">
      <c r="A6462" t="str">
        <f>T("   CN")</f>
        <v xml:space="preserve">   CN</v>
      </c>
      <c r="B6462" t="str">
        <f>T("   Chine")</f>
        <v xml:space="preserve">   Chine</v>
      </c>
      <c r="C6462">
        <v>6924062</v>
      </c>
      <c r="D6462">
        <v>8516</v>
      </c>
    </row>
    <row r="6463" spans="1:4" x14ac:dyDescent="0.25">
      <c r="A6463" t="str">
        <f>T("540490")</f>
        <v>540490</v>
      </c>
      <c r="B6463" t="str">
        <f>T("LAMES ET FORMES SIMIL. [PAILLE ARTIFICIELLE, P.EX.], EN MATIÈRES TEXTILES SYNTHÉTIQUES, D'UNE LARGEUR APPARENTE &lt;= 5 MM")</f>
        <v>LAMES ET FORMES SIMIL. [PAILLE ARTIFICIELLE, P.EX.], EN MATIÈRES TEXTILES SYNTHÉTIQUES, D'UNE LARGEUR APPARENTE &lt;= 5 MM</v>
      </c>
    </row>
    <row r="6464" spans="1:4" x14ac:dyDescent="0.25">
      <c r="A6464" t="str">
        <f>T("   ZZZ_Monde")</f>
        <v xml:space="preserve">   ZZZ_Monde</v>
      </c>
      <c r="B6464" t="str">
        <f>T("   ZZZ_Monde")</f>
        <v xml:space="preserve">   ZZZ_Monde</v>
      </c>
      <c r="C6464">
        <v>69532</v>
      </c>
      <c r="D6464">
        <v>10</v>
      </c>
    </row>
    <row r="6465" spans="1:4" x14ac:dyDescent="0.25">
      <c r="A6465" t="str">
        <f>T("   BE")</f>
        <v xml:space="preserve">   BE</v>
      </c>
      <c r="B6465" t="str">
        <f>T("   Belgique")</f>
        <v xml:space="preserve">   Belgique</v>
      </c>
      <c r="C6465">
        <v>69532</v>
      </c>
      <c r="D6465">
        <v>10</v>
      </c>
    </row>
    <row r="6466" spans="1:4" x14ac:dyDescent="0.25">
      <c r="A6466" t="str">
        <f>T("540620")</f>
        <v>540620</v>
      </c>
      <c r="B6466" t="str">
        <f>T("Fils de filaments artificiels, conditionnés pour la vente au détail (à l'excl. des fils à coudre)")</f>
        <v>Fils de filaments artificiels, conditionnés pour la vente au détail (à l'excl. des fils à coudre)</v>
      </c>
    </row>
    <row r="6467" spans="1:4" x14ac:dyDescent="0.25">
      <c r="A6467" t="str">
        <f>T("   ZZZ_Monde")</f>
        <v xml:space="preserve">   ZZZ_Monde</v>
      </c>
      <c r="B6467" t="str">
        <f>T("   ZZZ_Monde")</f>
        <v xml:space="preserve">   ZZZ_Monde</v>
      </c>
      <c r="C6467">
        <v>139050</v>
      </c>
      <c r="D6467">
        <v>206</v>
      </c>
    </row>
    <row r="6468" spans="1:4" x14ac:dyDescent="0.25">
      <c r="A6468" t="str">
        <f>T("   NG")</f>
        <v xml:space="preserve">   NG</v>
      </c>
      <c r="B6468" t="str">
        <f>T("   Nigéria")</f>
        <v xml:space="preserve">   Nigéria</v>
      </c>
      <c r="C6468">
        <v>139050</v>
      </c>
      <c r="D6468">
        <v>206</v>
      </c>
    </row>
    <row r="6469" spans="1:4" x14ac:dyDescent="0.25">
      <c r="A6469" t="str">
        <f>T("540754")</f>
        <v>540754</v>
      </c>
      <c r="B6469" t="str">
        <f>T("Tissus imprimés, obtenus à partir de fils contenant &gt;= 85% en poids de filaments de polyester texturés, y.c. les tissus obtenus à partir des monofilaments du n° 5404")</f>
        <v>Tissus imprimés, obtenus à partir de fils contenant &gt;= 85% en poids de filaments de polyester texturés, y.c. les tissus obtenus à partir des monofilaments du n° 5404</v>
      </c>
    </row>
    <row r="6470" spans="1:4" x14ac:dyDescent="0.25">
      <c r="A6470" t="str">
        <f>T("   ZZZ_Monde")</f>
        <v xml:space="preserve">   ZZZ_Monde</v>
      </c>
      <c r="B6470" t="str">
        <f>T("   ZZZ_Monde")</f>
        <v xml:space="preserve">   ZZZ_Monde</v>
      </c>
      <c r="C6470">
        <v>286655</v>
      </c>
      <c r="D6470">
        <v>69</v>
      </c>
    </row>
    <row r="6471" spans="1:4" x14ac:dyDescent="0.25">
      <c r="A6471" t="str">
        <f>T("   FR")</f>
        <v xml:space="preserve">   FR</v>
      </c>
      <c r="B6471" t="str">
        <f>T("   France")</f>
        <v xml:space="preserve">   France</v>
      </c>
      <c r="C6471">
        <v>286655</v>
      </c>
      <c r="D6471">
        <v>69</v>
      </c>
    </row>
    <row r="6472" spans="1:4" x14ac:dyDescent="0.25">
      <c r="A6472" t="str">
        <f>T("540761")</f>
        <v>540761</v>
      </c>
      <c r="B6472" t="str">
        <f>T("TISSUS OBTENUS À PARTIR DE FILS CONTENANT &gt;= 85% EN POIDS DE FILAMENTS DE POLYESTER NON-TEXTURÉS, Y.C. LES TISSUS OBTENUS À PARTIR DES MONOFILAMENTS DU N° 5404")</f>
        <v>TISSUS OBTENUS À PARTIR DE FILS CONTENANT &gt;= 85% EN POIDS DE FILAMENTS DE POLYESTER NON-TEXTURÉS, Y.C. LES TISSUS OBTENUS À PARTIR DES MONOFILAMENTS DU N° 5404</v>
      </c>
    </row>
    <row r="6473" spans="1:4" x14ac:dyDescent="0.25">
      <c r="A6473" t="str">
        <f>T("   ZZZ_Monde")</f>
        <v xml:space="preserve">   ZZZ_Monde</v>
      </c>
      <c r="B6473" t="str">
        <f>T("   ZZZ_Monde")</f>
        <v xml:space="preserve">   ZZZ_Monde</v>
      </c>
      <c r="C6473">
        <v>17000000</v>
      </c>
      <c r="D6473">
        <v>36000</v>
      </c>
    </row>
    <row r="6474" spans="1:4" x14ac:dyDescent="0.25">
      <c r="A6474" t="str">
        <f>T("   CN")</f>
        <v xml:space="preserve">   CN</v>
      </c>
      <c r="B6474" t="str">
        <f>T("   Chine")</f>
        <v xml:space="preserve">   Chine</v>
      </c>
      <c r="C6474">
        <v>17000000</v>
      </c>
      <c r="D6474">
        <v>36000</v>
      </c>
    </row>
    <row r="6475" spans="1:4" x14ac:dyDescent="0.25">
      <c r="A6475" t="str">
        <f>T("540769")</f>
        <v>540769</v>
      </c>
      <c r="B6475" t="str">
        <f>T("TISSUS OBTENUS À PARTIR DE FILS CONTENANT &gt;= 85% EN POIDS DE MÉLANGES DE FILAMENTS DE POLYESTER TEXTURÉS ET DE FILAMENTS DE POLYESTER NON-TEXTURÉS, Y.C. LES TISSUS OBTENUS À PARTIR DES MONOFILAMENTS DU N° 5404")</f>
        <v>TISSUS OBTENUS À PARTIR DE FILS CONTENANT &gt;= 85% EN POIDS DE MÉLANGES DE FILAMENTS DE POLYESTER TEXTURÉS ET DE FILAMENTS DE POLYESTER NON-TEXTURÉS, Y.C. LES TISSUS OBTENUS À PARTIR DES MONOFILAMENTS DU N° 5404</v>
      </c>
    </row>
    <row r="6476" spans="1:4" x14ac:dyDescent="0.25">
      <c r="A6476" t="str">
        <f>T("   ZZZ_Monde")</f>
        <v xml:space="preserve">   ZZZ_Monde</v>
      </c>
      <c r="B6476" t="str">
        <f>T("   ZZZ_Monde")</f>
        <v xml:space="preserve">   ZZZ_Monde</v>
      </c>
      <c r="C6476">
        <v>51028829</v>
      </c>
      <c r="D6476">
        <v>67783</v>
      </c>
    </row>
    <row r="6477" spans="1:4" x14ac:dyDescent="0.25">
      <c r="A6477" t="str">
        <f>T("   CN")</f>
        <v xml:space="preserve">   CN</v>
      </c>
      <c r="B6477" t="str">
        <f>T("   Chine")</f>
        <v xml:space="preserve">   Chine</v>
      </c>
      <c r="C6477">
        <v>49500000</v>
      </c>
      <c r="D6477">
        <v>62527</v>
      </c>
    </row>
    <row r="6478" spans="1:4" x14ac:dyDescent="0.25">
      <c r="A6478" t="str">
        <f>T("   IN")</f>
        <v xml:space="preserve">   IN</v>
      </c>
      <c r="B6478" t="str">
        <f>T("   Inde")</f>
        <v xml:space="preserve">   Inde</v>
      </c>
      <c r="C6478">
        <v>348181</v>
      </c>
      <c r="D6478">
        <v>500</v>
      </c>
    </row>
    <row r="6479" spans="1:4" x14ac:dyDescent="0.25">
      <c r="A6479" t="str">
        <f>T("   TG")</f>
        <v xml:space="preserve">   TG</v>
      </c>
      <c r="B6479" t="str">
        <f>T("   Togo")</f>
        <v xml:space="preserve">   Togo</v>
      </c>
      <c r="C6479">
        <v>1180648</v>
      </c>
      <c r="D6479">
        <v>4756</v>
      </c>
    </row>
    <row r="6480" spans="1:4" x14ac:dyDescent="0.25">
      <c r="A6480" t="str">
        <f>T("540773")</f>
        <v>540773</v>
      </c>
      <c r="B6480" t="str">
        <f>T("Tissus obtenus à partir de fils de diverses couleurs contenant &gt;= 85% en poids de filaments synthétiques, y.c. les tissus obtenus à partir des monofilaments du n° 5404 (à l'excl. des tissus obtenus à partir de filaments ou de monofilaments de polyester, d")</f>
        <v>Tissus obtenus à partir de fils de diverses couleurs contenant &gt;= 85% en poids de filaments synthétiques, y.c. les tissus obtenus à partir des monofilaments du n° 5404 (à l'excl. des tissus obtenus à partir de filaments ou de monofilaments de polyester, d</v>
      </c>
    </row>
    <row r="6481" spans="1:4" x14ac:dyDescent="0.25">
      <c r="A6481" t="str">
        <f>T("   ZZZ_Monde")</f>
        <v xml:space="preserve">   ZZZ_Monde</v>
      </c>
      <c r="B6481" t="str">
        <f>T("   ZZZ_Monde")</f>
        <v xml:space="preserve">   ZZZ_Monde</v>
      </c>
      <c r="C6481">
        <v>16215988</v>
      </c>
      <c r="D6481">
        <v>4622</v>
      </c>
    </row>
    <row r="6482" spans="1:4" x14ac:dyDescent="0.25">
      <c r="A6482" t="str">
        <f>T("   BE")</f>
        <v xml:space="preserve">   BE</v>
      </c>
      <c r="B6482" t="str">
        <f>T("   Belgique")</f>
        <v xml:space="preserve">   Belgique</v>
      </c>
      <c r="C6482">
        <v>16215988</v>
      </c>
      <c r="D6482">
        <v>4622</v>
      </c>
    </row>
    <row r="6483" spans="1:4" x14ac:dyDescent="0.25">
      <c r="A6483" t="str">
        <f>T("540783")</f>
        <v>540783</v>
      </c>
      <c r="B6483" t="str">
        <f>T("Tissus obtenus à partir de fils de filaments synthétiques de diverses couleurs contenant en prédominance, mais &lt; 85% en poids de ces filaments et mélangés principalement ou uniquement avec du coton, y.c. les tissus obtenus à partir des monofilaments du n°")</f>
        <v>Tissus obtenus à partir de fils de filaments synthétiques de diverses couleurs contenant en prédominance, mais &lt; 85% en poids de ces filaments et mélangés principalement ou uniquement avec du coton, y.c. les tissus obtenus à partir des monofilaments du n°</v>
      </c>
    </row>
    <row r="6484" spans="1:4" x14ac:dyDescent="0.25">
      <c r="A6484" t="str">
        <f>T("   ZZZ_Monde")</f>
        <v xml:space="preserve">   ZZZ_Monde</v>
      </c>
      <c r="B6484" t="str">
        <f>T("   ZZZ_Monde")</f>
        <v xml:space="preserve">   ZZZ_Monde</v>
      </c>
      <c r="C6484">
        <v>19973326</v>
      </c>
      <c r="D6484">
        <v>6744</v>
      </c>
    </row>
    <row r="6485" spans="1:4" x14ac:dyDescent="0.25">
      <c r="A6485" t="str">
        <f>T("   BE")</f>
        <v xml:space="preserve">   BE</v>
      </c>
      <c r="B6485" t="str">
        <f>T("   Belgique")</f>
        <v xml:space="preserve">   Belgique</v>
      </c>
      <c r="C6485">
        <v>19973326</v>
      </c>
      <c r="D6485">
        <v>6744</v>
      </c>
    </row>
    <row r="6486" spans="1:4" x14ac:dyDescent="0.25">
      <c r="A6486" t="str">
        <f>T("540784")</f>
        <v>540784</v>
      </c>
      <c r="B6486" t="str">
        <f>T("Tissus imprimés, obtenus à partir de fils de filaments synthétiques contenant en prédominance, mais &lt; 85% en poids de ces filaments et mélangés principalement ou uniquement avec du coton, y.c. les tissus obtenus à partir des monofilaments du n° 5404")</f>
        <v>Tissus imprimés, obtenus à partir de fils de filaments synthétiques contenant en prédominance, mais &lt; 85% en poids de ces filaments et mélangés principalement ou uniquement avec du coton, y.c. les tissus obtenus à partir des monofilaments du n° 5404</v>
      </c>
    </row>
    <row r="6487" spans="1:4" x14ac:dyDescent="0.25">
      <c r="A6487" t="str">
        <f>T("   ZZZ_Monde")</f>
        <v xml:space="preserve">   ZZZ_Monde</v>
      </c>
      <c r="B6487" t="str">
        <f>T("   ZZZ_Monde")</f>
        <v xml:space="preserve">   ZZZ_Monde</v>
      </c>
      <c r="C6487">
        <v>20000879</v>
      </c>
      <c r="D6487">
        <v>11000</v>
      </c>
    </row>
    <row r="6488" spans="1:4" x14ac:dyDescent="0.25">
      <c r="A6488" t="str">
        <f>T("   CN")</f>
        <v xml:space="preserve">   CN</v>
      </c>
      <c r="B6488" t="str">
        <f>T("   Chine")</f>
        <v xml:space="preserve">   Chine</v>
      </c>
      <c r="C6488">
        <v>20000879</v>
      </c>
      <c r="D6488">
        <v>11000</v>
      </c>
    </row>
    <row r="6489" spans="1:4" x14ac:dyDescent="0.25">
      <c r="A6489" t="str">
        <f>T("540794")</f>
        <v>540794</v>
      </c>
      <c r="B6489" t="str">
        <f>T("Tissus imprimés, obtenus à partir de fils de filaments synthétiques contenant en prédominance, mais &lt; 85% en poids de ces filaments, y.c. les tissus obtenus à partir des monofilaments du n° 5404 (à l'excl. des tissus mélangés principalement ou uniquement")</f>
        <v>Tissus imprimés, obtenus à partir de fils de filaments synthétiques contenant en prédominance, mais &lt; 85% en poids de ces filaments, y.c. les tissus obtenus à partir des monofilaments du n° 5404 (à l'excl. des tissus mélangés principalement ou uniquement</v>
      </c>
    </row>
    <row r="6490" spans="1:4" x14ac:dyDescent="0.25">
      <c r="A6490" t="str">
        <f>T("   ZZZ_Monde")</f>
        <v xml:space="preserve">   ZZZ_Monde</v>
      </c>
      <c r="B6490" t="str">
        <f>T("   ZZZ_Monde")</f>
        <v xml:space="preserve">   ZZZ_Monde</v>
      </c>
      <c r="C6490">
        <v>206284062</v>
      </c>
      <c r="D6490">
        <v>224771</v>
      </c>
    </row>
    <row r="6491" spans="1:4" x14ac:dyDescent="0.25">
      <c r="A6491" t="str">
        <f>T("   CN")</f>
        <v xml:space="preserve">   CN</v>
      </c>
      <c r="B6491" t="str">
        <f>T("   Chine")</f>
        <v xml:space="preserve">   Chine</v>
      </c>
      <c r="C6491">
        <v>172283586</v>
      </c>
      <c r="D6491">
        <v>187821</v>
      </c>
    </row>
    <row r="6492" spans="1:4" x14ac:dyDescent="0.25">
      <c r="A6492" t="str">
        <f>T("   HK")</f>
        <v xml:space="preserve">   HK</v>
      </c>
      <c r="B6492" t="str">
        <f>T("   Hong-Kong")</f>
        <v xml:space="preserve">   Hong-Kong</v>
      </c>
      <c r="C6492">
        <v>34000476</v>
      </c>
      <c r="D6492">
        <v>36950</v>
      </c>
    </row>
    <row r="6493" spans="1:4" x14ac:dyDescent="0.25">
      <c r="A6493" t="str">
        <f>T("540810")</f>
        <v>540810</v>
      </c>
      <c r="B6493" t="str">
        <f>T("Tissus obtenus à partir de fils à haute ténacité de rayonne viscose, y.c. les tissus obtenus à partir des monofilaments du n° 5405")</f>
        <v>Tissus obtenus à partir de fils à haute ténacité de rayonne viscose, y.c. les tissus obtenus à partir des monofilaments du n° 5405</v>
      </c>
    </row>
    <row r="6494" spans="1:4" x14ac:dyDescent="0.25">
      <c r="A6494" t="str">
        <f>T("   ZZZ_Monde")</f>
        <v xml:space="preserve">   ZZZ_Monde</v>
      </c>
      <c r="B6494" t="str">
        <f>T("   ZZZ_Monde")</f>
        <v xml:space="preserve">   ZZZ_Monde</v>
      </c>
      <c r="C6494">
        <v>3650000</v>
      </c>
      <c r="D6494">
        <v>4450</v>
      </c>
    </row>
    <row r="6495" spans="1:4" x14ac:dyDescent="0.25">
      <c r="A6495" t="str">
        <f>T("   FR")</f>
        <v xml:space="preserve">   FR</v>
      </c>
      <c r="B6495" t="str">
        <f>T("   France")</f>
        <v xml:space="preserve">   France</v>
      </c>
      <c r="C6495">
        <v>3150000</v>
      </c>
      <c r="D6495">
        <v>3500</v>
      </c>
    </row>
    <row r="6496" spans="1:4" x14ac:dyDescent="0.25">
      <c r="A6496" t="str">
        <f>T("   TG")</f>
        <v xml:space="preserve">   TG</v>
      </c>
      <c r="B6496" t="str">
        <f>T("   Togo")</f>
        <v xml:space="preserve">   Togo</v>
      </c>
      <c r="C6496">
        <v>500000</v>
      </c>
      <c r="D6496">
        <v>950</v>
      </c>
    </row>
    <row r="6497" spans="1:4" x14ac:dyDescent="0.25">
      <c r="A6497" t="str">
        <f>T("540822")</f>
        <v>540822</v>
      </c>
      <c r="B6497" t="str">
        <f>T("Tissus teints, obtenus à partir de fils contenant &gt;= 85% en poids de filaments artificiels, y.c. les tissus obtenus à partir des monofilaments du n° 5405 (à l'excl. des tissus obtenus à partir de fils à haute ténacité de rayonne viscose)")</f>
        <v>Tissus teints, obtenus à partir de fils contenant &gt;= 85% en poids de filaments artificiels, y.c. les tissus obtenus à partir des monofilaments du n° 5405 (à l'excl. des tissus obtenus à partir de fils à haute ténacité de rayonne viscose)</v>
      </c>
    </row>
    <row r="6498" spans="1:4" x14ac:dyDescent="0.25">
      <c r="A6498" t="str">
        <f>T("   ZZZ_Monde")</f>
        <v xml:space="preserve">   ZZZ_Monde</v>
      </c>
      <c r="B6498" t="str">
        <f>T("   ZZZ_Monde")</f>
        <v xml:space="preserve">   ZZZ_Monde</v>
      </c>
      <c r="C6498">
        <v>21846</v>
      </c>
      <c r="D6498">
        <v>8</v>
      </c>
    </row>
    <row r="6499" spans="1:4" x14ac:dyDescent="0.25">
      <c r="A6499" t="str">
        <f>T("   TG")</f>
        <v xml:space="preserve">   TG</v>
      </c>
      <c r="B6499" t="str">
        <f>T("   Togo")</f>
        <v xml:space="preserve">   Togo</v>
      </c>
      <c r="C6499">
        <v>21846</v>
      </c>
      <c r="D6499">
        <v>8</v>
      </c>
    </row>
    <row r="6500" spans="1:4" x14ac:dyDescent="0.25">
      <c r="A6500" t="str">
        <f>T("540824")</f>
        <v>540824</v>
      </c>
      <c r="B6500" t="str">
        <f>T("Tissus imprimés, obtenus à partir de fils contenant &gt;= 85% en poids de filaments artificiels, y.c. les tissus obtenus à partir des monofilaments du n° 5405 (à l'excl. des tissus obtenus à partir de fils à haute ténacité de rayonne viscose)")</f>
        <v>Tissus imprimés, obtenus à partir de fils contenant &gt;= 85% en poids de filaments artificiels, y.c. les tissus obtenus à partir des monofilaments du n° 5405 (à l'excl. des tissus obtenus à partir de fils à haute ténacité de rayonne viscose)</v>
      </c>
    </row>
    <row r="6501" spans="1:4" x14ac:dyDescent="0.25">
      <c r="A6501" t="str">
        <f>T("   ZZZ_Monde")</f>
        <v xml:space="preserve">   ZZZ_Monde</v>
      </c>
      <c r="B6501" t="str">
        <f>T("   ZZZ_Monde")</f>
        <v xml:space="preserve">   ZZZ_Monde</v>
      </c>
      <c r="C6501">
        <v>1000000</v>
      </c>
      <c r="D6501">
        <v>900</v>
      </c>
    </row>
    <row r="6502" spans="1:4" x14ac:dyDescent="0.25">
      <c r="A6502" t="str">
        <f>T("   TG")</f>
        <v xml:space="preserve">   TG</v>
      </c>
      <c r="B6502" t="str">
        <f>T("   Togo")</f>
        <v xml:space="preserve">   Togo</v>
      </c>
      <c r="C6502">
        <v>1000000</v>
      </c>
      <c r="D6502">
        <v>900</v>
      </c>
    </row>
    <row r="6503" spans="1:4" x14ac:dyDescent="0.25">
      <c r="A6503" t="str">
        <f>T("550320")</f>
        <v>550320</v>
      </c>
      <c r="B6503" t="str">
        <f>T("Fibres discontinues de polyesters, non cardées ni peignées ni autrement transformées pour la filature")</f>
        <v>Fibres discontinues de polyesters, non cardées ni peignées ni autrement transformées pour la filature</v>
      </c>
    </row>
    <row r="6504" spans="1:4" x14ac:dyDescent="0.25">
      <c r="A6504" t="str">
        <f>T("   ZZZ_Monde")</f>
        <v xml:space="preserve">   ZZZ_Monde</v>
      </c>
      <c r="B6504" t="str">
        <f>T("   ZZZ_Monde")</f>
        <v xml:space="preserve">   ZZZ_Monde</v>
      </c>
      <c r="C6504">
        <v>175049093</v>
      </c>
      <c r="D6504">
        <v>102912</v>
      </c>
    </row>
    <row r="6505" spans="1:4" x14ac:dyDescent="0.25">
      <c r="A6505" t="str">
        <f>T("   CN")</f>
        <v xml:space="preserve">   CN</v>
      </c>
      <c r="B6505" t="str">
        <f>T("   Chine")</f>
        <v xml:space="preserve">   Chine</v>
      </c>
      <c r="C6505">
        <v>175049093</v>
      </c>
      <c r="D6505">
        <v>102912</v>
      </c>
    </row>
    <row r="6506" spans="1:4" x14ac:dyDescent="0.25">
      <c r="A6506" t="str">
        <f>T("550490")</f>
        <v>550490</v>
      </c>
      <c r="B6506" t="str">
        <f>T("Fibres artificielles discontinues, non cardées ni peignées ni autrement transformées pour la filature (à l'excl. des fibres de viscose)")</f>
        <v>Fibres artificielles discontinues, non cardées ni peignées ni autrement transformées pour la filature (à l'excl. des fibres de viscose)</v>
      </c>
    </row>
    <row r="6507" spans="1:4" x14ac:dyDescent="0.25">
      <c r="A6507" t="str">
        <f>T("   ZZZ_Monde")</f>
        <v xml:space="preserve">   ZZZ_Monde</v>
      </c>
      <c r="B6507" t="str">
        <f>T("   ZZZ_Monde")</f>
        <v xml:space="preserve">   ZZZ_Monde</v>
      </c>
      <c r="C6507">
        <v>3500000</v>
      </c>
      <c r="D6507">
        <v>800</v>
      </c>
    </row>
    <row r="6508" spans="1:4" x14ac:dyDescent="0.25">
      <c r="A6508" t="str">
        <f>T("   GH")</f>
        <v xml:space="preserve">   GH</v>
      </c>
      <c r="B6508" t="str">
        <f>T("   Ghana")</f>
        <v xml:space="preserve">   Ghana</v>
      </c>
      <c r="C6508">
        <v>3500000</v>
      </c>
      <c r="D6508">
        <v>800</v>
      </c>
    </row>
    <row r="6509" spans="1:4" x14ac:dyDescent="0.25">
      <c r="A6509" t="str">
        <f>T("550810")</f>
        <v>550810</v>
      </c>
      <c r="B6509" t="str">
        <f>T("Fils à coudre de fibres synthétiques discontinues, même conditionnés pour la vente au détail")</f>
        <v>Fils à coudre de fibres synthétiques discontinues, même conditionnés pour la vente au détail</v>
      </c>
    </row>
    <row r="6510" spans="1:4" x14ac:dyDescent="0.25">
      <c r="A6510" t="str">
        <f>T("   ZZZ_Monde")</f>
        <v xml:space="preserve">   ZZZ_Monde</v>
      </c>
      <c r="B6510" t="str">
        <f>T("   ZZZ_Monde")</f>
        <v xml:space="preserve">   ZZZ_Monde</v>
      </c>
      <c r="C6510">
        <v>25200000</v>
      </c>
      <c r="D6510">
        <v>41500</v>
      </c>
    </row>
    <row r="6511" spans="1:4" x14ac:dyDescent="0.25">
      <c r="A6511" t="str">
        <f>T("   CN")</f>
        <v xml:space="preserve">   CN</v>
      </c>
      <c r="B6511" t="str">
        <f>T("   Chine")</f>
        <v xml:space="preserve">   Chine</v>
      </c>
      <c r="C6511">
        <v>25200000</v>
      </c>
      <c r="D6511">
        <v>41500</v>
      </c>
    </row>
    <row r="6512" spans="1:4" x14ac:dyDescent="0.25">
      <c r="A6512" t="str">
        <f>T("550820")</f>
        <v>550820</v>
      </c>
      <c r="B6512" t="str">
        <f>T("Fils à coudre de fibres artificielles discontinues, même conditionnés pour la vente au détail")</f>
        <v>Fils à coudre de fibres artificielles discontinues, même conditionnés pour la vente au détail</v>
      </c>
    </row>
    <row r="6513" spans="1:4" x14ac:dyDescent="0.25">
      <c r="A6513" t="str">
        <f>T("   ZZZ_Monde")</f>
        <v xml:space="preserve">   ZZZ_Monde</v>
      </c>
      <c r="B6513" t="str">
        <f>T("   ZZZ_Monde")</f>
        <v xml:space="preserve">   ZZZ_Monde</v>
      </c>
      <c r="C6513">
        <v>1111770</v>
      </c>
      <c r="D6513">
        <v>9339</v>
      </c>
    </row>
    <row r="6514" spans="1:4" x14ac:dyDescent="0.25">
      <c r="A6514" t="str">
        <f>T("   CN")</f>
        <v xml:space="preserve">   CN</v>
      </c>
      <c r="B6514" t="str">
        <f>T("   Chine")</f>
        <v xml:space="preserve">   Chine</v>
      </c>
      <c r="C6514">
        <v>1111770</v>
      </c>
      <c r="D6514">
        <v>9339</v>
      </c>
    </row>
    <row r="6515" spans="1:4" x14ac:dyDescent="0.25">
      <c r="A6515" t="str">
        <f>T("550911")</f>
        <v>550911</v>
      </c>
      <c r="B6515" t="str">
        <f>T("Fils simples, contenant &gt;= 85% en poids de fibres discontinues de nylon ou d'autres polyamides, non conditionnés pour la vente au détail (à l'excl. des fils à coudre)")</f>
        <v>Fils simples, contenant &gt;= 85% en poids de fibres discontinues de nylon ou d'autres polyamides, non conditionnés pour la vente au détail (à l'excl. des fils à coudre)</v>
      </c>
    </row>
    <row r="6516" spans="1:4" x14ac:dyDescent="0.25">
      <c r="A6516" t="str">
        <f>T("   ZZZ_Monde")</f>
        <v xml:space="preserve">   ZZZ_Monde</v>
      </c>
      <c r="B6516" t="str">
        <f>T("   ZZZ_Monde")</f>
        <v xml:space="preserve">   ZZZ_Monde</v>
      </c>
      <c r="C6516">
        <v>34000008</v>
      </c>
      <c r="D6516">
        <v>37000</v>
      </c>
    </row>
    <row r="6517" spans="1:4" x14ac:dyDescent="0.25">
      <c r="A6517" t="str">
        <f>T("   HK")</f>
        <v xml:space="preserve">   HK</v>
      </c>
      <c r="B6517" t="str">
        <f>T("   Hong-Kong")</f>
        <v xml:space="preserve">   Hong-Kong</v>
      </c>
      <c r="C6517">
        <v>34000008</v>
      </c>
      <c r="D6517">
        <v>37000</v>
      </c>
    </row>
    <row r="6518" spans="1:4" x14ac:dyDescent="0.25">
      <c r="A6518" t="str">
        <f>T("550959")</f>
        <v>550959</v>
      </c>
      <c r="B6518" t="str">
        <f>T("Fils de fibres discontinues de polyester, contenant en prédominance, mais &lt; 85% en poids de ces fibres, non conditionnés pour la vente au détail (à l'excl. des fils à coudre et des fils mélangés principalement ou uniquement avec du coton, de la laine, des")</f>
        <v>Fils de fibres discontinues de polyester, contenant en prédominance, mais &lt; 85% en poids de ces fibres, non conditionnés pour la vente au détail (à l'excl. des fils à coudre et des fils mélangés principalement ou uniquement avec du coton, de la laine, des</v>
      </c>
    </row>
    <row r="6519" spans="1:4" x14ac:dyDescent="0.25">
      <c r="A6519" t="str">
        <f>T("   ZZZ_Monde")</f>
        <v xml:space="preserve">   ZZZ_Monde</v>
      </c>
      <c r="B6519" t="str">
        <f>T("   ZZZ_Monde")</f>
        <v xml:space="preserve">   ZZZ_Monde</v>
      </c>
      <c r="C6519">
        <v>10325000</v>
      </c>
      <c r="D6519">
        <v>16634</v>
      </c>
    </row>
    <row r="6520" spans="1:4" x14ac:dyDescent="0.25">
      <c r="A6520" t="str">
        <f>T("   CN")</f>
        <v xml:space="preserve">   CN</v>
      </c>
      <c r="B6520" t="str">
        <f>T("   Chine")</f>
        <v xml:space="preserve">   Chine</v>
      </c>
      <c r="C6520">
        <v>10325000</v>
      </c>
      <c r="D6520">
        <v>16634</v>
      </c>
    </row>
    <row r="6521" spans="1:4" x14ac:dyDescent="0.25">
      <c r="A6521" t="str">
        <f>T("551120")</f>
        <v>551120</v>
      </c>
      <c r="B6521" t="str">
        <f>T("Fils de fibres synthétiques discontinues, contenant en prédominance, mais &lt; 85% en poids de ces fibres, conditionnés pour la vente au détail (à l'excl. des fils à coudre)")</f>
        <v>Fils de fibres synthétiques discontinues, contenant en prédominance, mais &lt; 85% en poids de ces fibres, conditionnés pour la vente au détail (à l'excl. des fils à coudre)</v>
      </c>
    </row>
    <row r="6522" spans="1:4" x14ac:dyDescent="0.25">
      <c r="A6522" t="str">
        <f>T("   ZZZ_Monde")</f>
        <v xml:space="preserve">   ZZZ_Monde</v>
      </c>
      <c r="B6522" t="str">
        <f>T("   ZZZ_Monde")</f>
        <v xml:space="preserve">   ZZZ_Monde</v>
      </c>
      <c r="C6522">
        <v>9000471</v>
      </c>
      <c r="D6522">
        <v>16055</v>
      </c>
    </row>
    <row r="6523" spans="1:4" x14ac:dyDescent="0.25">
      <c r="A6523" t="str">
        <f>T("   CN")</f>
        <v xml:space="preserve">   CN</v>
      </c>
      <c r="B6523" t="str">
        <f>T("   Chine")</f>
        <v xml:space="preserve">   Chine</v>
      </c>
      <c r="C6523">
        <v>9000471</v>
      </c>
      <c r="D6523">
        <v>16055</v>
      </c>
    </row>
    <row r="6524" spans="1:4" x14ac:dyDescent="0.25">
      <c r="A6524" t="str">
        <f>T("551130")</f>
        <v>551130</v>
      </c>
      <c r="B6524" t="str">
        <f>T("Fils de fibres artificielles discontinues, conditionnés pour la vente au détail (à l'excl. des fils à coudre)")</f>
        <v>Fils de fibres artificielles discontinues, conditionnés pour la vente au détail (à l'excl. des fils à coudre)</v>
      </c>
    </row>
    <row r="6525" spans="1:4" x14ac:dyDescent="0.25">
      <c r="A6525" t="str">
        <f>T("   ZZZ_Monde")</f>
        <v xml:space="preserve">   ZZZ_Monde</v>
      </c>
      <c r="B6525" t="str">
        <f>T("   ZZZ_Monde")</f>
        <v xml:space="preserve">   ZZZ_Monde</v>
      </c>
      <c r="C6525">
        <v>574000</v>
      </c>
      <c r="D6525">
        <v>1000</v>
      </c>
    </row>
    <row r="6526" spans="1:4" x14ac:dyDescent="0.25">
      <c r="A6526" t="str">
        <f>T("   Z2")</f>
        <v xml:space="preserve">   Z2</v>
      </c>
      <c r="B6526" t="str">
        <f>T("   Pays non défini")</f>
        <v xml:space="preserve">   Pays non défini</v>
      </c>
      <c r="C6526">
        <v>574000</v>
      </c>
      <c r="D6526">
        <v>1000</v>
      </c>
    </row>
    <row r="6527" spans="1:4" x14ac:dyDescent="0.25">
      <c r="A6527" t="str">
        <f>T("551219")</f>
        <v>551219</v>
      </c>
      <c r="B6527" t="str">
        <f>T("Tissus, teints, imprimés ou en fils de diverses couleurs, de fibres discontinues de polyester, contenant &gt;= 85% en poids de ces fibres")</f>
        <v>Tissus, teints, imprimés ou en fils de diverses couleurs, de fibres discontinues de polyester, contenant &gt;= 85% en poids de ces fibres</v>
      </c>
    </row>
    <row r="6528" spans="1:4" x14ac:dyDescent="0.25">
      <c r="A6528" t="str">
        <f>T("   ZZZ_Monde")</f>
        <v xml:space="preserve">   ZZZ_Monde</v>
      </c>
      <c r="B6528" t="str">
        <f>T("   ZZZ_Monde")</f>
        <v xml:space="preserve">   ZZZ_Monde</v>
      </c>
      <c r="C6528">
        <v>655346717</v>
      </c>
      <c r="D6528">
        <v>1129801</v>
      </c>
    </row>
    <row r="6529" spans="1:4" x14ac:dyDescent="0.25">
      <c r="A6529" t="str">
        <f>T("   CN")</f>
        <v xml:space="preserve">   CN</v>
      </c>
      <c r="B6529" t="str">
        <f>T("   Chine")</f>
        <v xml:space="preserve">   Chine</v>
      </c>
      <c r="C6529">
        <v>221207518</v>
      </c>
      <c r="D6529">
        <v>465794</v>
      </c>
    </row>
    <row r="6530" spans="1:4" x14ac:dyDescent="0.25">
      <c r="A6530" t="str">
        <f>T("   GH")</f>
        <v xml:space="preserve">   GH</v>
      </c>
      <c r="B6530" t="str">
        <f>T("   Ghana")</f>
        <v xml:space="preserve">   Ghana</v>
      </c>
      <c r="C6530">
        <v>293492</v>
      </c>
      <c r="D6530">
        <v>695</v>
      </c>
    </row>
    <row r="6531" spans="1:4" x14ac:dyDescent="0.25">
      <c r="A6531" t="str">
        <f>T("   HK")</f>
        <v xml:space="preserve">   HK</v>
      </c>
      <c r="B6531" t="str">
        <f>T("   Hong-Kong")</f>
        <v xml:space="preserve">   Hong-Kong</v>
      </c>
      <c r="C6531">
        <v>6554129</v>
      </c>
      <c r="D6531">
        <v>18450</v>
      </c>
    </row>
    <row r="6532" spans="1:4" x14ac:dyDescent="0.25">
      <c r="A6532" t="str">
        <f>T("   IN")</f>
        <v xml:space="preserve">   IN</v>
      </c>
      <c r="B6532" t="str">
        <f>T("   Inde")</f>
        <v xml:space="preserve">   Inde</v>
      </c>
      <c r="C6532">
        <v>22883131</v>
      </c>
      <c r="D6532">
        <v>44572</v>
      </c>
    </row>
    <row r="6533" spans="1:4" x14ac:dyDescent="0.25">
      <c r="A6533" t="str">
        <f>T("   IT")</f>
        <v xml:space="preserve">   IT</v>
      </c>
      <c r="B6533" t="str">
        <f>T("   Italie")</f>
        <v xml:space="preserve">   Italie</v>
      </c>
      <c r="C6533">
        <v>39358</v>
      </c>
      <c r="D6533">
        <v>496</v>
      </c>
    </row>
    <row r="6534" spans="1:4" x14ac:dyDescent="0.25">
      <c r="A6534" t="str">
        <f>T("   NG")</f>
        <v xml:space="preserve">   NG</v>
      </c>
      <c r="B6534" t="str">
        <f>T("   Nigéria")</f>
        <v xml:space="preserve">   Nigéria</v>
      </c>
      <c r="C6534">
        <v>232000</v>
      </c>
      <c r="D6534">
        <v>230</v>
      </c>
    </row>
    <row r="6535" spans="1:4" x14ac:dyDescent="0.25">
      <c r="A6535" t="str">
        <f>T("   SY")</f>
        <v xml:space="preserve">   SY</v>
      </c>
      <c r="B6535" t="str">
        <f>T("   Syrienne, République arabe")</f>
        <v xml:space="preserve">   Syrienne, République arabe</v>
      </c>
      <c r="C6535">
        <v>15294056</v>
      </c>
      <c r="D6535">
        <v>15585</v>
      </c>
    </row>
    <row r="6536" spans="1:4" x14ac:dyDescent="0.25">
      <c r="A6536" t="str">
        <f>T("   TG")</f>
        <v xml:space="preserve">   TG</v>
      </c>
      <c r="B6536" t="str">
        <f>T("   Togo")</f>
        <v xml:space="preserve">   Togo</v>
      </c>
      <c r="C6536">
        <v>338012914</v>
      </c>
      <c r="D6536">
        <v>531267</v>
      </c>
    </row>
    <row r="6537" spans="1:4" x14ac:dyDescent="0.25">
      <c r="A6537" t="str">
        <f>T("   TH")</f>
        <v xml:space="preserve">   TH</v>
      </c>
      <c r="B6537" t="str">
        <f>T("   Thaïlande")</f>
        <v xml:space="preserve">   Thaïlande</v>
      </c>
      <c r="C6537">
        <v>20000000</v>
      </c>
      <c r="D6537">
        <v>20425</v>
      </c>
    </row>
    <row r="6538" spans="1:4" x14ac:dyDescent="0.25">
      <c r="A6538" t="str">
        <f>T("   TW")</f>
        <v xml:space="preserve">   TW</v>
      </c>
      <c r="B6538" t="str">
        <f>T("   Taïwan, Province de Chine")</f>
        <v xml:space="preserve">   Taïwan, Province de Chine</v>
      </c>
      <c r="C6538">
        <v>30830119</v>
      </c>
      <c r="D6538">
        <v>32287</v>
      </c>
    </row>
    <row r="6539" spans="1:4" x14ac:dyDescent="0.25">
      <c r="A6539" t="str">
        <f>T("551229")</f>
        <v>551229</v>
      </c>
      <c r="B6539" t="str">
        <f>T("Tissus, teints, imprimés ou en fils de diverses couleurs, de fibres discontinues acryliques ou modacryliques, contenant &gt;= 85% en poids de ces fibres")</f>
        <v>Tissus, teints, imprimés ou en fils de diverses couleurs, de fibres discontinues acryliques ou modacryliques, contenant &gt;= 85% en poids de ces fibres</v>
      </c>
    </row>
    <row r="6540" spans="1:4" x14ac:dyDescent="0.25">
      <c r="A6540" t="str">
        <f>T("   ZZZ_Monde")</f>
        <v xml:space="preserve">   ZZZ_Monde</v>
      </c>
      <c r="B6540" t="str">
        <f>T("   ZZZ_Monde")</f>
        <v xml:space="preserve">   ZZZ_Monde</v>
      </c>
      <c r="C6540">
        <v>32265528</v>
      </c>
      <c r="D6540">
        <v>48227</v>
      </c>
    </row>
    <row r="6541" spans="1:4" x14ac:dyDescent="0.25">
      <c r="A6541" t="str">
        <f>T("   CN")</f>
        <v xml:space="preserve">   CN</v>
      </c>
      <c r="B6541" t="str">
        <f>T("   Chine")</f>
        <v xml:space="preserve">   Chine</v>
      </c>
      <c r="C6541">
        <v>12264649</v>
      </c>
      <c r="D6541">
        <v>19747</v>
      </c>
    </row>
    <row r="6542" spans="1:4" x14ac:dyDescent="0.25">
      <c r="A6542" t="str">
        <f>T("   IN")</f>
        <v xml:space="preserve">   IN</v>
      </c>
      <c r="B6542" t="str">
        <f>T("   Inde")</f>
        <v xml:space="preserve">   Inde</v>
      </c>
      <c r="C6542">
        <v>20000879</v>
      </c>
      <c r="D6542">
        <v>28480</v>
      </c>
    </row>
    <row r="6543" spans="1:4" x14ac:dyDescent="0.25">
      <c r="A6543" t="str">
        <f>T("551291")</f>
        <v>551291</v>
      </c>
      <c r="B6543" t="str">
        <f>T("Tissus, écrus ou blanchis, de fibres synthétiques discontinues, contenant &gt;= 85% en poids de ces fibres (à l'excl. des tissus de fibres discontinues acryliques ou modacryliques ou de fibres discontinues de polyester)")</f>
        <v>Tissus, écrus ou blanchis, de fibres synthétiques discontinues, contenant &gt;= 85% en poids de ces fibres (à l'excl. des tissus de fibres discontinues acryliques ou modacryliques ou de fibres discontinues de polyester)</v>
      </c>
    </row>
    <row r="6544" spans="1:4" x14ac:dyDescent="0.25">
      <c r="A6544" t="str">
        <f>T("   ZZZ_Monde")</f>
        <v xml:space="preserve">   ZZZ_Monde</v>
      </c>
      <c r="B6544" t="str">
        <f>T("   ZZZ_Monde")</f>
        <v xml:space="preserve">   ZZZ_Monde</v>
      </c>
      <c r="C6544">
        <v>56000259</v>
      </c>
      <c r="D6544">
        <v>61576</v>
      </c>
    </row>
    <row r="6545" spans="1:4" x14ac:dyDescent="0.25">
      <c r="A6545" t="str">
        <f>T("   CN")</f>
        <v xml:space="preserve">   CN</v>
      </c>
      <c r="B6545" t="str">
        <f>T("   Chine")</f>
        <v xml:space="preserve">   Chine</v>
      </c>
      <c r="C6545">
        <v>28000259</v>
      </c>
      <c r="D6545">
        <v>29425</v>
      </c>
    </row>
    <row r="6546" spans="1:4" x14ac:dyDescent="0.25">
      <c r="A6546" t="str">
        <f>T("   IN")</f>
        <v xml:space="preserve">   IN</v>
      </c>
      <c r="B6546" t="str">
        <f>T("   Inde")</f>
        <v xml:space="preserve">   Inde</v>
      </c>
      <c r="C6546">
        <v>28000000</v>
      </c>
      <c r="D6546">
        <v>32151</v>
      </c>
    </row>
    <row r="6547" spans="1:4" x14ac:dyDescent="0.25">
      <c r="A6547" t="str">
        <f>T("551299")</f>
        <v>551299</v>
      </c>
      <c r="B6547" t="str">
        <f>T("Tissus, teints, imprimés ou en fils de diverses couleurs, de fibres synthétiques discontinues, contenant &gt;= 85% en poids de ces fibres (à l'excl. des tissus de fibres discontinues acryliques ou modacryliques ou de fibres discontinues de polyester)")</f>
        <v>Tissus, teints, imprimés ou en fils de diverses couleurs, de fibres synthétiques discontinues, contenant &gt;= 85% en poids de ces fibres (à l'excl. des tissus de fibres discontinues acryliques ou modacryliques ou de fibres discontinues de polyester)</v>
      </c>
    </row>
    <row r="6548" spans="1:4" x14ac:dyDescent="0.25">
      <c r="A6548" t="str">
        <f>T("   ZZZ_Monde")</f>
        <v xml:space="preserve">   ZZZ_Monde</v>
      </c>
      <c r="B6548" t="str">
        <f>T("   ZZZ_Monde")</f>
        <v xml:space="preserve">   ZZZ_Monde</v>
      </c>
      <c r="C6548">
        <v>275047417</v>
      </c>
      <c r="D6548">
        <v>349747</v>
      </c>
    </row>
    <row r="6549" spans="1:4" x14ac:dyDescent="0.25">
      <c r="A6549" t="str">
        <f>T("   CN")</f>
        <v xml:space="preserve">   CN</v>
      </c>
      <c r="B6549" t="str">
        <f>T("   Chine")</f>
        <v xml:space="preserve">   Chine</v>
      </c>
      <c r="C6549">
        <v>96556514</v>
      </c>
      <c r="D6549">
        <v>129499</v>
      </c>
    </row>
    <row r="6550" spans="1:4" x14ac:dyDescent="0.25">
      <c r="A6550" t="str">
        <f>T("   HK")</f>
        <v xml:space="preserve">   HK</v>
      </c>
      <c r="B6550" t="str">
        <f>T("   Hong-Kong")</f>
        <v xml:space="preserve">   Hong-Kong</v>
      </c>
      <c r="C6550">
        <v>34000000</v>
      </c>
      <c r="D6550">
        <v>36900</v>
      </c>
    </row>
    <row r="6551" spans="1:4" x14ac:dyDescent="0.25">
      <c r="A6551" t="str">
        <f>T("   IN")</f>
        <v xml:space="preserve">   IN</v>
      </c>
      <c r="B6551" t="str">
        <f>T("   Inde")</f>
        <v xml:space="preserve">   Inde</v>
      </c>
      <c r="C6551">
        <v>90490727</v>
      </c>
      <c r="D6551">
        <v>93178</v>
      </c>
    </row>
    <row r="6552" spans="1:4" x14ac:dyDescent="0.25">
      <c r="A6552" t="str">
        <f>T("   TG")</f>
        <v xml:space="preserve">   TG</v>
      </c>
      <c r="B6552" t="str">
        <f>T("   Togo")</f>
        <v xml:space="preserve">   Togo</v>
      </c>
      <c r="C6552">
        <v>26000000</v>
      </c>
      <c r="D6552">
        <v>49320</v>
      </c>
    </row>
    <row r="6553" spans="1:4" x14ac:dyDescent="0.25">
      <c r="A6553" t="str">
        <f>T("   TH")</f>
        <v xml:space="preserve">   TH</v>
      </c>
      <c r="B6553" t="str">
        <f>T("   Thaïlande")</f>
        <v xml:space="preserve">   Thaïlande</v>
      </c>
      <c r="C6553">
        <v>28000176</v>
      </c>
      <c r="D6553">
        <v>40850</v>
      </c>
    </row>
    <row r="6554" spans="1:4" x14ac:dyDescent="0.25">
      <c r="A6554" t="str">
        <f>T("551313")</f>
        <v>551313</v>
      </c>
      <c r="B6554" t="str">
        <f>T("Tissus, écrus ou blanchis, de fibres discontinues de polyester, contenant en prédominance, mais &lt; 85% en poids de ces fibres, mélangés principalement ou uniquement avec du coton, d'un poids &lt;= 170 g/m² (à l'excl. des tissus à armure toile ou à armure serg")</f>
        <v>Tissus, écrus ou blanchis, de fibres discontinues de polyester, contenant en prédominance, mais &lt; 85% en poids de ces fibres, mélangés principalement ou uniquement avec du coton, d'un poids &lt;= 170 g/m² (à l'excl. des tissus à armure toile ou à armure serg</v>
      </c>
    </row>
    <row r="6555" spans="1:4" x14ac:dyDescent="0.25">
      <c r="A6555" t="str">
        <f>T("   ZZZ_Monde")</f>
        <v xml:space="preserve">   ZZZ_Monde</v>
      </c>
      <c r="B6555" t="str">
        <f>T("   ZZZ_Monde")</f>
        <v xml:space="preserve">   ZZZ_Monde</v>
      </c>
      <c r="C6555">
        <v>900699135</v>
      </c>
      <c r="D6555">
        <v>1777350</v>
      </c>
    </row>
    <row r="6556" spans="1:4" x14ac:dyDescent="0.25">
      <c r="A6556" t="str">
        <f>T("   AE")</f>
        <v xml:space="preserve">   AE</v>
      </c>
      <c r="B6556" t="str">
        <f>T("   Emirats Arabes Unis")</f>
        <v xml:space="preserve">   Emirats Arabes Unis</v>
      </c>
      <c r="C6556">
        <v>15140270</v>
      </c>
      <c r="D6556">
        <v>20700</v>
      </c>
    </row>
    <row r="6557" spans="1:4" x14ac:dyDescent="0.25">
      <c r="A6557" t="str">
        <f>T("   CN")</f>
        <v xml:space="preserve">   CN</v>
      </c>
      <c r="B6557" t="str">
        <f>T("   Chine")</f>
        <v xml:space="preserve">   Chine</v>
      </c>
      <c r="C6557">
        <v>351637809</v>
      </c>
      <c r="D6557">
        <v>610860</v>
      </c>
    </row>
    <row r="6558" spans="1:4" x14ac:dyDescent="0.25">
      <c r="A6558" t="str">
        <f>T("   GH")</f>
        <v xml:space="preserve">   GH</v>
      </c>
      <c r="B6558" t="str">
        <f>T("   Ghana")</f>
        <v xml:space="preserve">   Ghana</v>
      </c>
      <c r="C6558">
        <v>29605300</v>
      </c>
      <c r="D6558">
        <v>35820</v>
      </c>
    </row>
    <row r="6559" spans="1:4" x14ac:dyDescent="0.25">
      <c r="A6559" t="str">
        <f>T("   TG")</f>
        <v xml:space="preserve">   TG</v>
      </c>
      <c r="B6559" t="str">
        <f>T("   Togo")</f>
        <v xml:space="preserve">   Togo</v>
      </c>
      <c r="C6559">
        <v>504315756</v>
      </c>
      <c r="D6559">
        <v>1109970</v>
      </c>
    </row>
    <row r="6560" spans="1:4" x14ac:dyDescent="0.25">
      <c r="A6560" t="str">
        <f>T("551319")</f>
        <v>551319</v>
      </c>
      <c r="B6560" t="str">
        <f>T("Tissus, écrus ou blanchis, de fibres synthétiques discontinues, contenant en prédominance, mais &lt; 85% en poids de ces fibres, mélangés principalement ou uniquement avec du coton, d'un poids &lt;= 170 g/m² (à l'excl. des tissus de fibres discontinues de polye")</f>
        <v>Tissus, écrus ou blanchis, de fibres synthétiques discontinues, contenant en prédominance, mais &lt; 85% en poids de ces fibres, mélangés principalement ou uniquement avec du coton, d'un poids &lt;= 170 g/m² (à l'excl. des tissus de fibres discontinues de polye</v>
      </c>
    </row>
    <row r="6561" spans="1:4" x14ac:dyDescent="0.25">
      <c r="A6561" t="str">
        <f>T("   ZZZ_Monde")</f>
        <v xml:space="preserve">   ZZZ_Monde</v>
      </c>
      <c r="B6561" t="str">
        <f>T("   ZZZ_Monde")</f>
        <v xml:space="preserve">   ZZZ_Monde</v>
      </c>
      <c r="C6561">
        <v>506516547</v>
      </c>
      <c r="D6561">
        <v>645611</v>
      </c>
    </row>
    <row r="6562" spans="1:4" x14ac:dyDescent="0.25">
      <c r="A6562" t="str">
        <f>T("   CN")</f>
        <v xml:space="preserve">   CN</v>
      </c>
      <c r="B6562" t="str">
        <f>T("   Chine")</f>
        <v xml:space="preserve">   Chine</v>
      </c>
      <c r="C6562">
        <v>222359672</v>
      </c>
      <c r="D6562">
        <v>321998</v>
      </c>
    </row>
    <row r="6563" spans="1:4" x14ac:dyDescent="0.25">
      <c r="A6563" t="str">
        <f>T("   GH")</f>
        <v xml:space="preserve">   GH</v>
      </c>
      <c r="B6563" t="str">
        <f>T("   Ghana")</f>
        <v xml:space="preserve">   Ghana</v>
      </c>
      <c r="C6563">
        <v>7400000</v>
      </c>
      <c r="D6563">
        <v>14685</v>
      </c>
    </row>
    <row r="6564" spans="1:4" x14ac:dyDescent="0.25">
      <c r="A6564" t="str">
        <f>T("   IN")</f>
        <v xml:space="preserve">   IN</v>
      </c>
      <c r="B6564" t="str">
        <f>T("   Inde")</f>
        <v xml:space="preserve">   Inde</v>
      </c>
      <c r="C6564">
        <v>20554000</v>
      </c>
      <c r="D6564">
        <v>28669</v>
      </c>
    </row>
    <row r="6565" spans="1:4" x14ac:dyDescent="0.25">
      <c r="A6565" t="str">
        <f>T("   TG")</f>
        <v xml:space="preserve">   TG</v>
      </c>
      <c r="B6565" t="str">
        <f>T("   Togo")</f>
        <v xml:space="preserve">   Togo</v>
      </c>
      <c r="C6565">
        <v>56604500</v>
      </c>
      <c r="D6565">
        <v>69640</v>
      </c>
    </row>
    <row r="6566" spans="1:4" x14ac:dyDescent="0.25">
      <c r="A6566" t="str">
        <f>T("   TW")</f>
        <v xml:space="preserve">   TW</v>
      </c>
      <c r="B6566" t="str">
        <f>T("   Taïwan, Province de Chine")</f>
        <v xml:space="preserve">   Taïwan, Province de Chine</v>
      </c>
      <c r="C6566">
        <v>199598375</v>
      </c>
      <c r="D6566">
        <v>210619</v>
      </c>
    </row>
    <row r="6567" spans="1:4" x14ac:dyDescent="0.25">
      <c r="A6567" t="str">
        <f>T("551321")</f>
        <v>551321</v>
      </c>
      <c r="B6567" t="str">
        <f>T("Tissus, teints, de fibres discontinues de polyester, contenant en prédominance, mais &lt; 85% en poids de ces fibres, mélangés principalement ou uniquement avec du coton, à armure toile, d'un poids &lt;= 170 g/m²")</f>
        <v>Tissus, teints, de fibres discontinues de polyester, contenant en prédominance, mais &lt; 85% en poids de ces fibres, mélangés principalement ou uniquement avec du coton, à armure toile, d'un poids &lt;= 170 g/m²</v>
      </c>
    </row>
    <row r="6568" spans="1:4" x14ac:dyDescent="0.25">
      <c r="A6568" t="str">
        <f>T("   ZZZ_Monde")</f>
        <v xml:space="preserve">   ZZZ_Monde</v>
      </c>
      <c r="B6568" t="str">
        <f>T("   ZZZ_Monde")</f>
        <v xml:space="preserve">   ZZZ_Monde</v>
      </c>
      <c r="C6568">
        <v>31000625</v>
      </c>
      <c r="D6568">
        <v>33421</v>
      </c>
    </row>
    <row r="6569" spans="1:4" x14ac:dyDescent="0.25">
      <c r="A6569" t="str">
        <f>T("   CN")</f>
        <v xml:space="preserve">   CN</v>
      </c>
      <c r="B6569" t="str">
        <f>T("   Chine")</f>
        <v xml:space="preserve">   Chine</v>
      </c>
      <c r="C6569">
        <v>17000000</v>
      </c>
      <c r="D6569">
        <v>18702</v>
      </c>
    </row>
    <row r="6570" spans="1:4" x14ac:dyDescent="0.25">
      <c r="A6570" t="str">
        <f>T("   TW")</f>
        <v xml:space="preserve">   TW</v>
      </c>
      <c r="B6570" t="str">
        <f>T("   Taïwan, Province de Chine")</f>
        <v xml:space="preserve">   Taïwan, Province de Chine</v>
      </c>
      <c r="C6570">
        <v>14000625</v>
      </c>
      <c r="D6570">
        <v>14719</v>
      </c>
    </row>
    <row r="6571" spans="1:4" x14ac:dyDescent="0.25">
      <c r="A6571" t="str">
        <f>T("551323")</f>
        <v>551323</v>
      </c>
      <c r="B6571" t="str">
        <f>T("TISSUS, TEINTS, DE FIBRES DISCONTINUES DE POLYESTER, CONTENANT EN PRÉDOMINANCE, MAIS &lt; 85% EN POIDS DE CES FIBRES, MÉLANGÉS PRINCIPALEMENT OU UNIQUEMENT AVEC DU COTON, D'UN POIDS &lt;= 170 G/M² (À L'EXCL. DES TISSUS À ARMURE TOILE)")</f>
        <v>TISSUS, TEINTS, DE FIBRES DISCONTINUES DE POLYESTER, CONTENANT EN PRÉDOMINANCE, MAIS &lt; 85% EN POIDS DE CES FIBRES, MÉLANGÉS PRINCIPALEMENT OU UNIQUEMENT AVEC DU COTON, D'UN POIDS &lt;= 170 G/M² (À L'EXCL. DES TISSUS À ARMURE TOILE)</v>
      </c>
    </row>
    <row r="6572" spans="1:4" x14ac:dyDescent="0.25">
      <c r="A6572" t="str">
        <f>T("   ZZZ_Monde")</f>
        <v xml:space="preserve">   ZZZ_Monde</v>
      </c>
      <c r="B6572" t="str">
        <f>T("   ZZZ_Monde")</f>
        <v xml:space="preserve">   ZZZ_Monde</v>
      </c>
      <c r="C6572">
        <v>51761370</v>
      </c>
      <c r="D6572">
        <v>43550</v>
      </c>
    </row>
    <row r="6573" spans="1:4" x14ac:dyDescent="0.25">
      <c r="A6573" t="str">
        <f>T("   CN")</f>
        <v xml:space="preserve">   CN</v>
      </c>
      <c r="B6573" t="str">
        <f>T("   Chine")</f>
        <v xml:space="preserve">   Chine</v>
      </c>
      <c r="C6573">
        <v>17761370</v>
      </c>
      <c r="D6573">
        <v>18000</v>
      </c>
    </row>
    <row r="6574" spans="1:4" x14ac:dyDescent="0.25">
      <c r="A6574" t="str">
        <f>T("   IN")</f>
        <v xml:space="preserve">   IN</v>
      </c>
      <c r="B6574" t="str">
        <f>T("   Inde")</f>
        <v xml:space="preserve">   Inde</v>
      </c>
      <c r="C6574">
        <v>34000000</v>
      </c>
      <c r="D6574">
        <v>25550</v>
      </c>
    </row>
    <row r="6575" spans="1:4" x14ac:dyDescent="0.25">
      <c r="A6575" t="str">
        <f>T("551329")</f>
        <v>551329</v>
      </c>
      <c r="B6575" t="str">
        <f>T("Tissus, teints, de fibres synthétiques discontinues, contenant en prédominance, mais &lt; 85% en poids de ces fibres, mélangés principalement ou uniquement avec du coton, d'un poids &lt;= 170 g/m² (à l'excl. des tissus de fibres discontinues de polyester)")</f>
        <v>Tissus, teints, de fibres synthétiques discontinues, contenant en prédominance, mais &lt; 85% en poids de ces fibres, mélangés principalement ou uniquement avec du coton, d'un poids &lt;= 170 g/m² (à l'excl. des tissus de fibres discontinues de polyester)</v>
      </c>
    </row>
    <row r="6576" spans="1:4" x14ac:dyDescent="0.25">
      <c r="A6576" t="str">
        <f>T("   ZZZ_Monde")</f>
        <v xml:space="preserve">   ZZZ_Monde</v>
      </c>
      <c r="B6576" t="str">
        <f>T("   ZZZ_Monde")</f>
        <v xml:space="preserve">   ZZZ_Monde</v>
      </c>
      <c r="C6576">
        <v>340522671</v>
      </c>
      <c r="D6576">
        <v>368508</v>
      </c>
    </row>
    <row r="6577" spans="1:4" x14ac:dyDescent="0.25">
      <c r="A6577" t="str">
        <f>T("   CN")</f>
        <v xml:space="preserve">   CN</v>
      </c>
      <c r="B6577" t="str">
        <f>T("   Chine")</f>
        <v xml:space="preserve">   Chine</v>
      </c>
      <c r="C6577">
        <v>256003335</v>
      </c>
      <c r="D6577">
        <v>301882</v>
      </c>
    </row>
    <row r="6578" spans="1:4" x14ac:dyDescent="0.25">
      <c r="A6578" t="str">
        <f>T("   FR")</f>
        <v xml:space="preserve">   FR</v>
      </c>
      <c r="B6578" t="str">
        <f>T("   France")</f>
        <v xml:space="preserve">   France</v>
      </c>
      <c r="C6578">
        <v>150000</v>
      </c>
      <c r="D6578">
        <v>20</v>
      </c>
    </row>
    <row r="6579" spans="1:4" x14ac:dyDescent="0.25">
      <c r="A6579" t="str">
        <f>T("   TG")</f>
        <v xml:space="preserve">   TG</v>
      </c>
      <c r="B6579" t="str">
        <f>T("   Togo")</f>
        <v xml:space="preserve">   Togo</v>
      </c>
      <c r="C6579">
        <v>50368950</v>
      </c>
      <c r="D6579">
        <v>29444</v>
      </c>
    </row>
    <row r="6580" spans="1:4" x14ac:dyDescent="0.25">
      <c r="A6580" t="str">
        <f>T("   TH")</f>
        <v xml:space="preserve">   TH</v>
      </c>
      <c r="B6580" t="str">
        <f>T("   Thaïlande")</f>
        <v xml:space="preserve">   Thaïlande</v>
      </c>
      <c r="C6580">
        <v>34000386</v>
      </c>
      <c r="D6580">
        <v>37162</v>
      </c>
    </row>
    <row r="6581" spans="1:4" x14ac:dyDescent="0.25">
      <c r="A6581" t="str">
        <f>T("551339")</f>
        <v>551339</v>
      </c>
      <c r="B6581" t="str">
        <f>T("Tissus en fils de diverses couleurs, en fibres synthétiques discontinues, contenant en prédominance, mais &lt; 85% en poids de ces fibres, mélangés principalement ou uniquement avec du coton, d'un poids &lt;= 170 g/m² (à l'excl. des tissus de fibres discontinue")</f>
        <v>Tissus en fils de diverses couleurs, en fibres synthétiques discontinues, contenant en prédominance, mais &lt; 85% en poids de ces fibres, mélangés principalement ou uniquement avec du coton, d'un poids &lt;= 170 g/m² (à l'excl. des tissus de fibres discontinue</v>
      </c>
    </row>
    <row r="6582" spans="1:4" x14ac:dyDescent="0.25">
      <c r="A6582" t="str">
        <f>T("   ZZZ_Monde")</f>
        <v xml:space="preserve">   ZZZ_Monde</v>
      </c>
      <c r="B6582" t="str">
        <f>T("   ZZZ_Monde")</f>
        <v xml:space="preserve">   ZZZ_Monde</v>
      </c>
      <c r="C6582">
        <v>30251918</v>
      </c>
      <c r="D6582">
        <v>80768</v>
      </c>
    </row>
    <row r="6583" spans="1:4" x14ac:dyDescent="0.25">
      <c r="A6583" t="str">
        <f>T("   CN")</f>
        <v xml:space="preserve">   CN</v>
      </c>
      <c r="B6583" t="str">
        <f>T("   Chine")</f>
        <v xml:space="preserve">   Chine</v>
      </c>
      <c r="C6583">
        <v>13200000</v>
      </c>
      <c r="D6583">
        <v>57000</v>
      </c>
    </row>
    <row r="6584" spans="1:4" x14ac:dyDescent="0.25">
      <c r="A6584" t="str">
        <f>T("   IN")</f>
        <v xml:space="preserve">   IN</v>
      </c>
      <c r="B6584" t="str">
        <f>T("   Inde")</f>
        <v xml:space="preserve">   Inde</v>
      </c>
      <c r="C6584">
        <v>17051918</v>
      </c>
      <c r="D6584">
        <v>23768</v>
      </c>
    </row>
    <row r="6585" spans="1:4" x14ac:dyDescent="0.25">
      <c r="A6585" t="str">
        <f>T("551341")</f>
        <v>551341</v>
      </c>
      <c r="B6585" t="str">
        <f>T("Tissus, imprimés, de fibres discontinues de polyester, contenant en prédominance, mais &lt; 85% en poids de ces fibres, mélangés principalement ou uniquement avec du coton, à armure toile, d'un poids &lt;= 170 g/m²")</f>
        <v>Tissus, imprimés, de fibres discontinues de polyester, contenant en prédominance, mais &lt; 85% en poids de ces fibres, mélangés principalement ou uniquement avec du coton, à armure toile, d'un poids &lt;= 170 g/m²</v>
      </c>
    </row>
    <row r="6586" spans="1:4" x14ac:dyDescent="0.25">
      <c r="A6586" t="str">
        <f>T("   ZZZ_Monde")</f>
        <v xml:space="preserve">   ZZZ_Monde</v>
      </c>
      <c r="B6586" t="str">
        <f>T("   ZZZ_Monde")</f>
        <v xml:space="preserve">   ZZZ_Monde</v>
      </c>
      <c r="C6586">
        <v>14594098</v>
      </c>
      <c r="D6586">
        <v>17094</v>
      </c>
    </row>
    <row r="6587" spans="1:4" x14ac:dyDescent="0.25">
      <c r="A6587" t="str">
        <f>T("   IN")</f>
        <v xml:space="preserve">   IN</v>
      </c>
      <c r="B6587" t="str">
        <f>T("   Inde")</f>
        <v xml:space="preserve">   Inde</v>
      </c>
      <c r="C6587">
        <v>14594098</v>
      </c>
      <c r="D6587">
        <v>17094</v>
      </c>
    </row>
    <row r="6588" spans="1:4" x14ac:dyDescent="0.25">
      <c r="A6588" t="str">
        <f>T("551349")</f>
        <v>551349</v>
      </c>
      <c r="B6588" t="str">
        <f>T("Tissus, imprimés, de fibres synthétiques discontinues, contenant en prédominance, mais &lt; 85% en poids de ces fibres, mélangés principalement ou uniquement avec du coton, d'un poids &lt;= 170 g/m² (à l'excl. des tissus de fibres discontinues de polyester)")</f>
        <v>Tissus, imprimés, de fibres synthétiques discontinues, contenant en prédominance, mais &lt; 85% en poids de ces fibres, mélangés principalement ou uniquement avec du coton, d'un poids &lt;= 170 g/m² (à l'excl. des tissus de fibres discontinues de polyester)</v>
      </c>
    </row>
    <row r="6589" spans="1:4" x14ac:dyDescent="0.25">
      <c r="A6589" t="str">
        <f>T("   ZZZ_Monde")</f>
        <v xml:space="preserve">   ZZZ_Monde</v>
      </c>
      <c r="B6589" t="str">
        <f>T("   ZZZ_Monde")</f>
        <v xml:space="preserve">   ZZZ_Monde</v>
      </c>
      <c r="C6589">
        <v>457731773</v>
      </c>
      <c r="D6589">
        <v>1190329</v>
      </c>
    </row>
    <row r="6590" spans="1:4" x14ac:dyDescent="0.25">
      <c r="A6590" t="str">
        <f>T("   CN")</f>
        <v xml:space="preserve">   CN</v>
      </c>
      <c r="B6590" t="str">
        <f>T("   Chine")</f>
        <v xml:space="preserve">   Chine</v>
      </c>
      <c r="C6590">
        <v>268560447</v>
      </c>
      <c r="D6590">
        <v>596701</v>
      </c>
    </row>
    <row r="6591" spans="1:4" x14ac:dyDescent="0.25">
      <c r="A6591" t="str">
        <f>T("   IN")</f>
        <v xml:space="preserve">   IN</v>
      </c>
      <c r="B6591" t="str">
        <f>T("   Inde")</f>
        <v xml:space="preserve">   Inde</v>
      </c>
      <c r="C6591">
        <v>32775469</v>
      </c>
      <c r="D6591">
        <v>77846</v>
      </c>
    </row>
    <row r="6592" spans="1:4" x14ac:dyDescent="0.25">
      <c r="A6592" t="str">
        <f>T("   TG")</f>
        <v xml:space="preserve">   TG</v>
      </c>
      <c r="B6592" t="str">
        <f>T("   Togo")</f>
        <v xml:space="preserve">   Togo</v>
      </c>
      <c r="C6592">
        <v>143281905</v>
      </c>
      <c r="D6592">
        <v>476950</v>
      </c>
    </row>
    <row r="6593" spans="1:4" x14ac:dyDescent="0.25">
      <c r="A6593" t="str">
        <f>T("   TH")</f>
        <v xml:space="preserve">   TH</v>
      </c>
      <c r="B6593" t="str">
        <f>T("   Thaïlande")</f>
        <v xml:space="preserve">   Thaïlande</v>
      </c>
      <c r="C6593">
        <v>6553696</v>
      </c>
      <c r="D6593">
        <v>18864</v>
      </c>
    </row>
    <row r="6594" spans="1:4" x14ac:dyDescent="0.25">
      <c r="A6594" t="str">
        <f>T("   VN")</f>
        <v xml:space="preserve">   VN</v>
      </c>
      <c r="B6594" t="str">
        <f>T("   Vietnam")</f>
        <v xml:space="preserve">   Vietnam</v>
      </c>
      <c r="C6594">
        <v>6560256</v>
      </c>
      <c r="D6594">
        <v>19968</v>
      </c>
    </row>
    <row r="6595" spans="1:4" x14ac:dyDescent="0.25">
      <c r="A6595" t="str">
        <f>T("551419")</f>
        <v>551419</v>
      </c>
      <c r="B6595" t="str">
        <f>T("Tissus, écrus ou blanchis, de fibres synthétiques discontinues, contenant en prédominance, mais &lt; 85% en poids de ces fibres, mélangés principalement ou uniquement avec du coton, d'un poids &gt; 170 g/m² (à l'excl. des tissus de fibres discontinues de polyes")</f>
        <v>Tissus, écrus ou blanchis, de fibres synthétiques discontinues, contenant en prédominance, mais &lt; 85% en poids de ces fibres, mélangés principalement ou uniquement avec du coton, d'un poids &gt; 170 g/m² (à l'excl. des tissus de fibres discontinues de polyes</v>
      </c>
    </row>
    <row r="6596" spans="1:4" x14ac:dyDescent="0.25">
      <c r="A6596" t="str">
        <f>T("   ZZZ_Monde")</f>
        <v xml:space="preserve">   ZZZ_Monde</v>
      </c>
      <c r="B6596" t="str">
        <f>T("   ZZZ_Monde")</f>
        <v xml:space="preserve">   ZZZ_Monde</v>
      </c>
      <c r="C6596">
        <v>28000000</v>
      </c>
      <c r="D6596">
        <v>30450</v>
      </c>
    </row>
    <row r="6597" spans="1:4" x14ac:dyDescent="0.25">
      <c r="A6597" t="str">
        <f>T("   TW")</f>
        <v xml:space="preserve">   TW</v>
      </c>
      <c r="B6597" t="str">
        <f>T("   Taïwan, Province de Chine")</f>
        <v xml:space="preserve">   Taïwan, Province de Chine</v>
      </c>
      <c r="C6597">
        <v>28000000</v>
      </c>
      <c r="D6597">
        <v>30450</v>
      </c>
    </row>
    <row r="6598" spans="1:4" x14ac:dyDescent="0.25">
      <c r="A6598" t="str">
        <f>T("551421")</f>
        <v>551421</v>
      </c>
      <c r="B6598" t="str">
        <f>T("Tissus, teints, de fibres discontinues de polyester, contenant en prédominance, mais &lt; 85% en poids de ces fibres, mélangés principalement ou uniquement avec du coton, à armure toile, d'un poids &gt; 170 g/m²")</f>
        <v>Tissus, teints, de fibres discontinues de polyester, contenant en prédominance, mais &lt; 85% en poids de ces fibres, mélangés principalement ou uniquement avec du coton, à armure toile, d'un poids &gt; 170 g/m²</v>
      </c>
    </row>
    <row r="6599" spans="1:4" x14ac:dyDescent="0.25">
      <c r="A6599" t="str">
        <f>T("   ZZZ_Monde")</f>
        <v xml:space="preserve">   ZZZ_Monde</v>
      </c>
      <c r="B6599" t="str">
        <f>T("   ZZZ_Monde")</f>
        <v xml:space="preserve">   ZZZ_Monde</v>
      </c>
      <c r="C6599">
        <v>31804843</v>
      </c>
      <c r="D6599">
        <v>44383</v>
      </c>
    </row>
    <row r="6600" spans="1:4" x14ac:dyDescent="0.25">
      <c r="A6600" t="str">
        <f>T("   TW")</f>
        <v xml:space="preserve">   TW</v>
      </c>
      <c r="B6600" t="str">
        <f>T("   Taïwan, Province de Chine")</f>
        <v xml:space="preserve">   Taïwan, Province de Chine</v>
      </c>
      <c r="C6600">
        <v>31804843</v>
      </c>
      <c r="D6600">
        <v>44383</v>
      </c>
    </row>
    <row r="6601" spans="1:4" x14ac:dyDescent="0.25">
      <c r="A6601" t="str">
        <f>T("551429")</f>
        <v>551429</v>
      </c>
      <c r="B6601" t="str">
        <f>T("Tissus, teints, de fibres synthétiques discontinues, contenant en prédominance, mais &lt; 85% en poids de ces fibres, mélangés principalement ou uniquement avec du coton, d'un poids &gt; 170 g/m² (à l'excl. des tissus de fibres discontinues de polyester)")</f>
        <v>Tissus, teints, de fibres synthétiques discontinues, contenant en prédominance, mais &lt; 85% en poids de ces fibres, mélangés principalement ou uniquement avec du coton, d'un poids &gt; 170 g/m² (à l'excl. des tissus de fibres discontinues de polyester)</v>
      </c>
    </row>
    <row r="6602" spans="1:4" x14ac:dyDescent="0.25">
      <c r="A6602" t="str">
        <f>T("   ZZZ_Monde")</f>
        <v xml:space="preserve">   ZZZ_Monde</v>
      </c>
      <c r="B6602" t="str">
        <f>T("   ZZZ_Monde")</f>
        <v xml:space="preserve">   ZZZ_Monde</v>
      </c>
      <c r="C6602">
        <v>7368399</v>
      </c>
      <c r="D6602">
        <v>1287</v>
      </c>
    </row>
    <row r="6603" spans="1:4" x14ac:dyDescent="0.25">
      <c r="A6603" t="str">
        <f>T("   FR")</f>
        <v xml:space="preserve">   FR</v>
      </c>
      <c r="B6603" t="str">
        <f>T("   France")</f>
        <v xml:space="preserve">   France</v>
      </c>
      <c r="C6603">
        <v>7368399</v>
      </c>
      <c r="D6603">
        <v>1287</v>
      </c>
    </row>
    <row r="6604" spans="1:4" x14ac:dyDescent="0.25">
      <c r="A6604" t="str">
        <f>T("551439")</f>
        <v>551439</v>
      </c>
      <c r="B6604" t="str">
        <f>T("Tissus en fils de diverses couleurs, en fibres synthétiques discontinues, contenant en prédominance, mais &lt; 85% en poids de ces fibres, mélangés principalement ou uniquement avec du coton, d'un poids &gt; 170 g/m² (à l'excl. des tissus de fibres discontinues")</f>
        <v>Tissus en fils de diverses couleurs, en fibres synthétiques discontinues, contenant en prédominance, mais &lt; 85% en poids de ces fibres, mélangés principalement ou uniquement avec du coton, d'un poids &gt; 170 g/m² (à l'excl. des tissus de fibres discontinues</v>
      </c>
    </row>
    <row r="6605" spans="1:4" x14ac:dyDescent="0.25">
      <c r="A6605" t="str">
        <f>T("   ZZZ_Monde")</f>
        <v xml:space="preserve">   ZZZ_Monde</v>
      </c>
      <c r="B6605" t="str">
        <f>T("   ZZZ_Monde")</f>
        <v xml:space="preserve">   ZZZ_Monde</v>
      </c>
      <c r="C6605">
        <v>1412068</v>
      </c>
      <c r="D6605">
        <v>2500</v>
      </c>
    </row>
    <row r="6606" spans="1:4" x14ac:dyDescent="0.25">
      <c r="A6606" t="str">
        <f>T("   CN")</f>
        <v xml:space="preserve">   CN</v>
      </c>
      <c r="B6606" t="str">
        <f>T("   Chine")</f>
        <v xml:space="preserve">   Chine</v>
      </c>
      <c r="C6606">
        <v>1412068</v>
      </c>
      <c r="D6606">
        <v>2500</v>
      </c>
    </row>
    <row r="6607" spans="1:4" x14ac:dyDescent="0.25">
      <c r="A6607" t="str">
        <f>T("551443")</f>
        <v>551443</v>
      </c>
      <c r="B6607" t="str">
        <f>T("Tissus, imprimés, de fibres discontinues de polyester, contenant en prédominance, mais &lt; 85% en poids de ces fibres, mélangés principalement ou uniquement avec du coton, d'un poids &gt; 170 g/m² (à l'excl. des tissus à armure toile ou à armure sergé [y.c. le")</f>
        <v>Tissus, imprimés, de fibres discontinues de polyester, contenant en prédominance, mais &lt; 85% en poids de ces fibres, mélangés principalement ou uniquement avec du coton, d'un poids &gt; 170 g/m² (à l'excl. des tissus à armure toile ou à armure sergé [y.c. le</v>
      </c>
    </row>
    <row r="6608" spans="1:4" x14ac:dyDescent="0.25">
      <c r="A6608" t="str">
        <f>T("   ZZZ_Monde")</f>
        <v xml:space="preserve">   ZZZ_Monde</v>
      </c>
      <c r="B6608" t="str">
        <f>T("   ZZZ_Monde")</f>
        <v xml:space="preserve">   ZZZ_Monde</v>
      </c>
      <c r="C6608">
        <v>34250053</v>
      </c>
      <c r="D6608">
        <v>52985</v>
      </c>
    </row>
    <row r="6609" spans="1:4" x14ac:dyDescent="0.25">
      <c r="A6609" t="str">
        <f>T("   CN")</f>
        <v xml:space="preserve">   CN</v>
      </c>
      <c r="B6609" t="str">
        <f>T("   Chine")</f>
        <v xml:space="preserve">   Chine</v>
      </c>
      <c r="C6609">
        <v>5456553</v>
      </c>
      <c r="D6609">
        <v>9200</v>
      </c>
    </row>
    <row r="6610" spans="1:4" x14ac:dyDescent="0.25">
      <c r="A6610" t="str">
        <f>T("   IN")</f>
        <v xml:space="preserve">   IN</v>
      </c>
      <c r="B6610" t="str">
        <f>T("   Inde")</f>
        <v xml:space="preserve">   Inde</v>
      </c>
      <c r="C6610">
        <v>14000000</v>
      </c>
      <c r="D6610">
        <v>14339</v>
      </c>
    </row>
    <row r="6611" spans="1:4" x14ac:dyDescent="0.25">
      <c r="A6611" t="str">
        <f>T("   NG")</f>
        <v xml:space="preserve">   NG</v>
      </c>
      <c r="B6611" t="str">
        <f>T("   Nigéria")</f>
        <v xml:space="preserve">   Nigéria</v>
      </c>
      <c r="C6611">
        <v>14793500</v>
      </c>
      <c r="D6611">
        <v>29446</v>
      </c>
    </row>
    <row r="6612" spans="1:4" x14ac:dyDescent="0.25">
      <c r="A6612" t="str">
        <f>T("551449")</f>
        <v>551449</v>
      </c>
      <c r="B6612" t="str">
        <f>T("Tissus, imprimés, de fibres synthétiques discontinues, contenant en prédominance, mais &lt; 85% en poids de ces fibres, mélangés principalement ou uniquement avec du coton, d'un poids &gt; 170 g/m² (à l'excl. des tissus de fibres discontinues de polyester)")</f>
        <v>Tissus, imprimés, de fibres synthétiques discontinues, contenant en prédominance, mais &lt; 85% en poids de ces fibres, mélangés principalement ou uniquement avec du coton, d'un poids &gt; 170 g/m² (à l'excl. des tissus de fibres discontinues de polyester)</v>
      </c>
    </row>
    <row r="6613" spans="1:4" x14ac:dyDescent="0.25">
      <c r="A6613" t="str">
        <f>T("   ZZZ_Monde")</f>
        <v xml:space="preserve">   ZZZ_Monde</v>
      </c>
      <c r="B6613" t="str">
        <f>T("   ZZZ_Monde")</f>
        <v xml:space="preserve">   ZZZ_Monde</v>
      </c>
      <c r="C6613">
        <v>81097710</v>
      </c>
      <c r="D6613">
        <v>112452</v>
      </c>
    </row>
    <row r="6614" spans="1:4" x14ac:dyDescent="0.25">
      <c r="A6614" t="str">
        <f>T("   CN")</f>
        <v xml:space="preserve">   CN</v>
      </c>
      <c r="B6614" t="str">
        <f>T("   Chine")</f>
        <v xml:space="preserve">   Chine</v>
      </c>
      <c r="C6614">
        <v>13097472</v>
      </c>
      <c r="D6614">
        <v>37270</v>
      </c>
    </row>
    <row r="6615" spans="1:4" x14ac:dyDescent="0.25">
      <c r="A6615" t="str">
        <f>T("   TH")</f>
        <v xml:space="preserve">   TH</v>
      </c>
      <c r="B6615" t="str">
        <f>T("   Thaïlande")</f>
        <v xml:space="preserve">   Thaïlande</v>
      </c>
      <c r="C6615">
        <v>68000238</v>
      </c>
      <c r="D6615">
        <v>75182</v>
      </c>
    </row>
    <row r="6616" spans="1:4" x14ac:dyDescent="0.25">
      <c r="A6616" t="str">
        <f>T("551519")</f>
        <v>551519</v>
      </c>
      <c r="B6616" t="str">
        <f>T("Tissus de fibres discontinues de polyester, contenant en prédominance, mais &lt; 85% en poids de ces fibres (à l'excl. des tissus mélangés principalement ou uniquement avec de la laine ou des poils fins, des filaments synthétiques ou artificiels, des fibres")</f>
        <v>Tissus de fibres discontinues de polyester, contenant en prédominance, mais &lt; 85% en poids de ces fibres (à l'excl. des tissus mélangés principalement ou uniquement avec de la laine ou des poils fins, des filaments synthétiques ou artificiels, des fibres</v>
      </c>
    </row>
    <row r="6617" spans="1:4" x14ac:dyDescent="0.25">
      <c r="A6617" t="str">
        <f>T("   ZZZ_Monde")</f>
        <v xml:space="preserve">   ZZZ_Monde</v>
      </c>
      <c r="B6617" t="str">
        <f>T("   ZZZ_Monde")</f>
        <v xml:space="preserve">   ZZZ_Monde</v>
      </c>
      <c r="C6617">
        <v>297132769</v>
      </c>
      <c r="D6617">
        <v>424267</v>
      </c>
    </row>
    <row r="6618" spans="1:4" x14ac:dyDescent="0.25">
      <c r="A6618" t="str">
        <f>T("   CN")</f>
        <v xml:space="preserve">   CN</v>
      </c>
      <c r="B6618" t="str">
        <f>T("   Chine")</f>
        <v xml:space="preserve">   Chine</v>
      </c>
      <c r="C6618">
        <v>91011961</v>
      </c>
      <c r="D6618">
        <v>96055</v>
      </c>
    </row>
    <row r="6619" spans="1:4" x14ac:dyDescent="0.25">
      <c r="A6619" t="str">
        <f>T("   DE")</f>
        <v xml:space="preserve">   DE</v>
      </c>
      <c r="B6619" t="str">
        <f>T("   Allemagne")</f>
        <v xml:space="preserve">   Allemagne</v>
      </c>
      <c r="C6619">
        <v>196465428</v>
      </c>
      <c r="D6619">
        <v>313512</v>
      </c>
    </row>
    <row r="6620" spans="1:4" x14ac:dyDescent="0.25">
      <c r="A6620" t="str">
        <f>T("   TG")</f>
        <v xml:space="preserve">   TG</v>
      </c>
      <c r="B6620" t="str">
        <f>T("   Togo")</f>
        <v xml:space="preserve">   Togo</v>
      </c>
      <c r="C6620">
        <v>9655380</v>
      </c>
      <c r="D6620">
        <v>14700</v>
      </c>
    </row>
    <row r="6621" spans="1:4" x14ac:dyDescent="0.25">
      <c r="A6621" t="str">
        <f>T("551529")</f>
        <v>551529</v>
      </c>
      <c r="B6621" t="str">
        <f>T("Tissus de fibres discontinues acryliques ou modacryliques, contenant en prédominance, mais &lt; 85% en poids de ces fibres (à l'excl. des tissus mélangés principalement ou uniquement avec de la laine ou des poils fins, des filaments synthétiques ou artificie")</f>
        <v>Tissus de fibres discontinues acryliques ou modacryliques, contenant en prédominance, mais &lt; 85% en poids de ces fibres (à l'excl. des tissus mélangés principalement ou uniquement avec de la laine ou des poils fins, des filaments synthétiques ou artificie</v>
      </c>
    </row>
    <row r="6622" spans="1:4" x14ac:dyDescent="0.25">
      <c r="A6622" t="str">
        <f>T("   ZZZ_Monde")</f>
        <v xml:space="preserve">   ZZZ_Monde</v>
      </c>
      <c r="B6622" t="str">
        <f>T("   ZZZ_Monde")</f>
        <v xml:space="preserve">   ZZZ_Monde</v>
      </c>
      <c r="C6622">
        <v>18557500</v>
      </c>
      <c r="D6622">
        <v>36090</v>
      </c>
    </row>
    <row r="6623" spans="1:4" x14ac:dyDescent="0.25">
      <c r="A6623" t="str">
        <f>T("   CN")</f>
        <v xml:space="preserve">   CN</v>
      </c>
      <c r="B6623" t="str">
        <f>T("   Chine")</f>
        <v xml:space="preserve">   Chine</v>
      </c>
      <c r="C6623">
        <v>3500000</v>
      </c>
      <c r="D6623">
        <v>6000</v>
      </c>
    </row>
    <row r="6624" spans="1:4" x14ac:dyDescent="0.25">
      <c r="A6624" t="str">
        <f>T("   TG")</f>
        <v xml:space="preserve">   TG</v>
      </c>
      <c r="B6624" t="str">
        <f>T("   Togo")</f>
        <v xml:space="preserve">   Togo</v>
      </c>
      <c r="C6624">
        <v>15057500</v>
      </c>
      <c r="D6624">
        <v>30090</v>
      </c>
    </row>
    <row r="6625" spans="1:4" x14ac:dyDescent="0.25">
      <c r="A6625" t="str">
        <f>T("551591")</f>
        <v>551591</v>
      </c>
      <c r="B6625" t="str">
        <f>T("Tissus de fibres synthétiques discontinues, contenant en prédominance, mais &lt; 85% en poids de ces fibres, mélangés principalement ou uniquement avec des filaments synthétiques ou artificiels (à l'excl. des tissus de fibres discontinues acryliques ou modac")</f>
        <v>Tissus de fibres synthétiques discontinues, contenant en prédominance, mais &lt; 85% en poids de ces fibres, mélangés principalement ou uniquement avec des filaments synthétiques ou artificiels (à l'excl. des tissus de fibres discontinues acryliques ou modac</v>
      </c>
    </row>
    <row r="6626" spans="1:4" x14ac:dyDescent="0.25">
      <c r="A6626" t="str">
        <f>T("   ZZZ_Monde")</f>
        <v xml:space="preserve">   ZZZ_Monde</v>
      </c>
      <c r="B6626" t="str">
        <f>T("   ZZZ_Monde")</f>
        <v xml:space="preserve">   ZZZ_Monde</v>
      </c>
      <c r="C6626">
        <v>9000000</v>
      </c>
      <c r="D6626">
        <v>12870</v>
      </c>
    </row>
    <row r="6627" spans="1:4" x14ac:dyDescent="0.25">
      <c r="A6627" t="str">
        <f>T("   TG")</f>
        <v xml:space="preserve">   TG</v>
      </c>
      <c r="B6627" t="str">
        <f>T("   Togo")</f>
        <v xml:space="preserve">   Togo</v>
      </c>
      <c r="C6627">
        <v>9000000</v>
      </c>
      <c r="D6627">
        <v>12870</v>
      </c>
    </row>
    <row r="6628" spans="1:4" x14ac:dyDescent="0.25">
      <c r="A6628" t="str">
        <f>T("551592")</f>
        <v>551592</v>
      </c>
      <c r="B6628" t="str">
        <f>T("Tissus de fibres synthétiques discontinues, contenant en prédominance, mais &lt; 85% en poids de ces fibres, mélangés principalement ou uniquement avec de la laine ou des poils fins (à l'excl. des tissus de fibres discontinues acryliques ou modacryliques ou")</f>
        <v>Tissus de fibres synthétiques discontinues, contenant en prédominance, mais &lt; 85% en poids de ces fibres, mélangés principalement ou uniquement avec de la laine ou des poils fins (à l'excl. des tissus de fibres discontinues acryliques ou modacryliques ou</v>
      </c>
    </row>
    <row r="6629" spans="1:4" x14ac:dyDescent="0.25">
      <c r="A6629" t="str">
        <f>T("   ZZZ_Monde")</f>
        <v xml:space="preserve">   ZZZ_Monde</v>
      </c>
      <c r="B6629" t="str">
        <f>T("   ZZZ_Monde")</f>
        <v xml:space="preserve">   ZZZ_Monde</v>
      </c>
      <c r="C6629">
        <v>33719058</v>
      </c>
      <c r="D6629">
        <v>54142</v>
      </c>
    </row>
    <row r="6630" spans="1:4" x14ac:dyDescent="0.25">
      <c r="A6630" t="str">
        <f>T("   CN")</f>
        <v xml:space="preserve">   CN</v>
      </c>
      <c r="B6630" t="str">
        <f>T("   Chine")</f>
        <v xml:space="preserve">   Chine</v>
      </c>
      <c r="C6630">
        <v>33245000</v>
      </c>
      <c r="D6630">
        <v>53684</v>
      </c>
    </row>
    <row r="6631" spans="1:4" x14ac:dyDescent="0.25">
      <c r="A6631" t="str">
        <f>T("   TG")</f>
        <v xml:space="preserve">   TG</v>
      </c>
      <c r="B6631" t="str">
        <f>T("   Togo")</f>
        <v xml:space="preserve">   Togo</v>
      </c>
      <c r="C6631">
        <v>474058</v>
      </c>
      <c r="D6631">
        <v>458</v>
      </c>
    </row>
    <row r="6632" spans="1:4" x14ac:dyDescent="0.25">
      <c r="A6632" t="str">
        <f>T("551599")</f>
        <v>551599</v>
      </c>
      <c r="B6632" t="str">
        <f>T("Tissus de fibres synthétiques discontinues, contenant en prédominance, mais &lt; 85% en poids de ces fibres (à l'excl. des tissus de fibres discontinues acryliques ou modacryliques ou de fibres discontinues de polyester ainsi que des tissus mélangés principa")</f>
        <v>Tissus de fibres synthétiques discontinues, contenant en prédominance, mais &lt; 85% en poids de ces fibres (à l'excl. des tissus de fibres discontinues acryliques ou modacryliques ou de fibres discontinues de polyester ainsi que des tissus mélangés principa</v>
      </c>
    </row>
    <row r="6633" spans="1:4" x14ac:dyDescent="0.25">
      <c r="A6633" t="str">
        <f>T("   ZZZ_Monde")</f>
        <v xml:space="preserve">   ZZZ_Monde</v>
      </c>
      <c r="B6633" t="str">
        <f>T("   ZZZ_Monde")</f>
        <v xml:space="preserve">   ZZZ_Monde</v>
      </c>
      <c r="C6633">
        <v>61081494</v>
      </c>
      <c r="D6633">
        <v>128510</v>
      </c>
    </row>
    <row r="6634" spans="1:4" x14ac:dyDescent="0.25">
      <c r="A6634" t="str">
        <f>T("   CI")</f>
        <v xml:space="preserve">   CI</v>
      </c>
      <c r="B6634" t="str">
        <f>T("   Côte d'Ivoire")</f>
        <v xml:space="preserve">   Côte d'Ivoire</v>
      </c>
      <c r="C6634">
        <v>4495005</v>
      </c>
      <c r="D6634">
        <v>8590</v>
      </c>
    </row>
    <row r="6635" spans="1:4" x14ac:dyDescent="0.25">
      <c r="A6635" t="str">
        <f>T("   CN")</f>
        <v xml:space="preserve">   CN</v>
      </c>
      <c r="B6635" t="str">
        <f>T("   Chine")</f>
        <v xml:space="preserve">   Chine</v>
      </c>
      <c r="C6635">
        <v>49342030</v>
      </c>
      <c r="D6635">
        <v>103825</v>
      </c>
    </row>
    <row r="6636" spans="1:4" x14ac:dyDescent="0.25">
      <c r="A6636" t="str">
        <f>T("   GH")</f>
        <v xml:space="preserve">   GH</v>
      </c>
      <c r="B6636" t="str">
        <f>T("   Ghana")</f>
        <v xml:space="preserve">   Ghana</v>
      </c>
      <c r="C6636">
        <v>100000</v>
      </c>
      <c r="D6636">
        <v>580</v>
      </c>
    </row>
    <row r="6637" spans="1:4" x14ac:dyDescent="0.25">
      <c r="A6637" t="str">
        <f>T("   IN")</f>
        <v xml:space="preserve">   IN</v>
      </c>
      <c r="B6637" t="str">
        <f>T("   Inde")</f>
        <v xml:space="preserve">   Inde</v>
      </c>
      <c r="C6637">
        <v>6554153</v>
      </c>
      <c r="D6637">
        <v>14850</v>
      </c>
    </row>
    <row r="6638" spans="1:4" x14ac:dyDescent="0.25">
      <c r="A6638" t="str">
        <f>T("   TG")</f>
        <v xml:space="preserve">   TG</v>
      </c>
      <c r="B6638" t="str">
        <f>T("   Togo")</f>
        <v xml:space="preserve">   Togo</v>
      </c>
      <c r="C6638">
        <v>590306</v>
      </c>
      <c r="D6638">
        <v>665</v>
      </c>
    </row>
    <row r="6639" spans="1:4" x14ac:dyDescent="0.25">
      <c r="A6639" t="str">
        <f>T("551632")</f>
        <v>551632</v>
      </c>
      <c r="B6639" t="str">
        <f>T("Tissus, teints, de fibres artificielles discontinues, contenant en prédominance, mais &lt; 85% en poids de ces fibres, mélangés principalement ou uniquement avec de la laine ou des poils fins")</f>
        <v>Tissus, teints, de fibres artificielles discontinues, contenant en prédominance, mais &lt; 85% en poids de ces fibres, mélangés principalement ou uniquement avec de la laine ou des poils fins</v>
      </c>
    </row>
    <row r="6640" spans="1:4" x14ac:dyDescent="0.25">
      <c r="A6640" t="str">
        <f>T("   ZZZ_Monde")</f>
        <v xml:space="preserve">   ZZZ_Monde</v>
      </c>
      <c r="B6640" t="str">
        <f>T("   ZZZ_Monde")</f>
        <v xml:space="preserve">   ZZZ_Monde</v>
      </c>
      <c r="C6640">
        <v>1493655</v>
      </c>
      <c r="D6640">
        <v>1538</v>
      </c>
    </row>
    <row r="6641" spans="1:4" x14ac:dyDescent="0.25">
      <c r="A6641" t="str">
        <f>T("   CN")</f>
        <v xml:space="preserve">   CN</v>
      </c>
      <c r="B6641" t="str">
        <f>T("   Chine")</f>
        <v xml:space="preserve">   Chine</v>
      </c>
      <c r="C6641">
        <v>1493655</v>
      </c>
      <c r="D6641">
        <v>1538</v>
      </c>
    </row>
    <row r="6642" spans="1:4" x14ac:dyDescent="0.25">
      <c r="A6642" t="str">
        <f>T("551644")</f>
        <v>551644</v>
      </c>
      <c r="B6642" t="str">
        <f>T("Tissus, imprimés, de fibres artificielles discontinues, contenant en prédominance, mais &lt; 85% en poids de ces fibres, mélangés principalement ou uniquement avec du coton")</f>
        <v>Tissus, imprimés, de fibres artificielles discontinues, contenant en prédominance, mais &lt; 85% en poids de ces fibres, mélangés principalement ou uniquement avec du coton</v>
      </c>
    </row>
    <row r="6643" spans="1:4" x14ac:dyDescent="0.25">
      <c r="A6643" t="str">
        <f>T("   ZZZ_Monde")</f>
        <v xml:space="preserve">   ZZZ_Monde</v>
      </c>
      <c r="B6643" t="str">
        <f>T("   ZZZ_Monde")</f>
        <v xml:space="preserve">   ZZZ_Monde</v>
      </c>
      <c r="C6643">
        <v>20000000</v>
      </c>
      <c r="D6643">
        <v>19035</v>
      </c>
    </row>
    <row r="6644" spans="1:4" x14ac:dyDescent="0.25">
      <c r="A6644" t="str">
        <f>T("   CN")</f>
        <v xml:space="preserve">   CN</v>
      </c>
      <c r="B6644" t="str">
        <f>T("   Chine")</f>
        <v xml:space="preserve">   Chine</v>
      </c>
      <c r="C6644">
        <v>20000000</v>
      </c>
      <c r="D6644">
        <v>19035</v>
      </c>
    </row>
    <row r="6645" spans="1:4" x14ac:dyDescent="0.25">
      <c r="A6645" t="str">
        <f>T("560110")</f>
        <v>560110</v>
      </c>
      <c r="B6645" t="str">
        <f>T("Serviettes et tampons hygiéniques, couches pour bébés et articles hygiéniques simil., en ouates")</f>
        <v>Serviettes et tampons hygiéniques, couches pour bébés et articles hygiéniques simil., en ouates</v>
      </c>
    </row>
    <row r="6646" spans="1:4" x14ac:dyDescent="0.25">
      <c r="A6646" t="str">
        <f>T("   ZZZ_Monde")</f>
        <v xml:space="preserve">   ZZZ_Monde</v>
      </c>
      <c r="B6646" t="str">
        <f>T("   ZZZ_Monde")</f>
        <v xml:space="preserve">   ZZZ_Monde</v>
      </c>
      <c r="C6646">
        <v>96312655</v>
      </c>
      <c r="D6646">
        <v>174502</v>
      </c>
    </row>
    <row r="6647" spans="1:4" x14ac:dyDescent="0.25">
      <c r="A6647" t="str">
        <f>T("   BE")</f>
        <v xml:space="preserve">   BE</v>
      </c>
      <c r="B6647" t="str">
        <f>T("   Belgique")</f>
        <v xml:space="preserve">   Belgique</v>
      </c>
      <c r="C6647">
        <v>360778</v>
      </c>
      <c r="D6647">
        <v>150</v>
      </c>
    </row>
    <row r="6648" spans="1:4" x14ac:dyDescent="0.25">
      <c r="A6648" t="str">
        <f>T("   CN")</f>
        <v xml:space="preserve">   CN</v>
      </c>
      <c r="B6648" t="str">
        <f>T("   Chine")</f>
        <v xml:space="preserve">   Chine</v>
      </c>
      <c r="C6648">
        <v>40611458</v>
      </c>
      <c r="D6648">
        <v>85176</v>
      </c>
    </row>
    <row r="6649" spans="1:4" x14ac:dyDescent="0.25">
      <c r="A6649" t="str">
        <f>T("   ES")</f>
        <v xml:space="preserve">   ES</v>
      </c>
      <c r="B6649" t="str">
        <f>T("   Espagne")</f>
        <v xml:space="preserve">   Espagne</v>
      </c>
      <c r="C6649">
        <v>7837853</v>
      </c>
      <c r="D6649">
        <v>16171</v>
      </c>
    </row>
    <row r="6650" spans="1:4" x14ac:dyDescent="0.25">
      <c r="A6650" t="str">
        <f>T("   FR")</f>
        <v xml:space="preserve">   FR</v>
      </c>
      <c r="B6650" t="str">
        <f>T("   France")</f>
        <v xml:space="preserve">   France</v>
      </c>
      <c r="C6650">
        <v>9228086</v>
      </c>
      <c r="D6650">
        <v>8377</v>
      </c>
    </row>
    <row r="6651" spans="1:4" x14ac:dyDescent="0.25">
      <c r="A6651" t="str">
        <f>T("   GH")</f>
        <v xml:space="preserve">   GH</v>
      </c>
      <c r="B6651" t="str">
        <f>T("   Ghana")</f>
        <v xml:space="preserve">   Ghana</v>
      </c>
      <c r="C6651">
        <v>134860</v>
      </c>
      <c r="D6651">
        <v>500</v>
      </c>
    </row>
    <row r="6652" spans="1:4" x14ac:dyDescent="0.25">
      <c r="A6652" t="str">
        <f>T("   NG")</f>
        <v xml:space="preserve">   NG</v>
      </c>
      <c r="B6652" t="str">
        <f>T("   Nigéria")</f>
        <v xml:space="preserve">   Nigéria</v>
      </c>
      <c r="C6652">
        <v>719025</v>
      </c>
      <c r="D6652">
        <v>953</v>
      </c>
    </row>
    <row r="6653" spans="1:4" x14ac:dyDescent="0.25">
      <c r="A6653" t="str">
        <f>T("   TG")</f>
        <v xml:space="preserve">   TG</v>
      </c>
      <c r="B6653" t="str">
        <f>T("   Togo")</f>
        <v xml:space="preserve">   Togo</v>
      </c>
      <c r="C6653">
        <v>5901559</v>
      </c>
      <c r="D6653">
        <v>17920</v>
      </c>
    </row>
    <row r="6654" spans="1:4" x14ac:dyDescent="0.25">
      <c r="A6654" t="str">
        <f>T("   TH")</f>
        <v xml:space="preserve">   TH</v>
      </c>
      <c r="B6654" t="str">
        <f>T("   Thaïlande")</f>
        <v xml:space="preserve">   Thaïlande</v>
      </c>
      <c r="C6654">
        <v>1120000</v>
      </c>
      <c r="D6654">
        <v>150</v>
      </c>
    </row>
    <row r="6655" spans="1:4" x14ac:dyDescent="0.25">
      <c r="A6655" t="str">
        <f>T("   TN")</f>
        <v xml:space="preserve">   TN</v>
      </c>
      <c r="B6655" t="str">
        <f>T("   Tunisie")</f>
        <v xml:space="preserve">   Tunisie</v>
      </c>
      <c r="C6655">
        <v>7635000</v>
      </c>
      <c r="D6655">
        <v>9243</v>
      </c>
    </row>
    <row r="6656" spans="1:4" x14ac:dyDescent="0.25">
      <c r="A6656" t="str">
        <f>T("   TR")</f>
        <v xml:space="preserve">   TR</v>
      </c>
      <c r="B6656" t="str">
        <f>T("   Turquie")</f>
        <v xml:space="preserve">   Turquie</v>
      </c>
      <c r="C6656">
        <v>22614036</v>
      </c>
      <c r="D6656">
        <v>35824</v>
      </c>
    </row>
    <row r="6657" spans="1:4" x14ac:dyDescent="0.25">
      <c r="A6657" t="str">
        <f>T("   US")</f>
        <v xml:space="preserve">   US</v>
      </c>
      <c r="B6657" t="str">
        <f>T("   Etats-Unis")</f>
        <v xml:space="preserve">   Etats-Unis</v>
      </c>
      <c r="C6657">
        <v>150000</v>
      </c>
      <c r="D6657">
        <v>38</v>
      </c>
    </row>
    <row r="6658" spans="1:4" x14ac:dyDescent="0.25">
      <c r="A6658" t="str">
        <f>T("560121")</f>
        <v>560121</v>
      </c>
      <c r="B6658" t="str">
        <f>T("Ouates de coton et articles en ces ouates (sauf serviettes et tampons hygiéniques, couches pour bébés et articles hygiéniques simil., produits imprégnés ou recouverts de substances pharmaceutiques ou conditionnés pour la vente au détail à des fins médical")</f>
        <v>Ouates de coton et articles en ces ouates (sauf serviettes et tampons hygiéniques, couches pour bébés et articles hygiéniques simil., produits imprégnés ou recouverts de substances pharmaceutiques ou conditionnés pour la vente au détail à des fins médical</v>
      </c>
    </row>
    <row r="6659" spans="1:4" x14ac:dyDescent="0.25">
      <c r="A6659" t="str">
        <f>T("   ZZZ_Monde")</f>
        <v xml:space="preserve">   ZZZ_Monde</v>
      </c>
      <c r="B6659" t="str">
        <f>T("   ZZZ_Monde")</f>
        <v xml:space="preserve">   ZZZ_Monde</v>
      </c>
      <c r="C6659">
        <v>37855892</v>
      </c>
      <c r="D6659">
        <v>47889</v>
      </c>
    </row>
    <row r="6660" spans="1:4" x14ac:dyDescent="0.25">
      <c r="A6660" t="str">
        <f>T("   AE")</f>
        <v xml:space="preserve">   AE</v>
      </c>
      <c r="B6660" t="str">
        <f>T("   Emirats Arabes Unis")</f>
        <v xml:space="preserve">   Emirats Arabes Unis</v>
      </c>
      <c r="C6660">
        <v>446755</v>
      </c>
      <c r="D6660">
        <v>570</v>
      </c>
    </row>
    <row r="6661" spans="1:4" x14ac:dyDescent="0.25">
      <c r="A6661" t="str">
        <f>T("   CN")</f>
        <v xml:space="preserve">   CN</v>
      </c>
      <c r="B6661" t="str">
        <f>T("   Chine")</f>
        <v xml:space="preserve">   Chine</v>
      </c>
      <c r="C6661">
        <v>6117000</v>
      </c>
      <c r="D6661">
        <v>26000</v>
      </c>
    </row>
    <row r="6662" spans="1:4" x14ac:dyDescent="0.25">
      <c r="A6662" t="str">
        <f>T("   FR")</f>
        <v xml:space="preserve">   FR</v>
      </c>
      <c r="B6662" t="str">
        <f>T("   France")</f>
        <v xml:space="preserve">   France</v>
      </c>
      <c r="C6662">
        <v>26846149</v>
      </c>
      <c r="D6662">
        <v>10714</v>
      </c>
    </row>
    <row r="6663" spans="1:4" x14ac:dyDescent="0.25">
      <c r="A6663" t="str">
        <f>T("   GB")</f>
        <v xml:space="preserve">   GB</v>
      </c>
      <c r="B6663" t="str">
        <f>T("   Royaume-Uni")</f>
        <v xml:space="preserve">   Royaume-Uni</v>
      </c>
      <c r="C6663">
        <v>9054</v>
      </c>
      <c r="D6663">
        <v>2</v>
      </c>
    </row>
    <row r="6664" spans="1:4" x14ac:dyDescent="0.25">
      <c r="A6664" t="str">
        <f>T("   TG")</f>
        <v xml:space="preserve">   TG</v>
      </c>
      <c r="B6664" t="str">
        <f>T("   Togo")</f>
        <v xml:space="preserve">   Togo</v>
      </c>
      <c r="C6664">
        <v>1336018</v>
      </c>
      <c r="D6664">
        <v>9750</v>
      </c>
    </row>
    <row r="6665" spans="1:4" x14ac:dyDescent="0.25">
      <c r="A6665" t="str">
        <f>T("   TR")</f>
        <v xml:space="preserve">   TR</v>
      </c>
      <c r="B6665" t="str">
        <f>T("   Turquie")</f>
        <v xml:space="preserve">   Turquie</v>
      </c>
      <c r="C6665">
        <v>3100916</v>
      </c>
      <c r="D6665">
        <v>853</v>
      </c>
    </row>
    <row r="6666" spans="1:4" x14ac:dyDescent="0.25">
      <c r="A6666" t="str">
        <f>T("560129")</f>
        <v>560129</v>
      </c>
      <c r="B6666" t="str">
        <f>T("Ouates de matières textiles et artificielles en ces ouates (sauf produits en coton ou fibres synthétiques ou artificielles; serviettes et tampons hygiéniques; couches pour bébés et articles hygiéniques simil.; produits imprégnés ou recouverts de substance")</f>
        <v>Ouates de matières textiles et artificielles en ces ouates (sauf produits en coton ou fibres synthétiques ou artificielles; serviettes et tampons hygiéniques; couches pour bébés et articles hygiéniques simil.; produits imprégnés ou recouverts de substance</v>
      </c>
    </row>
    <row r="6667" spans="1:4" x14ac:dyDescent="0.25">
      <c r="A6667" t="str">
        <f>T("   ZZZ_Monde")</f>
        <v xml:space="preserve">   ZZZ_Monde</v>
      </c>
      <c r="B6667" t="str">
        <f>T("   ZZZ_Monde")</f>
        <v xml:space="preserve">   ZZZ_Monde</v>
      </c>
      <c r="C6667">
        <v>939427</v>
      </c>
      <c r="D6667">
        <v>1303</v>
      </c>
    </row>
    <row r="6668" spans="1:4" x14ac:dyDescent="0.25">
      <c r="A6668" t="str">
        <f>T("   BE")</f>
        <v xml:space="preserve">   BE</v>
      </c>
      <c r="B6668" t="str">
        <f>T("   Belgique")</f>
        <v xml:space="preserve">   Belgique</v>
      </c>
      <c r="C6668">
        <v>333035</v>
      </c>
      <c r="D6668">
        <v>530</v>
      </c>
    </row>
    <row r="6669" spans="1:4" x14ac:dyDescent="0.25">
      <c r="A6669" t="str">
        <f>T("   CN")</f>
        <v xml:space="preserve">   CN</v>
      </c>
      <c r="B6669" t="str">
        <f>T("   Chine")</f>
        <v xml:space="preserve">   Chine</v>
      </c>
      <c r="C6669">
        <v>606392</v>
      </c>
      <c r="D6669">
        <v>773</v>
      </c>
    </row>
    <row r="6670" spans="1:4" x14ac:dyDescent="0.25">
      <c r="A6670" t="str">
        <f>T("560210")</f>
        <v>560210</v>
      </c>
      <c r="B6670" t="str">
        <f>T("Feutres aiguilletés et produits cousus-tricotés, même imprégnés, enduits, recouverts ou stratifiés, n.d.a.")</f>
        <v>Feutres aiguilletés et produits cousus-tricotés, même imprégnés, enduits, recouverts ou stratifiés, n.d.a.</v>
      </c>
    </row>
    <row r="6671" spans="1:4" x14ac:dyDescent="0.25">
      <c r="A6671" t="str">
        <f>T("   ZZZ_Monde")</f>
        <v xml:space="preserve">   ZZZ_Monde</v>
      </c>
      <c r="B6671" t="str">
        <f>T("   ZZZ_Monde")</f>
        <v xml:space="preserve">   ZZZ_Monde</v>
      </c>
      <c r="C6671">
        <v>2713852</v>
      </c>
      <c r="D6671">
        <v>168</v>
      </c>
    </row>
    <row r="6672" spans="1:4" x14ac:dyDescent="0.25">
      <c r="A6672" t="str">
        <f>T("   FR")</f>
        <v xml:space="preserve">   FR</v>
      </c>
      <c r="B6672" t="str">
        <f>T("   France")</f>
        <v xml:space="preserve">   France</v>
      </c>
      <c r="C6672">
        <v>2713852</v>
      </c>
      <c r="D6672">
        <v>168</v>
      </c>
    </row>
    <row r="6673" spans="1:4" x14ac:dyDescent="0.25">
      <c r="A6673" t="str">
        <f>T("560290")</f>
        <v>560290</v>
      </c>
      <c r="B6673" t="str">
        <f>T("Feutres, imprégnés, enduits, recouverts ou stratifiés (à l'excl. des feutres aiguilletés et des produits cousus-tricotés)")</f>
        <v>Feutres, imprégnés, enduits, recouverts ou stratifiés (à l'excl. des feutres aiguilletés et des produits cousus-tricotés)</v>
      </c>
    </row>
    <row r="6674" spans="1:4" x14ac:dyDescent="0.25">
      <c r="A6674" t="str">
        <f>T("   ZZZ_Monde")</f>
        <v xml:space="preserve">   ZZZ_Monde</v>
      </c>
      <c r="B6674" t="str">
        <f>T("   ZZZ_Monde")</f>
        <v xml:space="preserve">   ZZZ_Monde</v>
      </c>
      <c r="C6674">
        <v>3559894</v>
      </c>
      <c r="D6674">
        <v>348</v>
      </c>
    </row>
    <row r="6675" spans="1:4" x14ac:dyDescent="0.25">
      <c r="A6675" t="str">
        <f>T("   FR")</f>
        <v xml:space="preserve">   FR</v>
      </c>
      <c r="B6675" t="str">
        <f>T("   France")</f>
        <v xml:space="preserve">   France</v>
      </c>
      <c r="C6675">
        <v>2009861</v>
      </c>
      <c r="D6675">
        <v>210</v>
      </c>
    </row>
    <row r="6676" spans="1:4" x14ac:dyDescent="0.25">
      <c r="A6676" t="str">
        <f>T("   IT")</f>
        <v xml:space="preserve">   IT</v>
      </c>
      <c r="B6676" t="str">
        <f>T("   Italie")</f>
        <v xml:space="preserve">   Italie</v>
      </c>
      <c r="C6676">
        <v>1550033</v>
      </c>
      <c r="D6676">
        <v>138</v>
      </c>
    </row>
    <row r="6677" spans="1:4" x14ac:dyDescent="0.25">
      <c r="A6677" t="str">
        <f>T("560311")</f>
        <v>560311</v>
      </c>
      <c r="B6677" t="str">
        <f>T("Nontissés, même imprégnés, enduits, recouverts ou stratifiés, n.d.a., de filaments synthétiques ou artificiels, d'un poids &lt;= 25 g/m²")</f>
        <v>Nontissés, même imprégnés, enduits, recouverts ou stratifiés, n.d.a., de filaments synthétiques ou artificiels, d'un poids &lt;= 25 g/m²</v>
      </c>
    </row>
    <row r="6678" spans="1:4" x14ac:dyDescent="0.25">
      <c r="A6678" t="str">
        <f>T("   ZZZ_Monde")</f>
        <v xml:space="preserve">   ZZZ_Monde</v>
      </c>
      <c r="B6678" t="str">
        <f>T("   ZZZ_Monde")</f>
        <v xml:space="preserve">   ZZZ_Monde</v>
      </c>
      <c r="C6678">
        <v>1248507</v>
      </c>
      <c r="D6678">
        <v>1341</v>
      </c>
    </row>
    <row r="6679" spans="1:4" x14ac:dyDescent="0.25">
      <c r="A6679" t="str">
        <f>T("   CN")</f>
        <v xml:space="preserve">   CN</v>
      </c>
      <c r="B6679" t="str">
        <f>T("   Chine")</f>
        <v xml:space="preserve">   Chine</v>
      </c>
      <c r="C6679">
        <v>1081893</v>
      </c>
      <c r="D6679">
        <v>1113</v>
      </c>
    </row>
    <row r="6680" spans="1:4" x14ac:dyDescent="0.25">
      <c r="A6680" t="str">
        <f>T("   FR")</f>
        <v xml:space="preserve">   FR</v>
      </c>
      <c r="B6680" t="str">
        <f>T("   France")</f>
        <v xml:space="preserve">   France</v>
      </c>
      <c r="C6680">
        <v>166614</v>
      </c>
      <c r="D6680">
        <v>228</v>
      </c>
    </row>
    <row r="6681" spans="1:4" x14ac:dyDescent="0.25">
      <c r="A6681" t="str">
        <f>T("560314")</f>
        <v>560314</v>
      </c>
      <c r="B6681" t="str">
        <f>T("Nontissés, même imprégnés, enduits, recouverts ou stratifiés, n.d.a., de filaments synthétiques ou artificiels, d'un poids &gt; 150 g/m²")</f>
        <v>Nontissés, même imprégnés, enduits, recouverts ou stratifiés, n.d.a., de filaments synthétiques ou artificiels, d'un poids &gt; 150 g/m²</v>
      </c>
    </row>
    <row r="6682" spans="1:4" x14ac:dyDescent="0.25">
      <c r="A6682" t="str">
        <f>T("   ZZZ_Monde")</f>
        <v xml:space="preserve">   ZZZ_Monde</v>
      </c>
      <c r="B6682" t="str">
        <f>T("   ZZZ_Monde")</f>
        <v xml:space="preserve">   ZZZ_Monde</v>
      </c>
      <c r="C6682">
        <v>12055888</v>
      </c>
      <c r="D6682">
        <v>2089</v>
      </c>
    </row>
    <row r="6683" spans="1:4" x14ac:dyDescent="0.25">
      <c r="A6683" t="str">
        <f>T("   FR")</f>
        <v xml:space="preserve">   FR</v>
      </c>
      <c r="B6683" t="str">
        <f>T("   France")</f>
        <v xml:space="preserve">   France</v>
      </c>
      <c r="C6683">
        <v>12055888</v>
      </c>
      <c r="D6683">
        <v>2089</v>
      </c>
    </row>
    <row r="6684" spans="1:4" x14ac:dyDescent="0.25">
      <c r="A6684" t="str">
        <f>T("560420")</f>
        <v>560420</v>
      </c>
      <c r="B6684" t="str">
        <f>T("Fils à haute ténacité de polyesters, de nylon ou d'autres polyamides ou de rayonne viscose, imprégnés ou enduits de caoutchouc ou de matière plastique")</f>
        <v>Fils à haute ténacité de polyesters, de nylon ou d'autres polyamides ou de rayonne viscose, imprégnés ou enduits de caoutchouc ou de matière plastique</v>
      </c>
    </row>
    <row r="6685" spans="1:4" x14ac:dyDescent="0.25">
      <c r="A6685" t="str">
        <f>T("   ZZZ_Monde")</f>
        <v xml:space="preserve">   ZZZ_Monde</v>
      </c>
      <c r="B6685" t="str">
        <f>T("   ZZZ_Monde")</f>
        <v xml:space="preserve">   ZZZ_Monde</v>
      </c>
      <c r="C6685">
        <v>44280</v>
      </c>
      <c r="D6685">
        <v>75</v>
      </c>
    </row>
    <row r="6686" spans="1:4" x14ac:dyDescent="0.25">
      <c r="A6686" t="str">
        <f>T("   TG")</f>
        <v xml:space="preserve">   TG</v>
      </c>
      <c r="B6686" t="str">
        <f>T("   Togo")</f>
        <v xml:space="preserve">   Togo</v>
      </c>
      <c r="C6686">
        <v>44280</v>
      </c>
      <c r="D6686">
        <v>75</v>
      </c>
    </row>
    <row r="6687" spans="1:4" x14ac:dyDescent="0.25">
      <c r="A6687" t="str">
        <f>T("560490")</f>
        <v>560490</v>
      </c>
      <c r="B6687" t="str">
        <f>T("FILS TEXTILES, LAMES ET FORMES SIMIL. DU N° 5404 OU 5405, IMPRÉGNÉS, ENDUITS, RECOUVERTS OU GAINÉS DE CAOUTCHOUC OU DE MATIÈRE PLASTIQUE (À L'EXCL. DES IMITATIONS DE CATGUT MUNIES D'HAMEÇONS OU AUTREMENT MONTÉES EN LIGNES)")</f>
        <v>FILS TEXTILES, LAMES ET FORMES SIMIL. DU N° 5404 OU 5405, IMPRÉGNÉS, ENDUITS, RECOUVERTS OU GAINÉS DE CAOUTCHOUC OU DE MATIÈRE PLASTIQUE (À L'EXCL. DES IMITATIONS DE CATGUT MUNIES D'HAMEÇONS OU AUTREMENT MONTÉES EN LIGNES)</v>
      </c>
    </row>
    <row r="6688" spans="1:4" x14ac:dyDescent="0.25">
      <c r="A6688" t="str">
        <f>T("   ZZZ_Monde")</f>
        <v xml:space="preserve">   ZZZ_Monde</v>
      </c>
      <c r="B6688" t="str">
        <f>T("   ZZZ_Monde")</f>
        <v xml:space="preserve">   ZZZ_Monde</v>
      </c>
      <c r="C6688">
        <v>2530357</v>
      </c>
      <c r="D6688">
        <v>7567</v>
      </c>
    </row>
    <row r="6689" spans="1:4" x14ac:dyDescent="0.25">
      <c r="A6689" t="str">
        <f>T("   FR")</f>
        <v xml:space="preserve">   FR</v>
      </c>
      <c r="B6689" t="str">
        <f>T("   France")</f>
        <v xml:space="preserve">   France</v>
      </c>
      <c r="C6689">
        <v>11807</v>
      </c>
      <c r="D6689">
        <v>9</v>
      </c>
    </row>
    <row r="6690" spans="1:4" x14ac:dyDescent="0.25">
      <c r="A6690" t="str">
        <f>T("   GH")</f>
        <v xml:space="preserve">   GH</v>
      </c>
      <c r="B6690" t="str">
        <f>T("   Ghana")</f>
        <v xml:space="preserve">   Ghana</v>
      </c>
      <c r="C6690">
        <v>120000</v>
      </c>
      <c r="D6690">
        <v>625</v>
      </c>
    </row>
    <row r="6691" spans="1:4" x14ac:dyDescent="0.25">
      <c r="A6691" t="str">
        <f>T("   NG")</f>
        <v xml:space="preserve">   NG</v>
      </c>
      <c r="B6691" t="str">
        <f>T("   Nigéria")</f>
        <v xml:space="preserve">   Nigéria</v>
      </c>
      <c r="C6691">
        <v>2398550</v>
      </c>
      <c r="D6691">
        <v>6933</v>
      </c>
    </row>
    <row r="6692" spans="1:4" x14ac:dyDescent="0.25">
      <c r="A6692" t="str">
        <f>T("560500")</f>
        <v>560500</v>
      </c>
      <c r="B6692" t="str">
        <f>T("Filés métalliques et fils métallisés, même guipés, constitués par des fils textiles, des lames ou formes simil. du n° 5404 ou 5405, combinés avec du métal sous forme de fils, de lames ou de poudres, ou recouverts de métal (sauf fils textiles armés à l'aid")</f>
        <v>Filés métalliques et fils métallisés, même guipés, constitués par des fils textiles, des lames ou formes simil. du n° 5404 ou 5405, combinés avec du métal sous forme de fils, de lames ou de poudres, ou recouverts de métal (sauf fils textiles armés à l'aid</v>
      </c>
    </row>
    <row r="6693" spans="1:4" x14ac:dyDescent="0.25">
      <c r="A6693" t="str">
        <f>T("   ZZZ_Monde")</f>
        <v xml:space="preserve">   ZZZ_Monde</v>
      </c>
      <c r="B6693" t="str">
        <f>T("   ZZZ_Monde")</f>
        <v xml:space="preserve">   ZZZ_Monde</v>
      </c>
      <c r="C6693">
        <v>157227</v>
      </c>
      <c r="D6693">
        <v>2250</v>
      </c>
    </row>
    <row r="6694" spans="1:4" x14ac:dyDescent="0.25">
      <c r="A6694" t="str">
        <f>T("   CN")</f>
        <v xml:space="preserve">   CN</v>
      </c>
      <c r="B6694" t="str">
        <f>T("   Chine")</f>
        <v xml:space="preserve">   Chine</v>
      </c>
      <c r="C6694">
        <v>157227</v>
      </c>
      <c r="D6694">
        <v>2250</v>
      </c>
    </row>
    <row r="6695" spans="1:4" x14ac:dyDescent="0.25">
      <c r="A6695" t="str">
        <f>T("560710")</f>
        <v>560710</v>
      </c>
      <c r="B6695" t="str">
        <f>T("Ficelles, cordes et cordages de jute ou d'autres fibres textiles libériennes du n° 5303, tressés ou non, même imprégnés, enduits, recouverts ou gainés de caoutchouc ou de matière plastique")</f>
        <v>Ficelles, cordes et cordages de jute ou d'autres fibres textiles libériennes du n° 5303, tressés ou non, même imprégnés, enduits, recouverts ou gainés de caoutchouc ou de matière plastique</v>
      </c>
    </row>
    <row r="6696" spans="1:4" x14ac:dyDescent="0.25">
      <c r="A6696" t="str">
        <f>T("   ZZZ_Monde")</f>
        <v xml:space="preserve">   ZZZ_Monde</v>
      </c>
      <c r="B6696" t="str">
        <f>T("   ZZZ_Monde")</f>
        <v xml:space="preserve">   ZZZ_Monde</v>
      </c>
      <c r="C6696">
        <v>4845270</v>
      </c>
      <c r="D6696">
        <v>27370</v>
      </c>
    </row>
    <row r="6697" spans="1:4" x14ac:dyDescent="0.25">
      <c r="A6697" t="str">
        <f>T("   IN")</f>
        <v xml:space="preserve">   IN</v>
      </c>
      <c r="B6697" t="str">
        <f>T("   Inde")</f>
        <v xml:space="preserve">   Inde</v>
      </c>
      <c r="C6697">
        <v>2295128</v>
      </c>
      <c r="D6697">
        <v>13770</v>
      </c>
    </row>
    <row r="6698" spans="1:4" x14ac:dyDescent="0.25">
      <c r="A6698" t="str">
        <f>T("   MA")</f>
        <v xml:space="preserve">   MA</v>
      </c>
      <c r="B6698" t="str">
        <f>T("   Maroc")</f>
        <v xml:space="preserve">   Maroc</v>
      </c>
      <c r="C6698">
        <v>2550142</v>
      </c>
      <c r="D6698">
        <v>13600</v>
      </c>
    </row>
    <row r="6699" spans="1:4" x14ac:dyDescent="0.25">
      <c r="A6699" t="str">
        <f>T("560729")</f>
        <v>560729</v>
      </c>
      <c r="B6699" t="str">
        <f>T("Ficelles, cordes et cordages, de sisal ou d'autres fibres textiles du genre 'Agave', tressés ou non, même imprégnés, enduits, recouverts ou gainés de caoutchouc ou de matière plastique (à l'excl. des ficelles lieuses ou botteleuses)")</f>
        <v>Ficelles, cordes et cordages, de sisal ou d'autres fibres textiles du genre 'Agave', tressés ou non, même imprégnés, enduits, recouverts ou gainés de caoutchouc ou de matière plastique (à l'excl. des ficelles lieuses ou botteleuses)</v>
      </c>
    </row>
    <row r="6700" spans="1:4" x14ac:dyDescent="0.25">
      <c r="A6700" t="str">
        <f>T("   ZZZ_Monde")</f>
        <v xml:space="preserve">   ZZZ_Monde</v>
      </c>
      <c r="B6700" t="str">
        <f>T("   ZZZ_Monde")</f>
        <v xml:space="preserve">   ZZZ_Monde</v>
      </c>
      <c r="C6700">
        <v>7083518</v>
      </c>
      <c r="D6700">
        <v>26000</v>
      </c>
    </row>
    <row r="6701" spans="1:4" x14ac:dyDescent="0.25">
      <c r="A6701" t="str">
        <f>T("   PA")</f>
        <v xml:space="preserve">   PA</v>
      </c>
      <c r="B6701" t="str">
        <f>T("   Panama")</f>
        <v xml:space="preserve">   Panama</v>
      </c>
      <c r="C6701">
        <v>7083518</v>
      </c>
      <c r="D6701">
        <v>26000</v>
      </c>
    </row>
    <row r="6702" spans="1:4" x14ac:dyDescent="0.25">
      <c r="A6702" t="str">
        <f>T("560749")</f>
        <v>560749</v>
      </c>
      <c r="B6702" t="str">
        <f>T("Ficelles, cordes et cordages, de polyéthylène ou de polypropylène, tressés ou non, même imprégnés, enduits, recouverts ou gainés de caoutchouc ou de matière plastique (à l'excl. les ficelles lieuses ou botteleuses)")</f>
        <v>Ficelles, cordes et cordages, de polyéthylène ou de polypropylène, tressés ou non, même imprégnés, enduits, recouverts ou gainés de caoutchouc ou de matière plastique (à l'excl. les ficelles lieuses ou botteleuses)</v>
      </c>
    </row>
    <row r="6703" spans="1:4" x14ac:dyDescent="0.25">
      <c r="A6703" t="str">
        <f>T("   ZZZ_Monde")</f>
        <v xml:space="preserve">   ZZZ_Monde</v>
      </c>
      <c r="B6703" t="str">
        <f>T("   ZZZ_Monde")</f>
        <v xml:space="preserve">   ZZZ_Monde</v>
      </c>
      <c r="C6703">
        <v>27007450</v>
      </c>
      <c r="D6703">
        <v>46038</v>
      </c>
    </row>
    <row r="6704" spans="1:4" x14ac:dyDescent="0.25">
      <c r="A6704" t="str">
        <f>T("   CI")</f>
        <v xml:space="preserve">   CI</v>
      </c>
      <c r="B6704" t="str">
        <f>T("   Côte d'Ivoire")</f>
        <v xml:space="preserve">   Côte d'Ivoire</v>
      </c>
      <c r="C6704">
        <v>3459345</v>
      </c>
      <c r="D6704">
        <v>1150</v>
      </c>
    </row>
    <row r="6705" spans="1:4" x14ac:dyDescent="0.25">
      <c r="A6705" t="str">
        <f>T("   CN")</f>
        <v xml:space="preserve">   CN</v>
      </c>
      <c r="B6705" t="str">
        <f>T("   Chine")</f>
        <v xml:space="preserve">   Chine</v>
      </c>
      <c r="C6705">
        <v>18860437</v>
      </c>
      <c r="D6705">
        <v>43818</v>
      </c>
    </row>
    <row r="6706" spans="1:4" x14ac:dyDescent="0.25">
      <c r="A6706" t="str">
        <f>T("   FR")</f>
        <v xml:space="preserve">   FR</v>
      </c>
      <c r="B6706" t="str">
        <f>T("   France")</f>
        <v xml:space="preserve">   France</v>
      </c>
      <c r="C6706">
        <v>4659668</v>
      </c>
      <c r="D6706">
        <v>990</v>
      </c>
    </row>
    <row r="6707" spans="1:4" x14ac:dyDescent="0.25">
      <c r="A6707" t="str">
        <f>T("   NG")</f>
        <v xml:space="preserve">   NG</v>
      </c>
      <c r="B6707" t="str">
        <f>T("   Nigéria")</f>
        <v xml:space="preserve">   Nigéria</v>
      </c>
      <c r="C6707">
        <v>28000</v>
      </c>
      <c r="D6707">
        <v>80</v>
      </c>
    </row>
    <row r="6708" spans="1:4" x14ac:dyDescent="0.25">
      <c r="A6708" t="str">
        <f>T("560790")</f>
        <v>560790</v>
      </c>
      <c r="B6708" t="str">
        <f>T("FICELLES, CORDES ET CORDAGES, TRESSÉS OU NON, MÊME IMPRÉGNÉS, ENDUITS, RECOUVERTS OU GAINÉS DE CAOUTCHOUC OU DE MATIÈRE PLASTIQUE (À L'EXCL. DES PRODUITS DE FIBRES SYNTHÉTIQUES AINSI QUE DE SISAL OU D'AUTRES FIBRES TEXTILES DU GENRE 'AGAVE')")</f>
        <v>FICELLES, CORDES ET CORDAGES, TRESSÉS OU NON, MÊME IMPRÉGNÉS, ENDUITS, RECOUVERTS OU GAINÉS DE CAOUTCHOUC OU DE MATIÈRE PLASTIQUE (À L'EXCL. DES PRODUITS DE FIBRES SYNTHÉTIQUES AINSI QUE DE SISAL OU D'AUTRES FIBRES TEXTILES DU GENRE 'AGAVE')</v>
      </c>
    </row>
    <row r="6709" spans="1:4" x14ac:dyDescent="0.25">
      <c r="A6709" t="str">
        <f>T("   ZZZ_Monde")</f>
        <v xml:space="preserve">   ZZZ_Monde</v>
      </c>
      <c r="B6709" t="str">
        <f>T("   ZZZ_Monde")</f>
        <v xml:space="preserve">   ZZZ_Monde</v>
      </c>
      <c r="C6709">
        <v>4784779</v>
      </c>
      <c r="D6709">
        <v>13754</v>
      </c>
    </row>
    <row r="6710" spans="1:4" x14ac:dyDescent="0.25">
      <c r="A6710" t="str">
        <f>T("   CN")</f>
        <v xml:space="preserve">   CN</v>
      </c>
      <c r="B6710" t="str">
        <f>T("   Chine")</f>
        <v xml:space="preserve">   Chine</v>
      </c>
      <c r="C6710">
        <v>450000</v>
      </c>
      <c r="D6710">
        <v>1550</v>
      </c>
    </row>
    <row r="6711" spans="1:4" x14ac:dyDescent="0.25">
      <c r="A6711" t="str">
        <f>T("   FR")</f>
        <v xml:space="preserve">   FR</v>
      </c>
      <c r="B6711" t="str">
        <f>T("   France")</f>
        <v xml:space="preserve">   France</v>
      </c>
      <c r="C6711">
        <v>563315</v>
      </c>
      <c r="D6711">
        <v>1252</v>
      </c>
    </row>
    <row r="6712" spans="1:4" x14ac:dyDescent="0.25">
      <c r="A6712" t="str">
        <f>T("   GB")</f>
        <v xml:space="preserve">   GB</v>
      </c>
      <c r="B6712" t="str">
        <f>T("   Royaume-Uni")</f>
        <v xml:space="preserve">   Royaume-Uni</v>
      </c>
      <c r="C6712">
        <v>273312</v>
      </c>
      <c r="D6712">
        <v>7</v>
      </c>
    </row>
    <row r="6713" spans="1:4" x14ac:dyDescent="0.25">
      <c r="A6713" t="str">
        <f>T("   TG")</f>
        <v xml:space="preserve">   TG</v>
      </c>
      <c r="B6713" t="str">
        <f>T("   Togo")</f>
        <v xml:space="preserve">   Togo</v>
      </c>
      <c r="C6713">
        <v>3498152</v>
      </c>
      <c r="D6713">
        <v>10945</v>
      </c>
    </row>
    <row r="6714" spans="1:4" x14ac:dyDescent="0.25">
      <c r="A6714" t="str">
        <f>T("560811")</f>
        <v>560811</v>
      </c>
      <c r="B6714" t="str">
        <f>T("Filets confectionnés pour la pêche, à mailles nouées, en matières textiles synthétiques ou artificielles (à l'excl. des épuisettes)")</f>
        <v>Filets confectionnés pour la pêche, à mailles nouées, en matières textiles synthétiques ou artificielles (à l'excl. des épuisettes)</v>
      </c>
    </row>
    <row r="6715" spans="1:4" x14ac:dyDescent="0.25">
      <c r="A6715" t="str">
        <f>T("   ZZZ_Monde")</f>
        <v xml:space="preserve">   ZZZ_Monde</v>
      </c>
      <c r="B6715" t="str">
        <f>T("   ZZZ_Monde")</f>
        <v xml:space="preserve">   ZZZ_Monde</v>
      </c>
      <c r="C6715">
        <v>47430361</v>
      </c>
      <c r="D6715">
        <v>261131</v>
      </c>
    </row>
    <row r="6716" spans="1:4" x14ac:dyDescent="0.25">
      <c r="A6716" t="str">
        <f>T("   CN")</f>
        <v xml:space="preserve">   CN</v>
      </c>
      <c r="B6716" t="str">
        <f>T("   Chine")</f>
        <v xml:space="preserve">   Chine</v>
      </c>
      <c r="C6716">
        <v>20954343</v>
      </c>
      <c r="D6716">
        <v>128281</v>
      </c>
    </row>
    <row r="6717" spans="1:4" x14ac:dyDescent="0.25">
      <c r="A6717" t="str">
        <f>T("   GH")</f>
        <v xml:space="preserve">   GH</v>
      </c>
      <c r="B6717" t="str">
        <f>T("   Ghana")</f>
        <v xml:space="preserve">   Ghana</v>
      </c>
      <c r="C6717">
        <v>3350000</v>
      </c>
      <c r="D6717">
        <v>22090</v>
      </c>
    </row>
    <row r="6718" spans="1:4" x14ac:dyDescent="0.25">
      <c r="A6718" t="str">
        <f>T("   TG")</f>
        <v xml:space="preserve">   TG</v>
      </c>
      <c r="B6718" t="str">
        <f>T("   Togo")</f>
        <v xml:space="preserve">   Togo</v>
      </c>
      <c r="C6718">
        <v>23126018</v>
      </c>
      <c r="D6718">
        <v>110760</v>
      </c>
    </row>
    <row r="6719" spans="1:4" x14ac:dyDescent="0.25">
      <c r="A6719" t="str">
        <f>T("560819")</f>
        <v>560819</v>
      </c>
      <c r="B6719" t="str">
        <f>T("Filets à mailles nouées, en nappes ou en pièces, obtenus à partir de ficelles, cordes ou cordages; filets confectionnés, en matières textiles synthétiques ou artificielles (à l'excl. des filets confectionnés pour la pêche, des résilles et filets à cheveux")</f>
        <v>Filets à mailles nouées, en nappes ou en pièces, obtenus à partir de ficelles, cordes ou cordages; filets confectionnés, en matières textiles synthétiques ou artificielles (à l'excl. des filets confectionnés pour la pêche, des résilles et filets à cheveux</v>
      </c>
    </row>
    <row r="6720" spans="1:4" x14ac:dyDescent="0.25">
      <c r="A6720" t="str">
        <f>T("   ZZZ_Monde")</f>
        <v xml:space="preserve">   ZZZ_Monde</v>
      </c>
      <c r="B6720" t="str">
        <f>T("   ZZZ_Monde")</f>
        <v xml:space="preserve">   ZZZ_Monde</v>
      </c>
      <c r="C6720">
        <v>6618460</v>
      </c>
      <c r="D6720">
        <v>82050</v>
      </c>
    </row>
    <row r="6721" spans="1:4" x14ac:dyDescent="0.25">
      <c r="A6721" t="str">
        <f>T("   CN")</f>
        <v xml:space="preserve">   CN</v>
      </c>
      <c r="B6721" t="str">
        <f>T("   Chine")</f>
        <v xml:space="preserve">   Chine</v>
      </c>
      <c r="C6721">
        <v>3600000</v>
      </c>
      <c r="D6721">
        <v>46290</v>
      </c>
    </row>
    <row r="6722" spans="1:4" x14ac:dyDescent="0.25">
      <c r="A6722" t="str">
        <f>T("   GH")</f>
        <v xml:space="preserve">   GH</v>
      </c>
      <c r="B6722" t="str">
        <f>T("   Ghana")</f>
        <v xml:space="preserve">   Ghana</v>
      </c>
      <c r="C6722">
        <v>300000</v>
      </c>
      <c r="D6722">
        <v>1500</v>
      </c>
    </row>
    <row r="6723" spans="1:4" x14ac:dyDescent="0.25">
      <c r="A6723" t="str">
        <f>T("   TG")</f>
        <v xml:space="preserve">   TG</v>
      </c>
      <c r="B6723" t="str">
        <f>T("   Togo")</f>
        <v xml:space="preserve">   Togo</v>
      </c>
      <c r="C6723">
        <v>2718460</v>
      </c>
      <c r="D6723">
        <v>34260</v>
      </c>
    </row>
    <row r="6724" spans="1:4" x14ac:dyDescent="0.25">
      <c r="A6724" t="str">
        <f>T("560890")</f>
        <v>560890</v>
      </c>
      <c r="B6724" t="str">
        <f>T("Filets à mailles nouées, en nappes ou en pièces, obtenus à partir de ficelles, cordes ou cordages; filets confectionnés pour la pêche et autres filets confectionnés, en matières textiles végétales (à l'excl. des filets et résilles à cheveux ainsi que des")</f>
        <v>Filets à mailles nouées, en nappes ou en pièces, obtenus à partir de ficelles, cordes ou cordages; filets confectionnés pour la pêche et autres filets confectionnés, en matières textiles végétales (à l'excl. des filets et résilles à cheveux ainsi que des</v>
      </c>
    </row>
    <row r="6725" spans="1:4" x14ac:dyDescent="0.25">
      <c r="A6725" t="str">
        <f>T("   ZZZ_Monde")</f>
        <v xml:space="preserve">   ZZZ_Monde</v>
      </c>
      <c r="B6725" t="str">
        <f>T("   ZZZ_Monde")</f>
        <v xml:space="preserve">   ZZZ_Monde</v>
      </c>
      <c r="C6725">
        <v>7140949</v>
      </c>
      <c r="D6725">
        <v>32230</v>
      </c>
    </row>
    <row r="6726" spans="1:4" x14ac:dyDescent="0.25">
      <c r="A6726" t="str">
        <f>T("   CN")</f>
        <v xml:space="preserve">   CN</v>
      </c>
      <c r="B6726" t="str">
        <f>T("   Chine")</f>
        <v xml:space="preserve">   Chine</v>
      </c>
      <c r="C6726">
        <v>106571</v>
      </c>
      <c r="D6726">
        <v>200</v>
      </c>
    </row>
    <row r="6727" spans="1:4" x14ac:dyDescent="0.25">
      <c r="A6727" t="str">
        <f>T("   DE")</f>
        <v xml:space="preserve">   DE</v>
      </c>
      <c r="B6727" t="str">
        <f>T("   Allemagne")</f>
        <v xml:space="preserve">   Allemagne</v>
      </c>
      <c r="C6727">
        <v>2291138</v>
      </c>
      <c r="D6727">
        <v>200</v>
      </c>
    </row>
    <row r="6728" spans="1:4" x14ac:dyDescent="0.25">
      <c r="A6728" t="str">
        <f>T("   GH")</f>
        <v xml:space="preserve">   GH</v>
      </c>
      <c r="B6728" t="str">
        <f>T("   Ghana")</f>
        <v xml:space="preserve">   Ghana</v>
      </c>
      <c r="C6728">
        <v>4600000</v>
      </c>
      <c r="D6728">
        <v>31530</v>
      </c>
    </row>
    <row r="6729" spans="1:4" x14ac:dyDescent="0.25">
      <c r="A6729" t="str">
        <f>T("   TG")</f>
        <v xml:space="preserve">   TG</v>
      </c>
      <c r="B6729" t="str">
        <f>T("   Togo")</f>
        <v xml:space="preserve">   Togo</v>
      </c>
      <c r="C6729">
        <v>143240</v>
      </c>
      <c r="D6729">
        <v>300</v>
      </c>
    </row>
    <row r="6730" spans="1:4" x14ac:dyDescent="0.25">
      <c r="A6730" t="str">
        <f>T("560900")</f>
        <v>560900</v>
      </c>
      <c r="B6730" t="str">
        <f>T("Articles en fils, lames ou formes simil. du n° 5404 ou 5405, ficelles, cordes ou cordages du n° 5607, n.d.a.")</f>
        <v>Articles en fils, lames ou formes simil. du n° 5404 ou 5405, ficelles, cordes ou cordages du n° 5607, n.d.a.</v>
      </c>
    </row>
    <row r="6731" spans="1:4" x14ac:dyDescent="0.25">
      <c r="A6731" t="str">
        <f>T("   ZZZ_Monde")</f>
        <v xml:space="preserve">   ZZZ_Monde</v>
      </c>
      <c r="B6731" t="str">
        <f>T("   ZZZ_Monde")</f>
        <v xml:space="preserve">   ZZZ_Monde</v>
      </c>
      <c r="C6731">
        <v>36376321</v>
      </c>
      <c r="D6731">
        <v>48662</v>
      </c>
    </row>
    <row r="6732" spans="1:4" x14ac:dyDescent="0.25">
      <c r="A6732" t="str">
        <f>T("   CN")</f>
        <v xml:space="preserve">   CN</v>
      </c>
      <c r="B6732" t="str">
        <f>T("   Chine")</f>
        <v xml:space="preserve">   Chine</v>
      </c>
      <c r="C6732">
        <v>21000324</v>
      </c>
      <c r="D6732">
        <v>32042</v>
      </c>
    </row>
    <row r="6733" spans="1:4" x14ac:dyDescent="0.25">
      <c r="A6733" t="str">
        <f>T("   FR")</f>
        <v xml:space="preserve">   FR</v>
      </c>
      <c r="B6733" t="str">
        <f>T("   France")</f>
        <v xml:space="preserve">   France</v>
      </c>
      <c r="C6733">
        <v>7467062</v>
      </c>
      <c r="D6733">
        <v>191</v>
      </c>
    </row>
    <row r="6734" spans="1:4" x14ac:dyDescent="0.25">
      <c r="A6734" t="str">
        <f>T("   TG")</f>
        <v xml:space="preserve">   TG</v>
      </c>
      <c r="B6734" t="str">
        <f>T("   Togo")</f>
        <v xml:space="preserve">   Togo</v>
      </c>
      <c r="C6734">
        <v>7908935</v>
      </c>
      <c r="D6734">
        <v>16429</v>
      </c>
    </row>
    <row r="6735" spans="1:4" x14ac:dyDescent="0.25">
      <c r="A6735" t="str">
        <f>T("570190")</f>
        <v>570190</v>
      </c>
      <c r="B6735" t="str">
        <f>T("Tapis en matières textiles, à points noués ou enroulés, même confectionnés (à l'excl. des tapis de laine ou de poils fins)")</f>
        <v>Tapis en matières textiles, à points noués ou enroulés, même confectionnés (à l'excl. des tapis de laine ou de poils fins)</v>
      </c>
    </row>
    <row r="6736" spans="1:4" x14ac:dyDescent="0.25">
      <c r="A6736" t="str">
        <f>T("   ZZZ_Monde")</f>
        <v xml:space="preserve">   ZZZ_Monde</v>
      </c>
      <c r="B6736" t="str">
        <f>T("   ZZZ_Monde")</f>
        <v xml:space="preserve">   ZZZ_Monde</v>
      </c>
      <c r="C6736">
        <v>7617373</v>
      </c>
      <c r="D6736">
        <v>15855</v>
      </c>
    </row>
    <row r="6737" spans="1:4" x14ac:dyDescent="0.25">
      <c r="A6737" t="str">
        <f>T("   AE")</f>
        <v xml:space="preserve">   AE</v>
      </c>
      <c r="B6737" t="str">
        <f>T("   Emirats Arabes Unis")</f>
        <v xml:space="preserve">   Emirats Arabes Unis</v>
      </c>
      <c r="C6737">
        <v>3937806</v>
      </c>
      <c r="D6737">
        <v>12500</v>
      </c>
    </row>
    <row r="6738" spans="1:4" x14ac:dyDescent="0.25">
      <c r="A6738" t="str">
        <f>T("   CN")</f>
        <v xml:space="preserve">   CN</v>
      </c>
      <c r="B6738" t="str">
        <f>T("   Chine")</f>
        <v xml:space="preserve">   Chine</v>
      </c>
      <c r="C6738">
        <v>2969573</v>
      </c>
      <c r="D6738">
        <v>1735</v>
      </c>
    </row>
    <row r="6739" spans="1:4" x14ac:dyDescent="0.25">
      <c r="A6739" t="str">
        <f>T("   TG")</f>
        <v xml:space="preserve">   TG</v>
      </c>
      <c r="B6739" t="str">
        <f>T("   Togo")</f>
        <v xml:space="preserve">   Togo</v>
      </c>
      <c r="C6739">
        <v>709994</v>
      </c>
      <c r="D6739">
        <v>1620</v>
      </c>
    </row>
    <row r="6740" spans="1:4" x14ac:dyDescent="0.25">
      <c r="A6740" t="str">
        <f>T("570220")</f>
        <v>570220</v>
      </c>
      <c r="B6740" t="str">
        <f>T("Revêtements de sol en coco, tissés, même confectionnés")</f>
        <v>Revêtements de sol en coco, tissés, même confectionnés</v>
      </c>
    </row>
    <row r="6741" spans="1:4" x14ac:dyDescent="0.25">
      <c r="A6741" t="str">
        <f>T("   ZZZ_Monde")</f>
        <v xml:space="preserve">   ZZZ_Monde</v>
      </c>
      <c r="B6741" t="str">
        <f>T("   ZZZ_Monde")</f>
        <v xml:space="preserve">   ZZZ_Monde</v>
      </c>
      <c r="C6741">
        <v>1391292</v>
      </c>
      <c r="D6741">
        <v>531</v>
      </c>
    </row>
    <row r="6742" spans="1:4" x14ac:dyDescent="0.25">
      <c r="A6742" t="str">
        <f>T("   FR")</f>
        <v xml:space="preserve">   FR</v>
      </c>
      <c r="B6742" t="str">
        <f>T("   France")</f>
        <v xml:space="preserve">   France</v>
      </c>
      <c r="C6742">
        <v>1391292</v>
      </c>
      <c r="D6742">
        <v>531</v>
      </c>
    </row>
    <row r="6743" spans="1:4" x14ac:dyDescent="0.25">
      <c r="A6743" t="str">
        <f>T("570239")</f>
        <v>570239</v>
      </c>
      <c r="B6743" t="str">
        <f>T("Tapis et autres revêtements de sol, de matières textiles végétales ou de poils grossiers, tissés, non touffetés ni floqués, à velours, non confectionnés (à l'excl. des revêtements de sol en coco et des tapis dits 'kelim', 'kilim', 'schumacks', 'soumak' ou")</f>
        <v>Tapis et autres revêtements de sol, de matières textiles végétales ou de poils grossiers, tissés, non touffetés ni floqués, à velours, non confectionnés (à l'excl. des revêtements de sol en coco et des tapis dits 'kelim', 'kilim', 'schumacks', 'soumak' ou</v>
      </c>
    </row>
    <row r="6744" spans="1:4" x14ac:dyDescent="0.25">
      <c r="A6744" t="str">
        <f>T("   ZZZ_Monde")</f>
        <v xml:space="preserve">   ZZZ_Monde</v>
      </c>
      <c r="B6744" t="str">
        <f>T("   ZZZ_Monde")</f>
        <v xml:space="preserve">   ZZZ_Monde</v>
      </c>
      <c r="C6744">
        <v>257786</v>
      </c>
      <c r="D6744">
        <v>636</v>
      </c>
    </row>
    <row r="6745" spans="1:4" x14ac:dyDescent="0.25">
      <c r="A6745" t="str">
        <f>T("   CN")</f>
        <v xml:space="preserve">   CN</v>
      </c>
      <c r="B6745" t="str">
        <f>T("   Chine")</f>
        <v xml:space="preserve">   Chine</v>
      </c>
      <c r="C6745">
        <v>257786</v>
      </c>
      <c r="D6745">
        <v>636</v>
      </c>
    </row>
    <row r="6746" spans="1:4" x14ac:dyDescent="0.25">
      <c r="A6746" t="str">
        <f>T("570249")</f>
        <v>570249</v>
      </c>
      <c r="B6746" t="str">
        <f>T("Tapis et autres revêtements de sol, de matières textiles végétales ou de poils grossiers, tissés, non touffetés ni floqués, à velours, confectionnés (à l'excl. des revêtements de sol en coco ainsi que des tapis dits 'kelim', 'kilim', 'schumacks', 'soumak'")</f>
        <v>Tapis et autres revêtements de sol, de matières textiles végétales ou de poils grossiers, tissés, non touffetés ni floqués, à velours, confectionnés (à l'excl. des revêtements de sol en coco ainsi que des tapis dits 'kelim', 'kilim', 'schumacks', 'soumak'</v>
      </c>
    </row>
    <row r="6747" spans="1:4" x14ac:dyDescent="0.25">
      <c r="A6747" t="str">
        <f>T("   ZZZ_Monde")</f>
        <v xml:space="preserve">   ZZZ_Monde</v>
      </c>
      <c r="B6747" t="str">
        <f>T("   ZZZ_Monde")</f>
        <v xml:space="preserve">   ZZZ_Monde</v>
      </c>
      <c r="C6747">
        <v>305402</v>
      </c>
      <c r="D6747">
        <v>1104</v>
      </c>
    </row>
    <row r="6748" spans="1:4" x14ac:dyDescent="0.25">
      <c r="A6748" t="str">
        <f>T("   CN")</f>
        <v xml:space="preserve">   CN</v>
      </c>
      <c r="B6748" t="str">
        <f>T("   Chine")</f>
        <v xml:space="preserve">   Chine</v>
      </c>
      <c r="C6748">
        <v>66607</v>
      </c>
      <c r="D6748">
        <v>284</v>
      </c>
    </row>
    <row r="6749" spans="1:4" x14ac:dyDescent="0.25">
      <c r="A6749" t="str">
        <f>T("   DE")</f>
        <v xml:space="preserve">   DE</v>
      </c>
      <c r="B6749" t="str">
        <f>T("   Allemagne")</f>
        <v xml:space="preserve">   Allemagne</v>
      </c>
      <c r="C6749">
        <v>20335</v>
      </c>
      <c r="D6749">
        <v>20</v>
      </c>
    </row>
    <row r="6750" spans="1:4" x14ac:dyDescent="0.25">
      <c r="A6750" t="str">
        <f>T("   TG")</f>
        <v xml:space="preserve">   TG</v>
      </c>
      <c r="B6750" t="str">
        <f>T("   Togo")</f>
        <v xml:space="preserve">   Togo</v>
      </c>
      <c r="C6750">
        <v>218460</v>
      </c>
      <c r="D6750">
        <v>800</v>
      </c>
    </row>
    <row r="6751" spans="1:4" x14ac:dyDescent="0.25">
      <c r="A6751" t="str">
        <f>T("570299")</f>
        <v>570299</v>
      </c>
      <c r="B6751" t="str">
        <f>T("Tapis et autres revêtements de sol, de matières textiles végétales ou de poils grossiers, tissés, non touffetés ni floqués, sans velours, confectionnés (à l'excl. des revêtements de sol en coco ainsi que des tapis dits 'kelim', 'kilim', 'schumacks', 'soum")</f>
        <v>Tapis et autres revêtements de sol, de matières textiles végétales ou de poils grossiers, tissés, non touffetés ni floqués, sans velours, confectionnés (à l'excl. des revêtements de sol en coco ainsi que des tapis dits 'kelim', 'kilim', 'schumacks', 'soum</v>
      </c>
    </row>
    <row r="6752" spans="1:4" x14ac:dyDescent="0.25">
      <c r="A6752" t="str">
        <f>T("   ZZZ_Monde")</f>
        <v xml:space="preserve">   ZZZ_Monde</v>
      </c>
      <c r="B6752" t="str">
        <f>T("   ZZZ_Monde")</f>
        <v xml:space="preserve">   ZZZ_Monde</v>
      </c>
      <c r="C6752">
        <v>8690477</v>
      </c>
      <c r="D6752">
        <v>22094</v>
      </c>
    </row>
    <row r="6753" spans="1:4" x14ac:dyDescent="0.25">
      <c r="A6753" t="str">
        <f>T("   FR")</f>
        <v xml:space="preserve">   FR</v>
      </c>
      <c r="B6753" t="str">
        <f>T("   France")</f>
        <v xml:space="preserve">   France</v>
      </c>
      <c r="C6753">
        <v>1784212</v>
      </c>
      <c r="D6753">
        <v>538</v>
      </c>
    </row>
    <row r="6754" spans="1:4" x14ac:dyDescent="0.25">
      <c r="A6754" t="str">
        <f>T("   GB")</f>
        <v xml:space="preserve">   GB</v>
      </c>
      <c r="B6754" t="str">
        <f>T("   Royaume-Uni")</f>
        <v xml:space="preserve">   Royaume-Uni</v>
      </c>
      <c r="C6754">
        <v>204081</v>
      </c>
      <c r="D6754">
        <v>39</v>
      </c>
    </row>
    <row r="6755" spans="1:4" x14ac:dyDescent="0.25">
      <c r="A6755" t="str">
        <f>T("   IT")</f>
        <v xml:space="preserve">   IT</v>
      </c>
      <c r="B6755" t="str">
        <f>T("   Italie")</f>
        <v xml:space="preserve">   Italie</v>
      </c>
      <c r="C6755">
        <v>155108</v>
      </c>
      <c r="D6755">
        <v>27</v>
      </c>
    </row>
    <row r="6756" spans="1:4" x14ac:dyDescent="0.25">
      <c r="A6756" t="str">
        <f>T("   TG")</f>
        <v xml:space="preserve">   TG</v>
      </c>
      <c r="B6756" t="str">
        <f>T("   Togo")</f>
        <v xml:space="preserve">   Togo</v>
      </c>
      <c r="C6756">
        <v>131076</v>
      </c>
      <c r="D6756">
        <v>560</v>
      </c>
    </row>
    <row r="6757" spans="1:4" x14ac:dyDescent="0.25">
      <c r="A6757" t="str">
        <f>T("   Z2")</f>
        <v xml:space="preserve">   Z2</v>
      </c>
      <c r="B6757" t="str">
        <f>T("   Pays non défini")</f>
        <v xml:space="preserve">   Pays non défini</v>
      </c>
      <c r="C6757">
        <v>6416000</v>
      </c>
      <c r="D6757">
        <v>20930</v>
      </c>
    </row>
    <row r="6758" spans="1:4" x14ac:dyDescent="0.25">
      <c r="A6758" t="str">
        <f>T("570320")</f>
        <v>570320</v>
      </c>
      <c r="B6758" t="str">
        <f>T("Tapis et autres revêtements de sol, de nylon ou d'autres polyamides, touffetés, même confectionnés")</f>
        <v>Tapis et autres revêtements de sol, de nylon ou d'autres polyamides, touffetés, même confectionnés</v>
      </c>
    </row>
    <row r="6759" spans="1:4" x14ac:dyDescent="0.25">
      <c r="A6759" t="str">
        <f>T("   ZZZ_Monde")</f>
        <v xml:space="preserve">   ZZZ_Monde</v>
      </c>
      <c r="B6759" t="str">
        <f>T("   ZZZ_Monde")</f>
        <v xml:space="preserve">   ZZZ_Monde</v>
      </c>
      <c r="C6759">
        <v>124639</v>
      </c>
      <c r="D6759">
        <v>1005</v>
      </c>
    </row>
    <row r="6760" spans="1:4" x14ac:dyDescent="0.25">
      <c r="A6760" t="str">
        <f>T("   CN")</f>
        <v xml:space="preserve">   CN</v>
      </c>
      <c r="B6760" t="str">
        <f>T("   Chine")</f>
        <v xml:space="preserve">   Chine</v>
      </c>
      <c r="C6760">
        <v>109300</v>
      </c>
      <c r="D6760">
        <v>875</v>
      </c>
    </row>
    <row r="6761" spans="1:4" x14ac:dyDescent="0.25">
      <c r="A6761" t="str">
        <f>T("   LB")</f>
        <v xml:space="preserve">   LB</v>
      </c>
      <c r="B6761" t="str">
        <f>T("   Liban")</f>
        <v xml:space="preserve">   Liban</v>
      </c>
      <c r="C6761">
        <v>15339</v>
      </c>
      <c r="D6761">
        <v>130</v>
      </c>
    </row>
    <row r="6762" spans="1:4" x14ac:dyDescent="0.25">
      <c r="A6762" t="str">
        <f>T("570330")</f>
        <v>570330</v>
      </c>
      <c r="B6762" t="str">
        <f>T("Tapis et autres revêtements de sol, de matières textiles synthétiques ou artificielles, touffetés, même confectionnés (à l'excl. des articles en nylon ou en autres polyamides)")</f>
        <v>Tapis et autres revêtements de sol, de matières textiles synthétiques ou artificielles, touffetés, même confectionnés (à l'excl. des articles en nylon ou en autres polyamides)</v>
      </c>
    </row>
    <row r="6763" spans="1:4" x14ac:dyDescent="0.25">
      <c r="A6763" t="str">
        <f>T("   ZZZ_Monde")</f>
        <v xml:space="preserve">   ZZZ_Monde</v>
      </c>
      <c r="B6763" t="str">
        <f>T("   ZZZ_Monde")</f>
        <v xml:space="preserve">   ZZZ_Monde</v>
      </c>
      <c r="C6763">
        <v>2460349</v>
      </c>
      <c r="D6763">
        <v>4152</v>
      </c>
    </row>
    <row r="6764" spans="1:4" x14ac:dyDescent="0.25">
      <c r="A6764" t="str">
        <f>T("   CN")</f>
        <v xml:space="preserve">   CN</v>
      </c>
      <c r="B6764" t="str">
        <f>T("   Chine")</f>
        <v xml:space="preserve">   Chine</v>
      </c>
      <c r="C6764">
        <v>529203</v>
      </c>
      <c r="D6764">
        <v>907</v>
      </c>
    </row>
    <row r="6765" spans="1:4" x14ac:dyDescent="0.25">
      <c r="A6765" t="str">
        <f>T("   FR")</f>
        <v xml:space="preserve">   FR</v>
      </c>
      <c r="B6765" t="str">
        <f>T("   France")</f>
        <v xml:space="preserve">   France</v>
      </c>
      <c r="C6765">
        <v>1275186</v>
      </c>
      <c r="D6765">
        <v>800</v>
      </c>
    </row>
    <row r="6766" spans="1:4" x14ac:dyDescent="0.25">
      <c r="A6766" t="str">
        <f>T("   TR")</f>
        <v xml:space="preserve">   TR</v>
      </c>
      <c r="B6766" t="str">
        <f>T("   Turquie")</f>
        <v xml:space="preserve">   Turquie</v>
      </c>
      <c r="C6766">
        <v>655960</v>
      </c>
      <c r="D6766">
        <v>2445</v>
      </c>
    </row>
    <row r="6767" spans="1:4" x14ac:dyDescent="0.25">
      <c r="A6767" t="str">
        <f>T("570390")</f>
        <v>570390</v>
      </c>
      <c r="B6767" t="str">
        <f>T("Tapis et autres revêtements de sol, de matières textiles végétales ou de poils grossiers, touffetés, même confectionnés")</f>
        <v>Tapis et autres revêtements de sol, de matières textiles végétales ou de poils grossiers, touffetés, même confectionnés</v>
      </c>
    </row>
    <row r="6768" spans="1:4" x14ac:dyDescent="0.25">
      <c r="A6768" t="str">
        <f>T("   ZZZ_Monde")</f>
        <v xml:space="preserve">   ZZZ_Monde</v>
      </c>
      <c r="B6768" t="str">
        <f>T("   ZZZ_Monde")</f>
        <v xml:space="preserve">   ZZZ_Monde</v>
      </c>
      <c r="C6768">
        <v>2464426</v>
      </c>
      <c r="D6768">
        <v>5088</v>
      </c>
    </row>
    <row r="6769" spans="1:4" x14ac:dyDescent="0.25">
      <c r="A6769" t="str">
        <f>T("   BE")</f>
        <v xml:space="preserve">   BE</v>
      </c>
      <c r="B6769" t="str">
        <f>T("   Belgique")</f>
        <v xml:space="preserve">   Belgique</v>
      </c>
      <c r="C6769">
        <v>623162</v>
      </c>
      <c r="D6769">
        <v>1200</v>
      </c>
    </row>
    <row r="6770" spans="1:4" x14ac:dyDescent="0.25">
      <c r="A6770" t="str">
        <f>T("   DE")</f>
        <v xml:space="preserve">   DE</v>
      </c>
      <c r="B6770" t="str">
        <f>T("   Allemagne")</f>
        <v xml:space="preserve">   Allemagne</v>
      </c>
      <c r="C6770">
        <v>1325695</v>
      </c>
      <c r="D6770">
        <v>2000</v>
      </c>
    </row>
    <row r="6771" spans="1:4" x14ac:dyDescent="0.25">
      <c r="A6771" t="str">
        <f>T("   FR")</f>
        <v xml:space="preserve">   FR</v>
      </c>
      <c r="B6771" t="str">
        <f>T("   France")</f>
        <v xml:space="preserve">   France</v>
      </c>
      <c r="C6771">
        <v>118073</v>
      </c>
      <c r="D6771">
        <v>68</v>
      </c>
    </row>
    <row r="6772" spans="1:4" x14ac:dyDescent="0.25">
      <c r="A6772" t="str">
        <f>T("   NG")</f>
        <v xml:space="preserve">   NG</v>
      </c>
      <c r="B6772" t="str">
        <f>T("   Nigéria")</f>
        <v xml:space="preserve">   Nigéria</v>
      </c>
      <c r="C6772">
        <v>26000</v>
      </c>
      <c r="D6772">
        <v>20</v>
      </c>
    </row>
    <row r="6773" spans="1:4" x14ac:dyDescent="0.25">
      <c r="A6773" t="str">
        <f>T("   US")</f>
        <v xml:space="preserve">   US</v>
      </c>
      <c r="B6773" t="str">
        <f>T("   Etats-Unis")</f>
        <v xml:space="preserve">   Etats-Unis</v>
      </c>
      <c r="C6773">
        <v>371496</v>
      </c>
      <c r="D6773">
        <v>1800</v>
      </c>
    </row>
    <row r="6774" spans="1:4" x14ac:dyDescent="0.25">
      <c r="A6774" t="str">
        <f>T("570410")</f>
        <v>570410</v>
      </c>
      <c r="B6774" t="str">
        <f>T("CARREAUX, EN FEUTRE, NON TOUFFETÉS NI FLOQUÉS, D'UNE SUPERFICIE &lt;= 0,3 M¦")</f>
        <v>CARREAUX, EN FEUTRE, NON TOUFFETÉS NI FLOQUÉS, D'UNE SUPERFICIE &lt;= 0,3 M¦</v>
      </c>
    </row>
    <row r="6775" spans="1:4" x14ac:dyDescent="0.25">
      <c r="A6775" t="str">
        <f>T("   ZZZ_Monde")</f>
        <v xml:space="preserve">   ZZZ_Monde</v>
      </c>
      <c r="B6775" t="str">
        <f>T("   ZZZ_Monde")</f>
        <v xml:space="preserve">   ZZZ_Monde</v>
      </c>
      <c r="C6775">
        <v>25157731</v>
      </c>
      <c r="D6775">
        <v>146062</v>
      </c>
    </row>
    <row r="6776" spans="1:4" x14ac:dyDescent="0.25">
      <c r="A6776" t="str">
        <f>T("   CN")</f>
        <v xml:space="preserve">   CN</v>
      </c>
      <c r="B6776" t="str">
        <f>T("   Chine")</f>
        <v xml:space="preserve">   Chine</v>
      </c>
      <c r="C6776">
        <v>25157731</v>
      </c>
      <c r="D6776">
        <v>146062</v>
      </c>
    </row>
    <row r="6777" spans="1:4" x14ac:dyDescent="0.25">
      <c r="A6777" t="str">
        <f>T("570490")</f>
        <v>570490</v>
      </c>
      <c r="B6777" t="str">
        <f>T("TAPIS ET AUTRES REVÊTEMENTS DE SOL, EN FEUTRE, NON TOUFFETÉS NI FLOQUÉS, MÊME CONFECTIONNÉS (À L'EXCL. DES CARREAUX D'UNE SUPERFICIE &lt;= 0,3 M¦)")</f>
        <v>TAPIS ET AUTRES REVÊTEMENTS DE SOL, EN FEUTRE, NON TOUFFETÉS NI FLOQUÉS, MÊME CONFECTIONNÉS (À L'EXCL. DES CARREAUX D'UNE SUPERFICIE &lt;= 0,3 M¦)</v>
      </c>
    </row>
    <row r="6778" spans="1:4" x14ac:dyDescent="0.25">
      <c r="A6778" t="str">
        <f>T("   ZZZ_Monde")</f>
        <v xml:space="preserve">   ZZZ_Monde</v>
      </c>
      <c r="B6778" t="str">
        <f>T("   ZZZ_Monde")</f>
        <v xml:space="preserve">   ZZZ_Monde</v>
      </c>
      <c r="C6778">
        <v>29088292</v>
      </c>
      <c r="D6778">
        <v>66131</v>
      </c>
    </row>
    <row r="6779" spans="1:4" x14ac:dyDescent="0.25">
      <c r="A6779" t="str">
        <f>T("   BE")</f>
        <v xml:space="preserve">   BE</v>
      </c>
      <c r="B6779" t="str">
        <f>T("   Belgique")</f>
        <v xml:space="preserve">   Belgique</v>
      </c>
      <c r="C6779">
        <v>9264779</v>
      </c>
      <c r="D6779">
        <v>12761</v>
      </c>
    </row>
    <row r="6780" spans="1:4" x14ac:dyDescent="0.25">
      <c r="A6780" t="str">
        <f>T("   CN")</f>
        <v xml:space="preserve">   CN</v>
      </c>
      <c r="B6780" t="str">
        <f>T("   Chine")</f>
        <v xml:space="preserve">   Chine</v>
      </c>
      <c r="C6780">
        <v>18113629</v>
      </c>
      <c r="D6780">
        <v>52346</v>
      </c>
    </row>
    <row r="6781" spans="1:4" x14ac:dyDescent="0.25">
      <c r="A6781" t="str">
        <f>T("   DE")</f>
        <v xml:space="preserve">   DE</v>
      </c>
      <c r="B6781" t="str">
        <f>T("   Allemagne")</f>
        <v xml:space="preserve">   Allemagne</v>
      </c>
      <c r="C6781">
        <v>36078</v>
      </c>
      <c r="D6781">
        <v>100</v>
      </c>
    </row>
    <row r="6782" spans="1:4" x14ac:dyDescent="0.25">
      <c r="A6782" t="str">
        <f>T("   IT")</f>
        <v xml:space="preserve">   IT</v>
      </c>
      <c r="B6782" t="str">
        <f>T("   Italie")</f>
        <v xml:space="preserve">   Italie</v>
      </c>
      <c r="C6782">
        <v>973444</v>
      </c>
      <c r="D6782">
        <v>214</v>
      </c>
    </row>
    <row r="6783" spans="1:4" x14ac:dyDescent="0.25">
      <c r="A6783" t="str">
        <f>T("   JM")</f>
        <v xml:space="preserve">   JM</v>
      </c>
      <c r="B6783" t="str">
        <f>T("   Jamaïque")</f>
        <v xml:space="preserve">   Jamaïque</v>
      </c>
      <c r="C6783">
        <v>600000</v>
      </c>
      <c r="D6783">
        <v>510</v>
      </c>
    </row>
    <row r="6784" spans="1:4" x14ac:dyDescent="0.25">
      <c r="A6784" t="str">
        <f>T("   SA")</f>
        <v xml:space="preserve">   SA</v>
      </c>
      <c r="B6784" t="str">
        <f>T("   Arabie Saoudite")</f>
        <v xml:space="preserve">   Arabie Saoudite</v>
      </c>
      <c r="C6784">
        <v>100362</v>
      </c>
      <c r="D6784">
        <v>200</v>
      </c>
    </row>
    <row r="6785" spans="1:4" x14ac:dyDescent="0.25">
      <c r="A6785" t="str">
        <f>T("570500")</f>
        <v>570500</v>
      </c>
      <c r="B6785" t="str">
        <f>T("Tapis et autres revêtements de sol en matières textiles, même confectionnés (à l'excl. à points noués ou enroulés, tissés, touffetés ou en feutre)")</f>
        <v>Tapis et autres revêtements de sol en matières textiles, même confectionnés (à l'excl. à points noués ou enroulés, tissés, touffetés ou en feutre)</v>
      </c>
    </row>
    <row r="6786" spans="1:4" x14ac:dyDescent="0.25">
      <c r="A6786" t="str">
        <f>T("   ZZZ_Monde")</f>
        <v xml:space="preserve">   ZZZ_Monde</v>
      </c>
      <c r="B6786" t="str">
        <f>T("   ZZZ_Monde")</f>
        <v xml:space="preserve">   ZZZ_Monde</v>
      </c>
      <c r="C6786">
        <v>66673168</v>
      </c>
      <c r="D6786">
        <v>74026</v>
      </c>
    </row>
    <row r="6787" spans="1:4" x14ac:dyDescent="0.25">
      <c r="A6787" t="str">
        <f>T("   CN")</f>
        <v xml:space="preserve">   CN</v>
      </c>
      <c r="B6787" t="str">
        <f>T("   Chine")</f>
        <v xml:space="preserve">   Chine</v>
      </c>
      <c r="C6787">
        <v>25779880</v>
      </c>
      <c r="D6787">
        <v>45699</v>
      </c>
    </row>
    <row r="6788" spans="1:4" x14ac:dyDescent="0.25">
      <c r="A6788" t="str">
        <f>T("   FR")</f>
        <v xml:space="preserve">   FR</v>
      </c>
      <c r="B6788" t="str">
        <f>T("   France")</f>
        <v xml:space="preserve">   France</v>
      </c>
      <c r="C6788">
        <v>28565220</v>
      </c>
      <c r="D6788">
        <v>17551</v>
      </c>
    </row>
    <row r="6789" spans="1:4" x14ac:dyDescent="0.25">
      <c r="A6789" t="str">
        <f>T("   IN")</f>
        <v xml:space="preserve">   IN</v>
      </c>
      <c r="B6789" t="str">
        <f>T("   Inde")</f>
        <v xml:space="preserve">   Inde</v>
      </c>
      <c r="C6789">
        <v>5692847</v>
      </c>
      <c r="D6789">
        <v>5438</v>
      </c>
    </row>
    <row r="6790" spans="1:4" x14ac:dyDescent="0.25">
      <c r="A6790" t="str">
        <f>T("   PK")</f>
        <v xml:space="preserve">   PK</v>
      </c>
      <c r="B6790" t="str">
        <f>T("   Pakistan")</f>
        <v xml:space="preserve">   Pakistan</v>
      </c>
      <c r="C6790">
        <v>4876406</v>
      </c>
      <c r="D6790">
        <v>1152</v>
      </c>
    </row>
    <row r="6791" spans="1:4" x14ac:dyDescent="0.25">
      <c r="A6791" t="str">
        <f>T("   SN")</f>
        <v xml:space="preserve">   SN</v>
      </c>
      <c r="B6791" t="str">
        <f>T("   Sénégal")</f>
        <v xml:space="preserve">   Sénégal</v>
      </c>
      <c r="C6791">
        <v>95785</v>
      </c>
      <c r="D6791">
        <v>211</v>
      </c>
    </row>
    <row r="6792" spans="1:4" x14ac:dyDescent="0.25">
      <c r="A6792" t="str">
        <f>T("   TG")</f>
        <v xml:space="preserve">   TG</v>
      </c>
      <c r="B6792" t="str">
        <f>T("   Togo")</f>
        <v xml:space="preserve">   Togo</v>
      </c>
      <c r="C6792">
        <v>1572912</v>
      </c>
      <c r="D6792">
        <v>3850</v>
      </c>
    </row>
    <row r="6793" spans="1:4" x14ac:dyDescent="0.25">
      <c r="A6793" t="str">
        <f>T("   US")</f>
        <v xml:space="preserve">   US</v>
      </c>
      <c r="B6793" t="str">
        <f>T("   Etats-Unis")</f>
        <v xml:space="preserve">   Etats-Unis</v>
      </c>
      <c r="C6793">
        <v>90118</v>
      </c>
      <c r="D6793">
        <v>125</v>
      </c>
    </row>
    <row r="6794" spans="1:4" x14ac:dyDescent="0.25">
      <c r="A6794" t="str">
        <f>T("580110")</f>
        <v>580110</v>
      </c>
      <c r="B6794" t="str">
        <f>T("Velours et peluches tissés et tissus de chenille, de laine ou de poils fins (à l'excl. des tissus bouclés du genre éponge, des surfaces textiles touffetées ainsi que des articles de rubanerie du n° 5806)")</f>
        <v>Velours et peluches tissés et tissus de chenille, de laine ou de poils fins (à l'excl. des tissus bouclés du genre éponge, des surfaces textiles touffetées ainsi que des articles de rubanerie du n° 5806)</v>
      </c>
    </row>
    <row r="6795" spans="1:4" x14ac:dyDescent="0.25">
      <c r="A6795" t="str">
        <f>T("   ZZZ_Monde")</f>
        <v xml:space="preserve">   ZZZ_Monde</v>
      </c>
      <c r="B6795" t="str">
        <f>T("   ZZZ_Monde")</f>
        <v xml:space="preserve">   ZZZ_Monde</v>
      </c>
      <c r="C6795">
        <v>200000</v>
      </c>
      <c r="D6795">
        <v>1600</v>
      </c>
    </row>
    <row r="6796" spans="1:4" x14ac:dyDescent="0.25">
      <c r="A6796" t="str">
        <f>T("   TG")</f>
        <v xml:space="preserve">   TG</v>
      </c>
      <c r="B6796" t="str">
        <f>T("   Togo")</f>
        <v xml:space="preserve">   Togo</v>
      </c>
      <c r="C6796">
        <v>200000</v>
      </c>
      <c r="D6796">
        <v>1600</v>
      </c>
    </row>
    <row r="6797" spans="1:4" x14ac:dyDescent="0.25">
      <c r="A6797" t="str">
        <f>T("580133")</f>
        <v>580133</v>
      </c>
      <c r="B6797" t="str">
        <f>T("Velours et peluches par la trame, coupés, de fibres synthétiques ou artificielles (à l'excl. des tissus bouclés du genre éponge, des surfaces textiles touffetées ainsi que des articles de rubanerie du n° 5806)")</f>
        <v>Velours et peluches par la trame, coupés, de fibres synthétiques ou artificielles (à l'excl. des tissus bouclés du genre éponge, des surfaces textiles touffetées ainsi que des articles de rubanerie du n° 5806)</v>
      </c>
    </row>
    <row r="6798" spans="1:4" x14ac:dyDescent="0.25">
      <c r="A6798" t="str">
        <f>T("   ZZZ_Monde")</f>
        <v xml:space="preserve">   ZZZ_Monde</v>
      </c>
      <c r="B6798" t="str">
        <f>T("   ZZZ_Monde")</f>
        <v xml:space="preserve">   ZZZ_Monde</v>
      </c>
      <c r="C6798">
        <v>1049726</v>
      </c>
      <c r="D6798">
        <v>1233</v>
      </c>
    </row>
    <row r="6799" spans="1:4" x14ac:dyDescent="0.25">
      <c r="A6799" t="str">
        <f>T("   CN")</f>
        <v xml:space="preserve">   CN</v>
      </c>
      <c r="B6799" t="str">
        <f>T("   Chine")</f>
        <v xml:space="preserve">   Chine</v>
      </c>
      <c r="C6799">
        <v>1049726</v>
      </c>
      <c r="D6799">
        <v>1233</v>
      </c>
    </row>
    <row r="6800" spans="1:4" x14ac:dyDescent="0.25">
      <c r="A6800" t="str">
        <f>T("580190")</f>
        <v>580190</v>
      </c>
      <c r="B6800" t="str">
        <f>T("Velours et peluches tissés et tissus de chenille (à l'excl. des tissus bouclés du genre éponge, des surfaces textiles touffetées, des articles de rubanerie du n° 5806 et des articles de laine, de poils fins ou de fibres synthétiques ou artificielles)")</f>
        <v>Velours et peluches tissés et tissus de chenille (à l'excl. des tissus bouclés du genre éponge, des surfaces textiles touffetées, des articles de rubanerie du n° 5806 et des articles de laine, de poils fins ou de fibres synthétiques ou artificielles)</v>
      </c>
    </row>
    <row r="6801" spans="1:4" x14ac:dyDescent="0.25">
      <c r="A6801" t="str">
        <f>T("   ZZZ_Monde")</f>
        <v xml:space="preserve">   ZZZ_Monde</v>
      </c>
      <c r="B6801" t="str">
        <f>T("   ZZZ_Monde")</f>
        <v xml:space="preserve">   ZZZ_Monde</v>
      </c>
      <c r="C6801">
        <v>4718102</v>
      </c>
      <c r="D6801">
        <v>3528</v>
      </c>
    </row>
    <row r="6802" spans="1:4" x14ac:dyDescent="0.25">
      <c r="A6802" t="str">
        <f>T("   BE")</f>
        <v xml:space="preserve">   BE</v>
      </c>
      <c r="B6802" t="str">
        <f>T("   Belgique")</f>
        <v xml:space="preserve">   Belgique</v>
      </c>
      <c r="C6802">
        <v>19896</v>
      </c>
      <c r="D6802">
        <v>49</v>
      </c>
    </row>
    <row r="6803" spans="1:4" x14ac:dyDescent="0.25">
      <c r="A6803" t="str">
        <f>T("   CN")</f>
        <v xml:space="preserve">   CN</v>
      </c>
      <c r="B6803" t="str">
        <f>T("   Chine")</f>
        <v xml:space="preserve">   Chine</v>
      </c>
      <c r="C6803">
        <v>4698206</v>
      </c>
      <c r="D6803">
        <v>3479</v>
      </c>
    </row>
    <row r="6804" spans="1:4" x14ac:dyDescent="0.25">
      <c r="A6804" t="str">
        <f>T("580219")</f>
        <v>580219</v>
      </c>
      <c r="B6804" t="str">
        <f>T("Tissus bouclés du genre éponge, en coton (à l'excl. des tissus écrus, des articles de rubanerie du n° 5806 ainsi que des tapis et autres revêtements de sol du n° 5703)")</f>
        <v>Tissus bouclés du genre éponge, en coton (à l'excl. des tissus écrus, des articles de rubanerie du n° 5806 ainsi que des tapis et autres revêtements de sol du n° 5703)</v>
      </c>
    </row>
    <row r="6805" spans="1:4" x14ac:dyDescent="0.25">
      <c r="A6805" t="str">
        <f>T("   ZZZ_Monde")</f>
        <v xml:space="preserve">   ZZZ_Monde</v>
      </c>
      <c r="B6805" t="str">
        <f>T("   ZZZ_Monde")</f>
        <v xml:space="preserve">   ZZZ_Monde</v>
      </c>
      <c r="C6805">
        <v>8730000</v>
      </c>
      <c r="D6805">
        <v>14260</v>
      </c>
    </row>
    <row r="6806" spans="1:4" x14ac:dyDescent="0.25">
      <c r="A6806" t="str">
        <f>T("   CN")</f>
        <v xml:space="preserve">   CN</v>
      </c>
      <c r="B6806" t="str">
        <f>T("   Chine")</f>
        <v xml:space="preserve">   Chine</v>
      </c>
      <c r="C6806">
        <v>8730000</v>
      </c>
      <c r="D6806">
        <v>14260</v>
      </c>
    </row>
    <row r="6807" spans="1:4" x14ac:dyDescent="0.25">
      <c r="A6807" t="str">
        <f>T("580390")</f>
        <v>580390</v>
      </c>
      <c r="B6807" t="str">
        <f>T("Tissus à point de gaze (à l'excl. des tissus en coton ainsi que des articles de rubanerie du n° 5806)")</f>
        <v>Tissus à point de gaze (à l'excl. des tissus en coton ainsi que des articles de rubanerie du n° 5806)</v>
      </c>
    </row>
    <row r="6808" spans="1:4" x14ac:dyDescent="0.25">
      <c r="A6808" t="str">
        <f>T("   ZZZ_Monde")</f>
        <v xml:space="preserve">   ZZZ_Monde</v>
      </c>
      <c r="B6808" t="str">
        <f>T("   ZZZ_Monde")</f>
        <v xml:space="preserve">   ZZZ_Monde</v>
      </c>
      <c r="C6808">
        <v>34000000</v>
      </c>
      <c r="D6808">
        <v>41500</v>
      </c>
    </row>
    <row r="6809" spans="1:4" x14ac:dyDescent="0.25">
      <c r="A6809" t="str">
        <f>T("   CN")</f>
        <v xml:space="preserve">   CN</v>
      </c>
      <c r="B6809" t="str">
        <f>T("   Chine")</f>
        <v xml:space="preserve">   Chine</v>
      </c>
      <c r="C6809">
        <v>34000000</v>
      </c>
      <c r="D6809">
        <v>41500</v>
      </c>
    </row>
    <row r="6810" spans="1:4" x14ac:dyDescent="0.25">
      <c r="A6810" t="str">
        <f>T("580421")</f>
        <v>580421</v>
      </c>
      <c r="B6810" t="str">
        <f>T("Dentelles à la mécanique, de fibres synthétiques ou artificielles, en pièces, en bandes ou en motifs (à l'excl. des produits du n° 6002 à 6006)")</f>
        <v>Dentelles à la mécanique, de fibres synthétiques ou artificielles, en pièces, en bandes ou en motifs (à l'excl. des produits du n° 6002 à 6006)</v>
      </c>
    </row>
    <row r="6811" spans="1:4" x14ac:dyDescent="0.25">
      <c r="A6811" t="str">
        <f>T("   ZZZ_Monde")</f>
        <v xml:space="preserve">   ZZZ_Monde</v>
      </c>
      <c r="B6811" t="str">
        <f>T("   ZZZ_Monde")</f>
        <v xml:space="preserve">   ZZZ_Monde</v>
      </c>
      <c r="C6811">
        <v>15566250</v>
      </c>
      <c r="D6811">
        <v>56800</v>
      </c>
    </row>
    <row r="6812" spans="1:4" x14ac:dyDescent="0.25">
      <c r="A6812" t="str">
        <f>T("   CN")</f>
        <v xml:space="preserve">   CN</v>
      </c>
      <c r="B6812" t="str">
        <f>T("   Chine")</f>
        <v xml:space="preserve">   Chine</v>
      </c>
      <c r="C6812">
        <v>15566250</v>
      </c>
      <c r="D6812">
        <v>56800</v>
      </c>
    </row>
    <row r="6813" spans="1:4" x14ac:dyDescent="0.25">
      <c r="A6813" t="str">
        <f>T("580429")</f>
        <v>580429</v>
      </c>
      <c r="B6813" t="str">
        <f>T("Dentelles à la mécanique, en pièces, en bandes ou en motifs (à l'excl. des articles de fibres synthétiques ou artificielles ainsi que des produits du n° 6002 à 6006)")</f>
        <v>Dentelles à la mécanique, en pièces, en bandes ou en motifs (à l'excl. des articles de fibres synthétiques ou artificielles ainsi que des produits du n° 6002 à 6006)</v>
      </c>
    </row>
    <row r="6814" spans="1:4" x14ac:dyDescent="0.25">
      <c r="A6814" t="str">
        <f>T("   ZZZ_Monde")</f>
        <v xml:space="preserve">   ZZZ_Monde</v>
      </c>
      <c r="B6814" t="str">
        <f>T("   ZZZ_Monde")</f>
        <v xml:space="preserve">   ZZZ_Monde</v>
      </c>
      <c r="C6814">
        <v>15169304</v>
      </c>
      <c r="D6814">
        <v>27110</v>
      </c>
    </row>
    <row r="6815" spans="1:4" x14ac:dyDescent="0.25">
      <c r="A6815" t="str">
        <f>T("   CN")</f>
        <v xml:space="preserve">   CN</v>
      </c>
      <c r="B6815" t="str">
        <f>T("   Chine")</f>
        <v xml:space="preserve">   Chine</v>
      </c>
      <c r="C6815">
        <v>2645000</v>
      </c>
      <c r="D6815">
        <v>3400</v>
      </c>
    </row>
    <row r="6816" spans="1:4" x14ac:dyDescent="0.25">
      <c r="A6816" t="str">
        <f>T("   GH")</f>
        <v xml:space="preserve">   GH</v>
      </c>
      <c r="B6816" t="str">
        <f>T("   Ghana")</f>
        <v xml:space="preserve">   Ghana</v>
      </c>
      <c r="C6816">
        <v>4500000</v>
      </c>
      <c r="D6816">
        <v>10900</v>
      </c>
    </row>
    <row r="6817" spans="1:4" x14ac:dyDescent="0.25">
      <c r="A6817" t="str">
        <f>T("   TG")</f>
        <v xml:space="preserve">   TG</v>
      </c>
      <c r="B6817" t="str">
        <f>T("   Togo")</f>
        <v xml:space="preserve">   Togo</v>
      </c>
      <c r="C6817">
        <v>8024304</v>
      </c>
      <c r="D6817">
        <v>12810</v>
      </c>
    </row>
    <row r="6818" spans="1:4" x14ac:dyDescent="0.25">
      <c r="A6818" t="str">
        <f>T("580430")</f>
        <v>580430</v>
      </c>
      <c r="B6818" t="str">
        <f>T("Dentelles à la main, en pièces, en bandes ou en motifs (à l'excl. des produits du n° 6002 à 6006)")</f>
        <v>Dentelles à la main, en pièces, en bandes ou en motifs (à l'excl. des produits du n° 6002 à 6006)</v>
      </c>
    </row>
    <row r="6819" spans="1:4" x14ac:dyDescent="0.25">
      <c r="A6819" t="str">
        <f>T("   ZZZ_Monde")</f>
        <v xml:space="preserve">   ZZZ_Monde</v>
      </c>
      <c r="B6819" t="str">
        <f>T("   ZZZ_Monde")</f>
        <v xml:space="preserve">   ZZZ_Monde</v>
      </c>
      <c r="C6819">
        <v>15474377</v>
      </c>
      <c r="D6819">
        <v>15733</v>
      </c>
    </row>
    <row r="6820" spans="1:4" x14ac:dyDescent="0.25">
      <c r="A6820" t="str">
        <f>T("   IN")</f>
        <v xml:space="preserve">   IN</v>
      </c>
      <c r="B6820" t="str">
        <f>T("   Inde")</f>
        <v xml:space="preserve">   Inde</v>
      </c>
      <c r="C6820">
        <v>15474377</v>
      </c>
      <c r="D6820">
        <v>15733</v>
      </c>
    </row>
    <row r="6821" spans="1:4" x14ac:dyDescent="0.25">
      <c r="A6821" t="str">
        <f>T("580500")</f>
        <v>580500</v>
      </c>
      <c r="B6821" t="str">
        <f>T("Tapisseries tissées à la main [genre Gobelins, Flandres, Aubusson, Beauvais et simil.] et tapisseries à l'aiguille [au petit point, au point de croix, par exemple], même confectionnées (à l'excl. des tapisseries ayant plus de 100 ans d'âge ainsi que des t")</f>
        <v>Tapisseries tissées à la main [genre Gobelins, Flandres, Aubusson, Beauvais et simil.] et tapisseries à l'aiguille [au petit point, au point de croix, par exemple], même confectionnées (à l'excl. des tapisseries ayant plus de 100 ans d'âge ainsi que des t</v>
      </c>
    </row>
    <row r="6822" spans="1:4" x14ac:dyDescent="0.25">
      <c r="A6822" t="str">
        <f>T("   ZZZ_Monde")</f>
        <v xml:space="preserve">   ZZZ_Monde</v>
      </c>
      <c r="B6822" t="str">
        <f>T("   ZZZ_Monde")</f>
        <v xml:space="preserve">   ZZZ_Monde</v>
      </c>
      <c r="C6822">
        <v>273516</v>
      </c>
      <c r="D6822">
        <v>20</v>
      </c>
    </row>
    <row r="6823" spans="1:4" x14ac:dyDescent="0.25">
      <c r="A6823" t="str">
        <f>T("   FR")</f>
        <v xml:space="preserve">   FR</v>
      </c>
      <c r="B6823" t="str">
        <f>T("   France")</f>
        <v xml:space="preserve">   France</v>
      </c>
      <c r="C6823">
        <v>273516</v>
      </c>
      <c r="D6823">
        <v>20</v>
      </c>
    </row>
    <row r="6824" spans="1:4" x14ac:dyDescent="0.25">
      <c r="A6824" t="str">
        <f>T("580632")</f>
        <v>580632</v>
      </c>
      <c r="B6824" t="str">
        <f>T("RUBANERIE, TISSÉE, DE FIBRES SYNTHÉTIQUES OU ARTIFICIELLES, D'UNE LARGEUR &lt;= 30 CM, N.D.A.")</f>
        <v>RUBANERIE, TISSÉE, DE FIBRES SYNTHÉTIQUES OU ARTIFICIELLES, D'UNE LARGEUR &lt;= 30 CM, N.D.A.</v>
      </c>
    </row>
    <row r="6825" spans="1:4" x14ac:dyDescent="0.25">
      <c r="A6825" t="str">
        <f>T("   ZZZ_Monde")</f>
        <v xml:space="preserve">   ZZZ_Monde</v>
      </c>
      <c r="B6825" t="str">
        <f>T("   ZZZ_Monde")</f>
        <v xml:space="preserve">   ZZZ_Monde</v>
      </c>
      <c r="C6825">
        <v>7708691</v>
      </c>
      <c r="D6825">
        <v>4349</v>
      </c>
    </row>
    <row r="6826" spans="1:4" x14ac:dyDescent="0.25">
      <c r="A6826" t="str">
        <f>T("   CN")</f>
        <v xml:space="preserve">   CN</v>
      </c>
      <c r="B6826" t="str">
        <f>T("   Chine")</f>
        <v xml:space="preserve">   Chine</v>
      </c>
      <c r="C6826">
        <v>1692226</v>
      </c>
      <c r="D6826">
        <v>4006</v>
      </c>
    </row>
    <row r="6827" spans="1:4" x14ac:dyDescent="0.25">
      <c r="A6827" t="str">
        <f>T("   FR")</f>
        <v xml:space="preserve">   FR</v>
      </c>
      <c r="B6827" t="str">
        <f>T("   France")</f>
        <v xml:space="preserve">   France</v>
      </c>
      <c r="C6827">
        <v>6016465</v>
      </c>
      <c r="D6827">
        <v>343</v>
      </c>
    </row>
    <row r="6828" spans="1:4" x14ac:dyDescent="0.25">
      <c r="A6828" t="str">
        <f>T("580639")</f>
        <v>580639</v>
      </c>
      <c r="B6828" t="str">
        <f>T("Rubanerie, tissée, en matières textiles, n.d.a. (à l'excl. des articles de coton ou de fibres synthétiques ou artificielles)")</f>
        <v>Rubanerie, tissée, en matières textiles, n.d.a. (à l'excl. des articles de coton ou de fibres synthétiques ou artificielles)</v>
      </c>
    </row>
    <row r="6829" spans="1:4" x14ac:dyDescent="0.25">
      <c r="A6829" t="str">
        <f>T("   ZZZ_Monde")</f>
        <v xml:space="preserve">   ZZZ_Monde</v>
      </c>
      <c r="B6829" t="str">
        <f>T("   ZZZ_Monde")</f>
        <v xml:space="preserve">   ZZZ_Monde</v>
      </c>
      <c r="C6829">
        <v>11499005</v>
      </c>
      <c r="D6829">
        <v>26540</v>
      </c>
    </row>
    <row r="6830" spans="1:4" x14ac:dyDescent="0.25">
      <c r="A6830" t="str">
        <f>T("   CN")</f>
        <v xml:space="preserve">   CN</v>
      </c>
      <c r="B6830" t="str">
        <f>T("   Chine")</f>
        <v xml:space="preserve">   Chine</v>
      </c>
      <c r="C6830">
        <v>10319291</v>
      </c>
      <c r="D6830">
        <v>20145</v>
      </c>
    </row>
    <row r="6831" spans="1:4" x14ac:dyDescent="0.25">
      <c r="A6831" t="str">
        <f>T("   TG")</f>
        <v xml:space="preserve">   TG</v>
      </c>
      <c r="B6831" t="str">
        <f>T("   Togo")</f>
        <v xml:space="preserve">   Togo</v>
      </c>
      <c r="C6831">
        <v>1179714</v>
      </c>
      <c r="D6831">
        <v>6395</v>
      </c>
    </row>
    <row r="6832" spans="1:4" x14ac:dyDescent="0.25">
      <c r="A6832" t="str">
        <f>T("580640")</f>
        <v>580640</v>
      </c>
      <c r="B6832" t="str">
        <f>T("Rubans sans trame, en fils ou fibres parallélisés et encollés [bolducs]")</f>
        <v>Rubans sans trame, en fils ou fibres parallélisés et encollés [bolducs]</v>
      </c>
    </row>
    <row r="6833" spans="1:4" x14ac:dyDescent="0.25">
      <c r="A6833" t="str">
        <f>T("   ZZZ_Monde")</f>
        <v xml:space="preserve">   ZZZ_Monde</v>
      </c>
      <c r="B6833" t="str">
        <f>T("   ZZZ_Monde")</f>
        <v xml:space="preserve">   ZZZ_Monde</v>
      </c>
      <c r="C6833">
        <v>400000</v>
      </c>
      <c r="D6833">
        <v>1200</v>
      </c>
    </row>
    <row r="6834" spans="1:4" x14ac:dyDescent="0.25">
      <c r="A6834" t="str">
        <f>T("   TG")</f>
        <v xml:space="preserve">   TG</v>
      </c>
      <c r="B6834" t="str">
        <f>T("   Togo")</f>
        <v xml:space="preserve">   Togo</v>
      </c>
      <c r="C6834">
        <v>400000</v>
      </c>
      <c r="D6834">
        <v>1200</v>
      </c>
    </row>
    <row r="6835" spans="1:4" x14ac:dyDescent="0.25">
      <c r="A6835" t="str">
        <f>T("580790")</f>
        <v>580790</v>
      </c>
      <c r="B6835" t="str">
        <f>T("ÉTIQUETTES, ÉCUSSONS ET ARTICLES SIMIL. EN MATIÈRES TEXTILES, EN PIÈCES, EN RUBANS OU DÉCOUPÉS, NON-BRODÉS (À L'EXCL. DES ARTICLES TISSÉS)")</f>
        <v>ÉTIQUETTES, ÉCUSSONS ET ARTICLES SIMIL. EN MATIÈRES TEXTILES, EN PIÈCES, EN RUBANS OU DÉCOUPÉS, NON-BRODÉS (À L'EXCL. DES ARTICLES TISSÉS)</v>
      </c>
    </row>
    <row r="6836" spans="1:4" x14ac:dyDescent="0.25">
      <c r="A6836" t="str">
        <f>T("   ZZZ_Monde")</f>
        <v xml:space="preserve">   ZZZ_Monde</v>
      </c>
      <c r="B6836" t="str">
        <f>T("   ZZZ_Monde")</f>
        <v xml:space="preserve">   ZZZ_Monde</v>
      </c>
      <c r="C6836">
        <v>299315</v>
      </c>
      <c r="D6836">
        <v>177</v>
      </c>
    </row>
    <row r="6837" spans="1:4" x14ac:dyDescent="0.25">
      <c r="A6837" t="str">
        <f>T("   GH")</f>
        <v xml:space="preserve">   GH</v>
      </c>
      <c r="B6837" t="str">
        <f>T("   Ghana")</f>
        <v xml:space="preserve">   Ghana</v>
      </c>
      <c r="C6837">
        <v>299315</v>
      </c>
      <c r="D6837">
        <v>177</v>
      </c>
    </row>
    <row r="6838" spans="1:4" x14ac:dyDescent="0.25">
      <c r="A6838" t="str">
        <f>T("580890")</f>
        <v>580890</v>
      </c>
      <c r="B6838" t="str">
        <f>T("Articles de passementerie et articles ornementaux analogues en matières textiles, en pièces, sans broderie, et glands, floches, olives, noix, pompons et articles simil. en matières textiles (à l'excl. des tresses en pièces ainsi que des articles de passem")</f>
        <v>Articles de passementerie et articles ornementaux analogues en matières textiles, en pièces, sans broderie, et glands, floches, olives, noix, pompons et articles simil. en matières textiles (à l'excl. des tresses en pièces ainsi que des articles de passem</v>
      </c>
    </row>
    <row r="6839" spans="1:4" x14ac:dyDescent="0.25">
      <c r="A6839" t="str">
        <f>T("   ZZZ_Monde")</f>
        <v xml:space="preserve">   ZZZ_Monde</v>
      </c>
      <c r="B6839" t="str">
        <f>T("   ZZZ_Monde")</f>
        <v xml:space="preserve">   ZZZ_Monde</v>
      </c>
      <c r="C6839">
        <v>1613302</v>
      </c>
      <c r="D6839">
        <v>21890</v>
      </c>
    </row>
    <row r="6840" spans="1:4" x14ac:dyDescent="0.25">
      <c r="A6840" t="str">
        <f>T("   CN")</f>
        <v xml:space="preserve">   CN</v>
      </c>
      <c r="B6840" t="str">
        <f>T("   Chine")</f>
        <v xml:space="preserve">   Chine</v>
      </c>
      <c r="C6840">
        <v>813302</v>
      </c>
      <c r="D6840">
        <v>8360</v>
      </c>
    </row>
    <row r="6841" spans="1:4" x14ac:dyDescent="0.25">
      <c r="A6841" t="str">
        <f>T("   TG")</f>
        <v xml:space="preserve">   TG</v>
      </c>
      <c r="B6841" t="str">
        <f>T("   Togo")</f>
        <v xml:space="preserve">   Togo</v>
      </c>
      <c r="C6841">
        <v>800000</v>
      </c>
      <c r="D6841">
        <v>13530</v>
      </c>
    </row>
    <row r="6842" spans="1:4" x14ac:dyDescent="0.25">
      <c r="A6842" t="str">
        <f>T("581010")</f>
        <v>581010</v>
      </c>
      <c r="B6842" t="str">
        <f>T("Broderies chimiques ou aériennes, sur support de matières textiles, et broderies à fond découpé, en pièces, en bandes ou en motifs")</f>
        <v>Broderies chimiques ou aériennes, sur support de matières textiles, et broderies à fond découpé, en pièces, en bandes ou en motifs</v>
      </c>
    </row>
    <row r="6843" spans="1:4" x14ac:dyDescent="0.25">
      <c r="A6843" t="str">
        <f>T("   ZZZ_Monde")</f>
        <v xml:space="preserve">   ZZZ_Monde</v>
      </c>
      <c r="B6843" t="str">
        <f>T("   ZZZ_Monde")</f>
        <v xml:space="preserve">   ZZZ_Monde</v>
      </c>
      <c r="C6843">
        <v>761000</v>
      </c>
      <c r="D6843">
        <v>360</v>
      </c>
    </row>
    <row r="6844" spans="1:4" x14ac:dyDescent="0.25">
      <c r="A6844" t="str">
        <f>T("   CH")</f>
        <v xml:space="preserve">   CH</v>
      </c>
      <c r="B6844" t="str">
        <f>T("   Suisse")</f>
        <v xml:space="preserve">   Suisse</v>
      </c>
      <c r="C6844">
        <v>300000</v>
      </c>
      <c r="D6844">
        <v>68</v>
      </c>
    </row>
    <row r="6845" spans="1:4" x14ac:dyDescent="0.25">
      <c r="A6845" t="str">
        <f>T("   CN")</f>
        <v xml:space="preserve">   CN</v>
      </c>
      <c r="B6845" t="str">
        <f>T("   Chine")</f>
        <v xml:space="preserve">   Chine</v>
      </c>
      <c r="C6845">
        <v>143000</v>
      </c>
      <c r="D6845">
        <v>100</v>
      </c>
    </row>
    <row r="6846" spans="1:4" x14ac:dyDescent="0.25">
      <c r="A6846" t="str">
        <f>T("   FR")</f>
        <v xml:space="preserve">   FR</v>
      </c>
      <c r="B6846" t="str">
        <f>T("   France")</f>
        <v xml:space="preserve">   France</v>
      </c>
      <c r="C6846">
        <v>318000</v>
      </c>
      <c r="D6846">
        <v>192</v>
      </c>
    </row>
    <row r="6847" spans="1:4" x14ac:dyDescent="0.25">
      <c r="A6847" t="str">
        <f>T("581091")</f>
        <v>581091</v>
      </c>
      <c r="B6847" t="str">
        <f>T("Broderies de coton, sur support de matières textiles, en pièces, en bandes ou en motifs (à l'excl. des broderies chimiques ou aériennes ainsi que des broderies à fond découpé)")</f>
        <v>Broderies de coton, sur support de matières textiles, en pièces, en bandes ou en motifs (à l'excl. des broderies chimiques ou aériennes ainsi que des broderies à fond découpé)</v>
      </c>
    </row>
    <row r="6848" spans="1:4" x14ac:dyDescent="0.25">
      <c r="A6848" t="str">
        <f>T("   ZZZ_Monde")</f>
        <v xml:space="preserve">   ZZZ_Monde</v>
      </c>
      <c r="B6848" t="str">
        <f>T("   ZZZ_Monde")</f>
        <v xml:space="preserve">   ZZZ_Monde</v>
      </c>
      <c r="C6848">
        <v>129552285</v>
      </c>
      <c r="D6848">
        <v>110937</v>
      </c>
    </row>
    <row r="6849" spans="1:4" x14ac:dyDescent="0.25">
      <c r="A6849" t="str">
        <f>T("   IN")</f>
        <v xml:space="preserve">   IN</v>
      </c>
      <c r="B6849" t="str">
        <f>T("   Inde")</f>
        <v xml:space="preserve">   Inde</v>
      </c>
      <c r="C6849">
        <v>17000000</v>
      </c>
      <c r="D6849">
        <v>6632</v>
      </c>
    </row>
    <row r="6850" spans="1:4" x14ac:dyDescent="0.25">
      <c r="A6850" t="str">
        <f>T("   NL")</f>
        <v xml:space="preserve">   NL</v>
      </c>
      <c r="B6850" t="str">
        <f>T("   Pays-bas")</f>
        <v xml:space="preserve">   Pays-bas</v>
      </c>
      <c r="C6850">
        <v>8141050</v>
      </c>
      <c r="D6850">
        <v>85</v>
      </c>
    </row>
    <row r="6851" spans="1:4" x14ac:dyDescent="0.25">
      <c r="A6851" t="str">
        <f>T("   TG")</f>
        <v xml:space="preserve">   TG</v>
      </c>
      <c r="B6851" t="str">
        <f>T("   Togo")</f>
        <v xml:space="preserve">   Togo</v>
      </c>
      <c r="C6851">
        <v>104411235</v>
      </c>
      <c r="D6851">
        <v>104220</v>
      </c>
    </row>
    <row r="6852" spans="1:4" x14ac:dyDescent="0.25">
      <c r="A6852" t="str">
        <f>T("581092")</f>
        <v>581092</v>
      </c>
      <c r="B6852" t="str">
        <f>T("Broderies de fibres synthétiques ou artificielles, sur support de matières textiles, en pièces, en bandes ou en motifs (à l'excl. des broderies chimiques ou aériennes ainsi que des broderies à fond découpé)")</f>
        <v>Broderies de fibres synthétiques ou artificielles, sur support de matières textiles, en pièces, en bandes ou en motifs (à l'excl. des broderies chimiques ou aériennes ainsi que des broderies à fond découpé)</v>
      </c>
    </row>
    <row r="6853" spans="1:4" x14ac:dyDescent="0.25">
      <c r="A6853" t="str">
        <f>T("   ZZZ_Monde")</f>
        <v xml:space="preserve">   ZZZ_Monde</v>
      </c>
      <c r="B6853" t="str">
        <f>T("   ZZZ_Monde")</f>
        <v xml:space="preserve">   ZZZ_Monde</v>
      </c>
      <c r="C6853">
        <v>1638449</v>
      </c>
      <c r="D6853">
        <v>8220</v>
      </c>
    </row>
    <row r="6854" spans="1:4" x14ac:dyDescent="0.25">
      <c r="A6854" t="str">
        <f>T("   TG")</f>
        <v xml:space="preserve">   TG</v>
      </c>
      <c r="B6854" t="str">
        <f>T("   Togo")</f>
        <v xml:space="preserve">   Togo</v>
      </c>
      <c r="C6854">
        <v>1638449</v>
      </c>
      <c r="D6854">
        <v>8220</v>
      </c>
    </row>
    <row r="6855" spans="1:4" x14ac:dyDescent="0.25">
      <c r="A6855" t="str">
        <f>T("581099")</f>
        <v>581099</v>
      </c>
      <c r="B6855" t="str">
        <f>T("Broderies de matières textiles, sur support de matières textiles, en pièces, en bandes ou en motifs (à l'excl. des broderies en coton ou en fibres synthétiques ou artificielles, des broderies chimiques ou aériennes et des broderies à fond découpé)")</f>
        <v>Broderies de matières textiles, sur support de matières textiles, en pièces, en bandes ou en motifs (à l'excl. des broderies en coton ou en fibres synthétiques ou artificielles, des broderies chimiques ou aériennes et des broderies à fond découpé)</v>
      </c>
    </row>
    <row r="6856" spans="1:4" x14ac:dyDescent="0.25">
      <c r="A6856" t="str">
        <f>T("   ZZZ_Monde")</f>
        <v xml:space="preserve">   ZZZ_Monde</v>
      </c>
      <c r="B6856" t="str">
        <f>T("   ZZZ_Monde")</f>
        <v xml:space="preserve">   ZZZ_Monde</v>
      </c>
      <c r="C6856">
        <v>717393661</v>
      </c>
      <c r="D6856">
        <v>1148993</v>
      </c>
    </row>
    <row r="6857" spans="1:4" x14ac:dyDescent="0.25">
      <c r="A6857" t="str">
        <f>T("   CN")</f>
        <v xml:space="preserve">   CN</v>
      </c>
      <c r="B6857" t="str">
        <f>T("   Chine")</f>
        <v xml:space="preserve">   Chine</v>
      </c>
      <c r="C6857">
        <v>231812464</v>
      </c>
      <c r="D6857">
        <v>394584</v>
      </c>
    </row>
    <row r="6858" spans="1:4" x14ac:dyDescent="0.25">
      <c r="A6858" t="str">
        <f>T("   IN")</f>
        <v xml:space="preserve">   IN</v>
      </c>
      <c r="B6858" t="str">
        <f>T("   Inde")</f>
        <v xml:space="preserve">   Inde</v>
      </c>
      <c r="C6858">
        <v>36000000</v>
      </c>
      <c r="D6858">
        <v>34753</v>
      </c>
    </row>
    <row r="6859" spans="1:4" x14ac:dyDescent="0.25">
      <c r="A6859" t="str">
        <f>T("   NL")</f>
        <v xml:space="preserve">   NL</v>
      </c>
      <c r="B6859" t="str">
        <f>T("   Pays-bas")</f>
        <v xml:space="preserve">   Pays-bas</v>
      </c>
      <c r="C6859">
        <v>9886091</v>
      </c>
      <c r="D6859">
        <v>81</v>
      </c>
    </row>
    <row r="6860" spans="1:4" x14ac:dyDescent="0.25">
      <c r="A6860" t="str">
        <f>T("   TG")</f>
        <v xml:space="preserve">   TG</v>
      </c>
      <c r="B6860" t="str">
        <f>T("   Togo")</f>
        <v xml:space="preserve">   Togo</v>
      </c>
      <c r="C6860">
        <v>439695106</v>
      </c>
      <c r="D6860">
        <v>719575</v>
      </c>
    </row>
    <row r="6861" spans="1:4" x14ac:dyDescent="0.25">
      <c r="A6861" t="str">
        <f>T("581100")</f>
        <v>581100</v>
      </c>
      <c r="B6861" t="str">
        <f>T("PRODUITS TEXTILES MATELASSÉS EN PIÈCES, CONSTITUÉS D'UNE OU PLUSIEURS COUCHES DE MATIÈRES TEXTILES ASSOCIÉES À UNE MATIÈRE DE REMBOURRAGE PAR PIQ¹RE, CAPITONNAGE OU AUTRE CLOISONNEMENT (À L'EXCL. DES BRODERIES DU N° 5810 AINSI QUE DES ARTICLES DE LITERIE")</f>
        <v>PRODUITS TEXTILES MATELASSÉS EN PIÈCES, CONSTITUÉS D'UNE OU PLUSIEURS COUCHES DE MATIÈRES TEXTILES ASSOCIÉES À UNE MATIÈRE DE REMBOURRAGE PAR PIQ¹RE, CAPITONNAGE OU AUTRE CLOISONNEMENT (À L'EXCL. DES BRODERIES DU N° 5810 AINSI QUE DES ARTICLES DE LITERIE</v>
      </c>
    </row>
    <row r="6862" spans="1:4" x14ac:dyDescent="0.25">
      <c r="A6862" t="str">
        <f>T("   ZZZ_Monde")</f>
        <v xml:space="preserve">   ZZZ_Monde</v>
      </c>
      <c r="B6862" t="str">
        <f>T("   ZZZ_Monde")</f>
        <v xml:space="preserve">   ZZZ_Monde</v>
      </c>
      <c r="C6862">
        <v>509996</v>
      </c>
      <c r="D6862">
        <v>515</v>
      </c>
    </row>
    <row r="6863" spans="1:4" x14ac:dyDescent="0.25">
      <c r="A6863" t="str">
        <f>T("   IT")</f>
        <v xml:space="preserve">   IT</v>
      </c>
      <c r="B6863" t="str">
        <f>T("   Italie")</f>
        <v xml:space="preserve">   Italie</v>
      </c>
      <c r="C6863">
        <v>500000</v>
      </c>
      <c r="D6863">
        <v>500</v>
      </c>
    </row>
    <row r="6864" spans="1:4" x14ac:dyDescent="0.25">
      <c r="A6864" t="str">
        <f>T("   US")</f>
        <v xml:space="preserve">   US</v>
      </c>
      <c r="B6864" t="str">
        <f>T("   Etats-Unis")</f>
        <v xml:space="preserve">   Etats-Unis</v>
      </c>
      <c r="C6864">
        <v>9996</v>
      </c>
      <c r="D6864">
        <v>15</v>
      </c>
    </row>
    <row r="6865" spans="1:4" x14ac:dyDescent="0.25">
      <c r="A6865" t="str">
        <f>T("590110")</f>
        <v>590110</v>
      </c>
      <c r="B6865" t="str">
        <f>T("Tissus enduits de colle ou de matières amylacées, des types utilisés pour la reliure, le cartonnage, la gainerie ou usages simil.")</f>
        <v>Tissus enduits de colle ou de matières amylacées, des types utilisés pour la reliure, le cartonnage, la gainerie ou usages simil.</v>
      </c>
    </row>
    <row r="6866" spans="1:4" x14ac:dyDescent="0.25">
      <c r="A6866" t="str">
        <f>T("   ZZZ_Monde")</f>
        <v xml:space="preserve">   ZZZ_Monde</v>
      </c>
      <c r="B6866" t="str">
        <f>T("   ZZZ_Monde")</f>
        <v xml:space="preserve">   ZZZ_Monde</v>
      </c>
      <c r="C6866">
        <v>15512679</v>
      </c>
      <c r="D6866">
        <v>35232</v>
      </c>
    </row>
    <row r="6867" spans="1:4" x14ac:dyDescent="0.25">
      <c r="A6867" t="str">
        <f>T("   CN")</f>
        <v xml:space="preserve">   CN</v>
      </c>
      <c r="B6867" t="str">
        <f>T("   Chine")</f>
        <v xml:space="preserve">   Chine</v>
      </c>
      <c r="C6867">
        <v>15184699</v>
      </c>
      <c r="D6867">
        <v>34599</v>
      </c>
    </row>
    <row r="6868" spans="1:4" x14ac:dyDescent="0.25">
      <c r="A6868" t="str">
        <f>T("   FR")</f>
        <v xml:space="preserve">   FR</v>
      </c>
      <c r="B6868" t="str">
        <f>T("   France")</f>
        <v xml:space="preserve">   France</v>
      </c>
      <c r="C6868">
        <v>327980</v>
      </c>
      <c r="D6868">
        <v>633</v>
      </c>
    </row>
    <row r="6869" spans="1:4" x14ac:dyDescent="0.25">
      <c r="A6869" t="str">
        <f>T("590190")</f>
        <v>590190</v>
      </c>
      <c r="B6869" t="str">
        <f>T("Toiles à calquer ou transparentes pour le dessin; toiles préparées pour la peinture; bougran et tissus simil. raidis des types utilisés pour la chapellerie (à l'excl. des tissus enduits de matière plastique)")</f>
        <v>Toiles à calquer ou transparentes pour le dessin; toiles préparées pour la peinture; bougran et tissus simil. raidis des types utilisés pour la chapellerie (à l'excl. des tissus enduits de matière plastique)</v>
      </c>
    </row>
    <row r="6870" spans="1:4" x14ac:dyDescent="0.25">
      <c r="A6870" t="str">
        <f>T("   ZZZ_Monde")</f>
        <v xml:space="preserve">   ZZZ_Monde</v>
      </c>
      <c r="B6870" t="str">
        <f>T("   ZZZ_Monde")</f>
        <v xml:space="preserve">   ZZZ_Monde</v>
      </c>
      <c r="C6870">
        <v>38926400</v>
      </c>
      <c r="D6870">
        <v>48761</v>
      </c>
    </row>
    <row r="6871" spans="1:4" x14ac:dyDescent="0.25">
      <c r="A6871" t="str">
        <f>T("   NG")</f>
        <v xml:space="preserve">   NG</v>
      </c>
      <c r="B6871" t="str">
        <f>T("   Nigéria")</f>
        <v xml:space="preserve">   Nigéria</v>
      </c>
      <c r="C6871">
        <v>38926400</v>
      </c>
      <c r="D6871">
        <v>48761</v>
      </c>
    </row>
    <row r="6872" spans="1:4" x14ac:dyDescent="0.25">
      <c r="A6872" t="str">
        <f>T("590310")</f>
        <v>590310</v>
      </c>
      <c r="B6872" t="str">
        <f>T("Tissus imprégnés, enduits ou recouverts de poly[chlorure de vinyle] ou stratifiés avec du poly[chlorure de vinyle] (à l'excl. des tissus imprégnés ou enduits de poly[chlorure de vinyle] ayant le caractère de revêtements muraux ainsi que des tissus enduits")</f>
        <v>Tissus imprégnés, enduits ou recouverts de poly[chlorure de vinyle] ou stratifiés avec du poly[chlorure de vinyle] (à l'excl. des tissus imprégnés ou enduits de poly[chlorure de vinyle] ayant le caractère de revêtements muraux ainsi que des tissus enduits</v>
      </c>
    </row>
    <row r="6873" spans="1:4" x14ac:dyDescent="0.25">
      <c r="A6873" t="str">
        <f>T("   ZZZ_Monde")</f>
        <v xml:space="preserve">   ZZZ_Monde</v>
      </c>
      <c r="B6873" t="str">
        <f>T("   ZZZ_Monde")</f>
        <v xml:space="preserve">   ZZZ_Monde</v>
      </c>
      <c r="C6873">
        <v>5803206</v>
      </c>
      <c r="D6873">
        <v>6818</v>
      </c>
    </row>
    <row r="6874" spans="1:4" x14ac:dyDescent="0.25">
      <c r="A6874" t="str">
        <f>T("   CN")</f>
        <v xml:space="preserve">   CN</v>
      </c>
      <c r="B6874" t="str">
        <f>T("   Chine")</f>
        <v xml:space="preserve">   Chine</v>
      </c>
      <c r="C6874">
        <v>5803206</v>
      </c>
      <c r="D6874">
        <v>6818</v>
      </c>
    </row>
    <row r="6875" spans="1:4" x14ac:dyDescent="0.25">
      <c r="A6875" t="str">
        <f>T("590390")</f>
        <v>590390</v>
      </c>
      <c r="B6875" t="str">
        <f>T("Tissus imprégnés, enduits ou recouverts de matières plastiques autres que poly[chlorure de vinyle] ou polyuréthanne ou stratifiés avec des matières plastiques autres que poly[chlorure de vinyle] ou polyuréthanne (sauf nappes tramées pour pneumatiques obte")</f>
        <v>Tissus imprégnés, enduits ou recouverts de matières plastiques autres que poly[chlorure de vinyle] ou polyuréthanne ou stratifiés avec des matières plastiques autres que poly[chlorure de vinyle] ou polyuréthanne (sauf nappes tramées pour pneumatiques obte</v>
      </c>
    </row>
    <row r="6876" spans="1:4" x14ac:dyDescent="0.25">
      <c r="A6876" t="str">
        <f>T("   ZZZ_Monde")</f>
        <v xml:space="preserve">   ZZZ_Monde</v>
      </c>
      <c r="B6876" t="str">
        <f>T("   ZZZ_Monde")</f>
        <v xml:space="preserve">   ZZZ_Monde</v>
      </c>
      <c r="C6876">
        <v>80662656</v>
      </c>
      <c r="D6876">
        <v>86147</v>
      </c>
    </row>
    <row r="6877" spans="1:4" x14ac:dyDescent="0.25">
      <c r="A6877" t="str">
        <f>T("   CN")</f>
        <v xml:space="preserve">   CN</v>
      </c>
      <c r="B6877" t="str">
        <f>T("   Chine")</f>
        <v xml:space="preserve">   Chine</v>
      </c>
      <c r="C6877">
        <v>300000</v>
      </c>
      <c r="D6877">
        <v>225</v>
      </c>
    </row>
    <row r="6878" spans="1:4" x14ac:dyDescent="0.25">
      <c r="A6878" t="str">
        <f>T("   FR")</f>
        <v xml:space="preserve">   FR</v>
      </c>
      <c r="B6878" t="str">
        <f>T("   France")</f>
        <v xml:space="preserve">   France</v>
      </c>
      <c r="C6878">
        <v>20362656</v>
      </c>
      <c r="D6878">
        <v>16062</v>
      </c>
    </row>
    <row r="6879" spans="1:4" x14ac:dyDescent="0.25">
      <c r="A6879" t="str">
        <f>T("   TG")</f>
        <v xml:space="preserve">   TG</v>
      </c>
      <c r="B6879" t="str">
        <f>T("   Togo")</f>
        <v xml:space="preserve">   Togo</v>
      </c>
      <c r="C6879">
        <v>60000000</v>
      </c>
      <c r="D6879">
        <v>69860</v>
      </c>
    </row>
    <row r="6880" spans="1:4" x14ac:dyDescent="0.25">
      <c r="A6880" t="str">
        <f>T("590410")</f>
        <v>590410</v>
      </c>
      <c r="B6880" t="str">
        <f>T("Linoléums, même découpés")</f>
        <v>Linoléums, même découpés</v>
      </c>
    </row>
    <row r="6881" spans="1:4" x14ac:dyDescent="0.25">
      <c r="A6881" t="str">
        <f>T("   ZZZ_Monde")</f>
        <v xml:space="preserve">   ZZZ_Monde</v>
      </c>
      <c r="B6881" t="str">
        <f>T("   ZZZ_Monde")</f>
        <v xml:space="preserve">   ZZZ_Monde</v>
      </c>
      <c r="C6881">
        <v>1300000</v>
      </c>
      <c r="D6881">
        <v>10494</v>
      </c>
    </row>
    <row r="6882" spans="1:4" x14ac:dyDescent="0.25">
      <c r="A6882" t="str">
        <f>T("   Z2")</f>
        <v xml:space="preserve">   Z2</v>
      </c>
      <c r="B6882" t="str">
        <f>T("   Pays non défini")</f>
        <v xml:space="preserve">   Pays non défini</v>
      </c>
      <c r="C6882">
        <v>1300000</v>
      </c>
      <c r="D6882">
        <v>10494</v>
      </c>
    </row>
    <row r="6883" spans="1:4" x14ac:dyDescent="0.25">
      <c r="A6883" t="str">
        <f>T("590490")</f>
        <v>590490</v>
      </c>
      <c r="B6883" t="str">
        <f>T("Revêtements de sol consistant en un enduit ou un recouvrement appliqué sur un support textile, même découpés (à l'excl. des linoléums)")</f>
        <v>Revêtements de sol consistant en un enduit ou un recouvrement appliqué sur un support textile, même découpés (à l'excl. des linoléums)</v>
      </c>
    </row>
    <row r="6884" spans="1:4" x14ac:dyDescent="0.25">
      <c r="A6884" t="str">
        <f>T("   ZZZ_Monde")</f>
        <v xml:space="preserve">   ZZZ_Monde</v>
      </c>
      <c r="B6884" t="str">
        <f>T("   ZZZ_Monde")</f>
        <v xml:space="preserve">   ZZZ_Monde</v>
      </c>
      <c r="C6884">
        <v>40000</v>
      </c>
      <c r="D6884">
        <v>50</v>
      </c>
    </row>
    <row r="6885" spans="1:4" x14ac:dyDescent="0.25">
      <c r="A6885" t="str">
        <f>T("   NG")</f>
        <v xml:space="preserve">   NG</v>
      </c>
      <c r="B6885" t="str">
        <f>T("   Nigéria")</f>
        <v xml:space="preserve">   Nigéria</v>
      </c>
      <c r="C6885">
        <v>40000</v>
      </c>
      <c r="D6885">
        <v>50</v>
      </c>
    </row>
    <row r="6886" spans="1:4" x14ac:dyDescent="0.25">
      <c r="A6886" t="str">
        <f>T("590610")</f>
        <v>590610</v>
      </c>
      <c r="B6886" t="str">
        <f>T("Rubans adhésifs en tissus caoutchoutés, d'une largeur &lt;= 20 cm (à l'excl. des rubans adhésifs imprégnés ou recouverts de substances pharmaceutiques ou conditionnés pour la vente au détail à des fins médicales, chirurgicales, dentaires ou vétérinaires)")</f>
        <v>Rubans adhésifs en tissus caoutchoutés, d'une largeur &lt;= 20 cm (à l'excl. des rubans adhésifs imprégnés ou recouverts de substances pharmaceutiques ou conditionnés pour la vente au détail à des fins médicales, chirurgicales, dentaires ou vétérinaires)</v>
      </c>
    </row>
    <row r="6887" spans="1:4" x14ac:dyDescent="0.25">
      <c r="A6887" t="str">
        <f>T("   ZZZ_Monde")</f>
        <v xml:space="preserve">   ZZZ_Monde</v>
      </c>
      <c r="B6887" t="str">
        <f>T("   ZZZ_Monde")</f>
        <v xml:space="preserve">   ZZZ_Monde</v>
      </c>
      <c r="C6887">
        <v>25520547</v>
      </c>
      <c r="D6887">
        <v>20737</v>
      </c>
    </row>
    <row r="6888" spans="1:4" x14ac:dyDescent="0.25">
      <c r="A6888" t="str">
        <f>T("   CN")</f>
        <v xml:space="preserve">   CN</v>
      </c>
      <c r="B6888" t="str">
        <f>T("   Chine")</f>
        <v xml:space="preserve">   Chine</v>
      </c>
      <c r="C6888">
        <v>25520547</v>
      </c>
      <c r="D6888">
        <v>20737</v>
      </c>
    </row>
    <row r="6889" spans="1:4" x14ac:dyDescent="0.25">
      <c r="A6889" t="str">
        <f>T("590699")</f>
        <v>590699</v>
      </c>
      <c r="B6889" t="str">
        <f>T("Tissus caoutchoutés (à l'excl. des tissus de bonneterie, des rubans adhésifs d'une largeur &lt;= 20 cm et des nappes tramées pour pneumatiques obtenues à partir de fils à haute ténacité de nylon ou d'autres polyamides, de polyesters ou de rayonnne viscose)")</f>
        <v>Tissus caoutchoutés (à l'excl. des tissus de bonneterie, des rubans adhésifs d'une largeur &lt;= 20 cm et des nappes tramées pour pneumatiques obtenues à partir de fils à haute ténacité de nylon ou d'autres polyamides, de polyesters ou de rayonnne viscose)</v>
      </c>
    </row>
    <row r="6890" spans="1:4" x14ac:dyDescent="0.25">
      <c r="A6890" t="str">
        <f>T("   ZZZ_Monde")</f>
        <v xml:space="preserve">   ZZZ_Monde</v>
      </c>
      <c r="B6890" t="str">
        <f>T("   ZZZ_Monde")</f>
        <v xml:space="preserve">   ZZZ_Monde</v>
      </c>
      <c r="C6890">
        <v>16676179</v>
      </c>
      <c r="D6890">
        <v>27755</v>
      </c>
    </row>
    <row r="6891" spans="1:4" x14ac:dyDescent="0.25">
      <c r="A6891" t="str">
        <f>T("   CN")</f>
        <v xml:space="preserve">   CN</v>
      </c>
      <c r="B6891" t="str">
        <f>T("   Chine")</f>
        <v xml:space="preserve">   Chine</v>
      </c>
      <c r="C6891">
        <v>16676179</v>
      </c>
      <c r="D6891">
        <v>27755</v>
      </c>
    </row>
    <row r="6892" spans="1:4" x14ac:dyDescent="0.25">
      <c r="A6892" t="str">
        <f>T("590700")</f>
        <v>590700</v>
      </c>
      <c r="B6892" t="str">
        <f>T("Tissus imprégnés, enduits ou recouverts, n.d.a.; toiles peintes pour décors de théâtres, fonds d'atelier ou usages analogues")</f>
        <v>Tissus imprégnés, enduits ou recouverts, n.d.a.; toiles peintes pour décors de théâtres, fonds d'atelier ou usages analogues</v>
      </c>
    </row>
    <row r="6893" spans="1:4" x14ac:dyDescent="0.25">
      <c r="A6893" t="str">
        <f>T("   ZZZ_Monde")</f>
        <v xml:space="preserve">   ZZZ_Monde</v>
      </c>
      <c r="B6893" t="str">
        <f>T("   ZZZ_Monde")</f>
        <v xml:space="preserve">   ZZZ_Monde</v>
      </c>
      <c r="C6893">
        <v>40869205</v>
      </c>
      <c r="D6893">
        <v>38313</v>
      </c>
    </row>
    <row r="6894" spans="1:4" x14ac:dyDescent="0.25">
      <c r="A6894" t="str">
        <f>T("   CN")</f>
        <v xml:space="preserve">   CN</v>
      </c>
      <c r="B6894" t="str">
        <f>T("   Chine")</f>
        <v xml:space="preserve">   Chine</v>
      </c>
      <c r="C6894">
        <v>40001096</v>
      </c>
      <c r="D6894">
        <v>38200</v>
      </c>
    </row>
    <row r="6895" spans="1:4" x14ac:dyDescent="0.25">
      <c r="A6895" t="str">
        <f>T("   FR")</f>
        <v xml:space="preserve">   FR</v>
      </c>
      <c r="B6895" t="str">
        <f>T("   France")</f>
        <v xml:space="preserve">   France</v>
      </c>
      <c r="C6895">
        <v>868109</v>
      </c>
      <c r="D6895">
        <v>113</v>
      </c>
    </row>
    <row r="6896" spans="1:4" x14ac:dyDescent="0.25">
      <c r="A6896" t="str">
        <f>T("590800")</f>
        <v>590800</v>
      </c>
      <c r="B6896" t="str">
        <f>T("Mèches tissées, tressées ou tricotées, en matières textiles, pour lampes, réchauds, briquets, bougies ou simil.; manchons à incandescence et étoffes tubulaires tricotées servant à leur fabrication, même imprégnés (à l'excl. des mèches recouvertes de cires")</f>
        <v>Mèches tissées, tressées ou tricotées, en matières textiles, pour lampes, réchauds, briquets, bougies ou simil.; manchons à incandescence et étoffes tubulaires tricotées servant à leur fabrication, même imprégnés (à l'excl. des mèches recouvertes de cires</v>
      </c>
    </row>
    <row r="6897" spans="1:4" x14ac:dyDescent="0.25">
      <c r="A6897" t="str">
        <f>T("   ZZZ_Monde")</f>
        <v xml:space="preserve">   ZZZ_Monde</v>
      </c>
      <c r="B6897" t="str">
        <f>T("   ZZZ_Monde")</f>
        <v xml:space="preserve">   ZZZ_Monde</v>
      </c>
      <c r="C6897">
        <v>46875</v>
      </c>
      <c r="D6897">
        <v>75</v>
      </c>
    </row>
    <row r="6898" spans="1:4" x14ac:dyDescent="0.25">
      <c r="A6898" t="str">
        <f>T("   NG")</f>
        <v xml:space="preserve">   NG</v>
      </c>
      <c r="B6898" t="str">
        <f>T("   Nigéria")</f>
        <v xml:space="preserve">   Nigéria</v>
      </c>
      <c r="C6898">
        <v>46875</v>
      </c>
      <c r="D6898">
        <v>75</v>
      </c>
    </row>
    <row r="6899" spans="1:4" x14ac:dyDescent="0.25">
      <c r="A6899" t="str">
        <f>T("590900")</f>
        <v>590900</v>
      </c>
      <c r="B6899" t="str">
        <f>T("Tuyaux pour pompes et tuyaux simil., en matières textiles, même imprégnés ou enduits, même avec armatures ou accessoires en autres matières")</f>
        <v>Tuyaux pour pompes et tuyaux simil., en matières textiles, même imprégnés ou enduits, même avec armatures ou accessoires en autres matières</v>
      </c>
    </row>
    <row r="6900" spans="1:4" x14ac:dyDescent="0.25">
      <c r="A6900" t="str">
        <f>T("   ZZZ_Monde")</f>
        <v xml:space="preserve">   ZZZ_Monde</v>
      </c>
      <c r="B6900" t="str">
        <f>T("   ZZZ_Monde")</f>
        <v xml:space="preserve">   ZZZ_Monde</v>
      </c>
      <c r="C6900">
        <v>640217</v>
      </c>
      <c r="D6900">
        <v>197</v>
      </c>
    </row>
    <row r="6901" spans="1:4" x14ac:dyDescent="0.25">
      <c r="A6901" t="str">
        <f>T("   DE")</f>
        <v xml:space="preserve">   DE</v>
      </c>
      <c r="B6901" t="str">
        <f>T("   Allemagne")</f>
        <v xml:space="preserve">   Allemagne</v>
      </c>
      <c r="C6901">
        <v>45261</v>
      </c>
      <c r="D6901">
        <v>3</v>
      </c>
    </row>
    <row r="6902" spans="1:4" x14ac:dyDescent="0.25">
      <c r="A6902" t="str">
        <f>T("   FR")</f>
        <v xml:space="preserve">   FR</v>
      </c>
      <c r="B6902" t="str">
        <f>T("   France")</f>
        <v xml:space="preserve">   France</v>
      </c>
      <c r="C6902">
        <v>594956</v>
      </c>
      <c r="D6902">
        <v>194</v>
      </c>
    </row>
    <row r="6903" spans="1:4" x14ac:dyDescent="0.25">
      <c r="A6903" t="str">
        <f>T("591000")</f>
        <v>591000</v>
      </c>
      <c r="B6903" t="str">
        <f>T("Courroies transporteuses ou de transmission en matières textiles, même imprégnées, enduites, recouvertes de matière plastique ou stratifiées avec de la matière plastique ou renforcées de métal ou d'autres matières (sauf produits d'une épaisseur &lt; 3 mm, pr")</f>
        <v>Courroies transporteuses ou de transmission en matières textiles, même imprégnées, enduites, recouvertes de matière plastique ou stratifiées avec de la matière plastique ou renforcées de métal ou d'autres matières (sauf produits d'une épaisseur &lt; 3 mm, pr</v>
      </c>
    </row>
    <row r="6904" spans="1:4" x14ac:dyDescent="0.25">
      <c r="A6904" t="str">
        <f>T("   ZZZ_Monde")</f>
        <v xml:space="preserve">   ZZZ_Monde</v>
      </c>
      <c r="B6904" t="str">
        <f>T("   ZZZ_Monde")</f>
        <v xml:space="preserve">   ZZZ_Monde</v>
      </c>
      <c r="C6904">
        <v>788052</v>
      </c>
      <c r="D6904">
        <v>225</v>
      </c>
    </row>
    <row r="6905" spans="1:4" x14ac:dyDescent="0.25">
      <c r="A6905" t="str">
        <f>T("   US")</f>
        <v xml:space="preserve">   US</v>
      </c>
      <c r="B6905" t="str">
        <f>T("   Etats-Unis")</f>
        <v xml:space="preserve">   Etats-Unis</v>
      </c>
      <c r="C6905">
        <v>788052</v>
      </c>
      <c r="D6905">
        <v>225</v>
      </c>
    </row>
    <row r="6906" spans="1:4" x14ac:dyDescent="0.25">
      <c r="A6906" t="str">
        <f>T("591110")</f>
        <v>591110</v>
      </c>
      <c r="B6906" t="str">
        <f>T("TISSUS, FEUTRES ET TISSUS DOUBLÉS DE FEUTRE, COMBINÉS AVEC UNE OU PLUSIEURS COUCHES DE CAOUTCHOUC, DE CUIR OU D'AUTRES MATIÈRES, DES TYPES UTILISÉS POUR LA FABRICATION DE GARNITURES DE CARDÉS, ET PRODUITS ANALOGUES POUR D'AUTRES USAGES TECHNIQUES, Y.C. LE")</f>
        <v>TISSUS, FEUTRES ET TISSUS DOUBLÉS DE FEUTRE, COMBINÉS AVEC UNE OU PLUSIEURS COUCHES DE CAOUTCHOUC, DE CUIR OU D'AUTRES MATIÈRES, DES TYPES UTILISÉS POUR LA FABRICATION DE GARNITURES DE CARDÉS, ET PRODUITS ANALOGUES POUR D'AUTRES USAGES TECHNIQUES, Y.C. LE</v>
      </c>
    </row>
    <row r="6907" spans="1:4" x14ac:dyDescent="0.25">
      <c r="A6907" t="str">
        <f>T("   ZZZ_Monde")</f>
        <v xml:space="preserve">   ZZZ_Monde</v>
      </c>
      <c r="B6907" t="str">
        <f>T("   ZZZ_Monde")</f>
        <v xml:space="preserve">   ZZZ_Monde</v>
      </c>
      <c r="C6907">
        <v>7167675</v>
      </c>
      <c r="D6907">
        <v>8500</v>
      </c>
    </row>
    <row r="6908" spans="1:4" x14ac:dyDescent="0.25">
      <c r="A6908" t="str">
        <f>T("   FR")</f>
        <v xml:space="preserve">   FR</v>
      </c>
      <c r="B6908" t="str">
        <f>T("   France")</f>
        <v xml:space="preserve">   France</v>
      </c>
      <c r="C6908">
        <v>7167675</v>
      </c>
      <c r="D6908">
        <v>8500</v>
      </c>
    </row>
    <row r="6909" spans="1:4" x14ac:dyDescent="0.25">
      <c r="A6909" t="str">
        <f>T("591132")</f>
        <v>591132</v>
      </c>
      <c r="B6909" t="str">
        <f>T("TISSUS ET FEUTRES SANS FIN OU MUNIS DE MOYENS DE JONCTION, DES TYPES UTILISÉS SUR LES MACHINES À PAPIER OU SUR DES MACHINES SIMIL. [À PÂTE, À AMIANTE-CIMENT, P.EX.], D'UN POIDS &gt;= 650 G/M²")</f>
        <v>TISSUS ET FEUTRES SANS FIN OU MUNIS DE MOYENS DE JONCTION, DES TYPES UTILISÉS SUR LES MACHINES À PAPIER OU SUR DES MACHINES SIMIL. [À PÂTE, À AMIANTE-CIMENT, P.EX.], D'UN POIDS &gt;= 650 G/M²</v>
      </c>
    </row>
    <row r="6910" spans="1:4" x14ac:dyDescent="0.25">
      <c r="A6910" t="str">
        <f>T("   ZZZ_Monde")</f>
        <v xml:space="preserve">   ZZZ_Monde</v>
      </c>
      <c r="B6910" t="str">
        <f>T("   ZZZ_Monde")</f>
        <v xml:space="preserve">   ZZZ_Monde</v>
      </c>
      <c r="C6910">
        <v>46688864</v>
      </c>
      <c r="D6910">
        <v>1739</v>
      </c>
    </row>
    <row r="6911" spans="1:4" x14ac:dyDescent="0.25">
      <c r="A6911" t="str">
        <f>T("   AT")</f>
        <v xml:space="preserve">   AT</v>
      </c>
      <c r="B6911" t="str">
        <f>T("   Autriche")</f>
        <v xml:space="preserve">   Autriche</v>
      </c>
      <c r="C6911">
        <v>42804821</v>
      </c>
      <c r="D6911">
        <v>1432</v>
      </c>
    </row>
    <row r="6912" spans="1:4" x14ac:dyDescent="0.25">
      <c r="A6912" t="str">
        <f>T("   FR")</f>
        <v xml:space="preserve">   FR</v>
      </c>
      <c r="B6912" t="str">
        <f>T("   France")</f>
        <v xml:space="preserve">   France</v>
      </c>
      <c r="C6912">
        <v>3884043</v>
      </c>
      <c r="D6912">
        <v>307</v>
      </c>
    </row>
    <row r="6913" spans="1:4" x14ac:dyDescent="0.25">
      <c r="A6913" t="str">
        <f>T("591140")</f>
        <v>591140</v>
      </c>
      <c r="B6913" t="str">
        <f>T("Etreindelles et tissus épais des types utilisés sur des presses d'huilerie ou pour des usages techniques analogues, y.c. ceux en cheveux")</f>
        <v>Etreindelles et tissus épais des types utilisés sur des presses d'huilerie ou pour des usages techniques analogues, y.c. ceux en cheveux</v>
      </c>
    </row>
    <row r="6914" spans="1:4" x14ac:dyDescent="0.25">
      <c r="A6914" t="str">
        <f>T("   ZZZ_Monde")</f>
        <v xml:space="preserve">   ZZZ_Monde</v>
      </c>
      <c r="B6914" t="str">
        <f>T("   ZZZ_Monde")</f>
        <v xml:space="preserve">   ZZZ_Monde</v>
      </c>
      <c r="C6914">
        <v>3513977</v>
      </c>
      <c r="D6914">
        <v>110</v>
      </c>
    </row>
    <row r="6915" spans="1:4" x14ac:dyDescent="0.25">
      <c r="A6915" t="str">
        <f>T("   FR")</f>
        <v xml:space="preserve">   FR</v>
      </c>
      <c r="B6915" t="str">
        <f>T("   France")</f>
        <v xml:space="preserve">   France</v>
      </c>
      <c r="C6915">
        <v>3513977</v>
      </c>
      <c r="D6915">
        <v>110</v>
      </c>
    </row>
    <row r="6916" spans="1:4" x14ac:dyDescent="0.25">
      <c r="A6916" t="str">
        <f>T("591190")</f>
        <v>591190</v>
      </c>
      <c r="B6916" t="str">
        <f>T("Produits et articles textiles pour usages techniques, en matières textiles, visés à la note 7 du présent chapitre, n.d.a.")</f>
        <v>Produits et articles textiles pour usages techniques, en matières textiles, visés à la note 7 du présent chapitre, n.d.a.</v>
      </c>
    </row>
    <row r="6917" spans="1:4" x14ac:dyDescent="0.25">
      <c r="A6917" t="str">
        <f>T("   ZZZ_Monde")</f>
        <v xml:space="preserve">   ZZZ_Monde</v>
      </c>
      <c r="B6917" t="str">
        <f>T("   ZZZ_Monde")</f>
        <v xml:space="preserve">   ZZZ_Monde</v>
      </c>
      <c r="C6917">
        <v>23199470</v>
      </c>
      <c r="D6917">
        <v>1667</v>
      </c>
    </row>
    <row r="6918" spans="1:4" x14ac:dyDescent="0.25">
      <c r="A6918" t="str">
        <f>T("   DE")</f>
        <v xml:space="preserve">   DE</v>
      </c>
      <c r="B6918" t="str">
        <f>T("   Allemagne")</f>
        <v xml:space="preserve">   Allemagne</v>
      </c>
      <c r="C6918">
        <v>1181384</v>
      </c>
      <c r="D6918">
        <v>319</v>
      </c>
    </row>
    <row r="6919" spans="1:4" x14ac:dyDescent="0.25">
      <c r="A6919" t="str">
        <f>T("   DK")</f>
        <v xml:space="preserve">   DK</v>
      </c>
      <c r="B6919" t="str">
        <f>T("   Danemark")</f>
        <v xml:space="preserve">   Danemark</v>
      </c>
      <c r="C6919">
        <v>5741618</v>
      </c>
      <c r="D6919">
        <v>191</v>
      </c>
    </row>
    <row r="6920" spans="1:4" x14ac:dyDescent="0.25">
      <c r="A6920" t="str">
        <f>T("   FR")</f>
        <v xml:space="preserve">   FR</v>
      </c>
      <c r="B6920" t="str">
        <f>T("   France")</f>
        <v xml:space="preserve">   France</v>
      </c>
      <c r="C6920">
        <v>14860119</v>
      </c>
      <c r="D6920">
        <v>1012</v>
      </c>
    </row>
    <row r="6921" spans="1:4" x14ac:dyDescent="0.25">
      <c r="A6921" t="str">
        <f>T("   NO")</f>
        <v xml:space="preserve">   NO</v>
      </c>
      <c r="B6921" t="str">
        <f>T("   Norvège")</f>
        <v xml:space="preserve">   Norvège</v>
      </c>
      <c r="C6921">
        <v>1416349</v>
      </c>
      <c r="D6921">
        <v>145</v>
      </c>
    </row>
    <row r="6922" spans="1:4" x14ac:dyDescent="0.25">
      <c r="A6922" t="str">
        <f>T("600192")</f>
        <v>600192</v>
      </c>
      <c r="B6922" t="str">
        <f>T("VELOURS ET PELUCHES, EN BONNETERIE, DE FIBRES SYNTHÉTIQUES OU ARTIFICIELLES (À L'EXCL. DES ÉTOFFES DITES 'À LONGS POILS')")</f>
        <v>VELOURS ET PELUCHES, EN BONNETERIE, DE FIBRES SYNTHÉTIQUES OU ARTIFICIELLES (À L'EXCL. DES ÉTOFFES DITES 'À LONGS POILS')</v>
      </c>
    </row>
    <row r="6923" spans="1:4" x14ac:dyDescent="0.25">
      <c r="A6923" t="str">
        <f>T("   ZZZ_Monde")</f>
        <v xml:space="preserve">   ZZZ_Monde</v>
      </c>
      <c r="B6923" t="str">
        <f>T("   ZZZ_Monde")</f>
        <v xml:space="preserve">   ZZZ_Monde</v>
      </c>
      <c r="C6923">
        <v>400000</v>
      </c>
      <c r="D6923">
        <v>950</v>
      </c>
    </row>
    <row r="6924" spans="1:4" x14ac:dyDescent="0.25">
      <c r="A6924" t="str">
        <f>T("   TG")</f>
        <v xml:space="preserve">   TG</v>
      </c>
      <c r="B6924" t="str">
        <f>T("   Togo")</f>
        <v xml:space="preserve">   Togo</v>
      </c>
      <c r="C6924">
        <v>400000</v>
      </c>
      <c r="D6924">
        <v>950</v>
      </c>
    </row>
    <row r="6925" spans="1:4" x14ac:dyDescent="0.25">
      <c r="A6925" t="str">
        <f>T("600240")</f>
        <v>600240</v>
      </c>
      <c r="B6925" t="str">
        <f>T("ETOFFES DE BONNETERIE D'UNE LARGEUR &lt;= 30 CM, TENEUR EN FILS D'ÉLASTOMÈRES &gt;= 5% EN POIDS (SANS FILS DE CAOUTCHOUC ET À L'EXCL. DES VELOURS, PELUCHES, Y.C. LES ÉTOFFES DITES 'À LONGS POILS', ÉTOFFES À BOUCLES EN BONNETERIE, ÉTIQUETTES, ÉCUSSONS ET ARTICLE")</f>
        <v>ETOFFES DE BONNETERIE D'UNE LARGEUR &lt;= 30 CM, TENEUR EN FILS D'ÉLASTOMÈRES &gt;= 5% EN POIDS (SANS FILS DE CAOUTCHOUC ET À L'EXCL. DES VELOURS, PELUCHES, Y.C. LES ÉTOFFES DITES 'À LONGS POILS', ÉTOFFES À BOUCLES EN BONNETERIE, ÉTIQUETTES, ÉCUSSONS ET ARTICLE</v>
      </c>
    </row>
    <row r="6926" spans="1:4" x14ac:dyDescent="0.25">
      <c r="A6926" t="str">
        <f>T("   ZZZ_Monde")</f>
        <v xml:space="preserve">   ZZZ_Monde</v>
      </c>
      <c r="B6926" t="str">
        <f>T("   ZZZ_Monde")</f>
        <v xml:space="preserve">   ZZZ_Monde</v>
      </c>
      <c r="C6926">
        <v>536393</v>
      </c>
      <c r="D6926">
        <v>436</v>
      </c>
    </row>
    <row r="6927" spans="1:4" x14ac:dyDescent="0.25">
      <c r="A6927" t="str">
        <f>T("   CN")</f>
        <v xml:space="preserve">   CN</v>
      </c>
      <c r="B6927" t="str">
        <f>T("   Chine")</f>
        <v xml:space="preserve">   Chine</v>
      </c>
      <c r="C6927">
        <v>536393</v>
      </c>
      <c r="D6927">
        <v>436</v>
      </c>
    </row>
    <row r="6928" spans="1:4" x14ac:dyDescent="0.25">
      <c r="A6928" t="str">
        <f>T("600290")</f>
        <v>600290</v>
      </c>
      <c r="B6928" t="str">
        <f>T("ETOFFES DE BONNETERIE D'UNE LARGEUR &lt;= 30 CM, À TENEUR EN FILS D'ÉLASTOMÈRES ET DE CAOUTCHOUC OU UNIQUEMENT DE CAOUTCHOUC &gt;= 5% EN POIDS (À L'EXCL. DES VELOURS, PELUCHES, Y.C. LES ÉTOFFES DITES 'À LONGS POILS', ÉTOFFES À BOUCLES EN BONNETERIE, ÉTIQUETTES,")</f>
        <v>ETOFFES DE BONNETERIE D'UNE LARGEUR &lt;= 30 CM, À TENEUR EN FILS D'ÉLASTOMÈRES ET DE CAOUTCHOUC OU UNIQUEMENT DE CAOUTCHOUC &gt;= 5% EN POIDS (À L'EXCL. DES VELOURS, PELUCHES, Y.C. LES ÉTOFFES DITES 'À LONGS POILS', ÉTOFFES À BOUCLES EN BONNETERIE, ÉTIQUETTES,</v>
      </c>
    </row>
    <row r="6929" spans="1:4" x14ac:dyDescent="0.25">
      <c r="A6929" t="str">
        <f>T("   ZZZ_Monde")</f>
        <v xml:space="preserve">   ZZZ_Monde</v>
      </c>
      <c r="B6929" t="str">
        <f>T("   ZZZ_Monde")</f>
        <v xml:space="preserve">   ZZZ_Monde</v>
      </c>
      <c r="C6929">
        <v>2512000</v>
      </c>
      <c r="D6929">
        <v>6965</v>
      </c>
    </row>
    <row r="6930" spans="1:4" x14ac:dyDescent="0.25">
      <c r="A6930" t="str">
        <f>T("   IT")</f>
        <v xml:space="preserve">   IT</v>
      </c>
      <c r="B6930" t="str">
        <f>T("   Italie")</f>
        <v xml:space="preserve">   Italie</v>
      </c>
      <c r="C6930">
        <v>2512000</v>
      </c>
      <c r="D6930">
        <v>6965</v>
      </c>
    </row>
    <row r="6931" spans="1:4" x14ac:dyDescent="0.25">
      <c r="A6931" t="str">
        <f>T("610190")</f>
        <v>610190</v>
      </c>
      <c r="B6931" t="str">
        <f>T("MANTEAUX, CABANS, CAPES, ANORAKS, BLOUSONS ET ARTICLES SIMIL., EN BONNETERIE, DE MATIÈRES TEXTILES, POUR HOMMES ET GARÇONNETS (SAUF DE COTON, FIBRES SYNTHÉTIQUES OU ARTIFICIELLES ET SAUF COSTUMES OU COMPLETS, ENSEMBLES, VESTES, VESTONS, BLAZERS ET PANTALO")</f>
        <v>MANTEAUX, CABANS, CAPES, ANORAKS, BLOUSONS ET ARTICLES SIMIL., EN BONNETERIE, DE MATIÈRES TEXTILES, POUR HOMMES ET GARÇONNETS (SAUF DE COTON, FIBRES SYNTHÉTIQUES OU ARTIFICIELLES ET SAUF COSTUMES OU COMPLETS, ENSEMBLES, VESTES, VESTONS, BLAZERS ET PANTALO</v>
      </c>
    </row>
    <row r="6932" spans="1:4" x14ac:dyDescent="0.25">
      <c r="A6932" t="str">
        <f>T("   ZZZ_Monde")</f>
        <v xml:space="preserve">   ZZZ_Monde</v>
      </c>
      <c r="B6932" t="str">
        <f>T("   ZZZ_Monde")</f>
        <v xml:space="preserve">   ZZZ_Monde</v>
      </c>
      <c r="C6932">
        <v>2364996</v>
      </c>
      <c r="D6932">
        <v>16270</v>
      </c>
    </row>
    <row r="6933" spans="1:4" x14ac:dyDescent="0.25">
      <c r="A6933" t="str">
        <f>T("   NO")</f>
        <v xml:space="preserve">   NO</v>
      </c>
      <c r="B6933" t="str">
        <f>T("   Norvège")</f>
        <v xml:space="preserve">   Norvège</v>
      </c>
      <c r="C6933">
        <v>700000</v>
      </c>
      <c r="D6933">
        <v>80</v>
      </c>
    </row>
    <row r="6934" spans="1:4" x14ac:dyDescent="0.25">
      <c r="A6934" t="str">
        <f>T("   SA")</f>
        <v xml:space="preserve">   SA</v>
      </c>
      <c r="B6934" t="str">
        <f>T("   Arabie Saoudite")</f>
        <v xml:space="preserve">   Arabie Saoudite</v>
      </c>
      <c r="C6934">
        <v>1533920</v>
      </c>
      <c r="D6934">
        <v>15000</v>
      </c>
    </row>
    <row r="6935" spans="1:4" x14ac:dyDescent="0.25">
      <c r="A6935" t="str">
        <f>T("   TG")</f>
        <v xml:space="preserve">   TG</v>
      </c>
      <c r="B6935" t="str">
        <f>T("   Togo")</f>
        <v xml:space="preserve">   Togo</v>
      </c>
      <c r="C6935">
        <v>131076</v>
      </c>
      <c r="D6935">
        <v>1190</v>
      </c>
    </row>
    <row r="6936" spans="1:4" x14ac:dyDescent="0.25">
      <c r="A6936" t="str">
        <f>T("610319")</f>
        <v>610319</v>
      </c>
      <c r="B6936" t="str">
        <f>T("Costumes ou complets en bonneterie, de matières textiles, pour hommes ou garçonnets (sauf de laine, poils fins ou fibres synthétiques et sauf survêtements de sport 'trainings', combinaisons et ensembles de ski, maillots, culottes et slips de bain)")</f>
        <v>Costumes ou complets en bonneterie, de matières textiles, pour hommes ou garçonnets (sauf de laine, poils fins ou fibres synthétiques et sauf survêtements de sport 'trainings', combinaisons et ensembles de ski, maillots, culottes et slips de bain)</v>
      </c>
    </row>
    <row r="6937" spans="1:4" x14ac:dyDescent="0.25">
      <c r="A6937" t="str">
        <f>T("   ZZZ_Monde")</f>
        <v xml:space="preserve">   ZZZ_Monde</v>
      </c>
      <c r="B6937" t="str">
        <f>T("   ZZZ_Monde")</f>
        <v xml:space="preserve">   ZZZ_Monde</v>
      </c>
      <c r="C6937">
        <v>2912553</v>
      </c>
      <c r="D6937">
        <v>6200</v>
      </c>
    </row>
    <row r="6938" spans="1:4" x14ac:dyDescent="0.25">
      <c r="A6938" t="str">
        <f>T("   AE")</f>
        <v xml:space="preserve">   AE</v>
      </c>
      <c r="B6938" t="str">
        <f>T("   Emirats Arabes Unis")</f>
        <v xml:space="preserve">   Emirats Arabes Unis</v>
      </c>
      <c r="C6938">
        <v>1590004</v>
      </c>
      <c r="D6938">
        <v>4200</v>
      </c>
    </row>
    <row r="6939" spans="1:4" x14ac:dyDescent="0.25">
      <c r="A6939" t="str">
        <f>T("   CN")</f>
        <v xml:space="preserve">   CN</v>
      </c>
      <c r="B6939" t="str">
        <f>T("   Chine")</f>
        <v xml:space="preserve">   Chine</v>
      </c>
      <c r="C6939">
        <v>1322549</v>
      </c>
      <c r="D6939">
        <v>2000</v>
      </c>
    </row>
    <row r="6940" spans="1:4" x14ac:dyDescent="0.25">
      <c r="A6940" t="str">
        <f>T("610322")</f>
        <v>610322</v>
      </c>
      <c r="B6940" t="str">
        <f>T("Ensembles en bonneterie, de coton, pour hommes ou garçonnets (sauf ensembles de ski, maillots, culottes et slips de bain)")</f>
        <v>Ensembles en bonneterie, de coton, pour hommes ou garçonnets (sauf ensembles de ski, maillots, culottes et slips de bain)</v>
      </c>
    </row>
    <row r="6941" spans="1:4" x14ac:dyDescent="0.25">
      <c r="A6941" t="str">
        <f>T("   ZZZ_Monde")</f>
        <v xml:space="preserve">   ZZZ_Monde</v>
      </c>
      <c r="B6941" t="str">
        <f>T("   ZZZ_Monde")</f>
        <v xml:space="preserve">   ZZZ_Monde</v>
      </c>
      <c r="C6941">
        <v>4459068</v>
      </c>
      <c r="D6941">
        <v>1052</v>
      </c>
    </row>
    <row r="6942" spans="1:4" x14ac:dyDescent="0.25">
      <c r="A6942" t="str">
        <f>T("   BE")</f>
        <v xml:space="preserve">   BE</v>
      </c>
      <c r="B6942" t="str">
        <f>T("   Belgique")</f>
        <v xml:space="preserve">   Belgique</v>
      </c>
      <c r="C6942">
        <v>4257181</v>
      </c>
      <c r="D6942">
        <v>248</v>
      </c>
    </row>
    <row r="6943" spans="1:4" x14ac:dyDescent="0.25">
      <c r="A6943" t="str">
        <f>T("   CN")</f>
        <v xml:space="preserve">   CN</v>
      </c>
      <c r="B6943" t="str">
        <f>T("   Chine")</f>
        <v xml:space="preserve">   Chine</v>
      </c>
      <c r="C6943">
        <v>201887</v>
      </c>
      <c r="D6943">
        <v>804</v>
      </c>
    </row>
    <row r="6944" spans="1:4" x14ac:dyDescent="0.25">
      <c r="A6944" t="str">
        <f>T("610329")</f>
        <v>610329</v>
      </c>
      <c r="B6944" t="str">
        <f>T("Ensembles en bonneterie, de matières textiles, pour hommes et garçonnets (sauf de laine, poils fins, coton, fibres synthétiques et sauf ensembles de ski, maillots, culottes et slips de bain)")</f>
        <v>Ensembles en bonneterie, de matières textiles, pour hommes et garçonnets (sauf de laine, poils fins, coton, fibres synthétiques et sauf ensembles de ski, maillots, culottes et slips de bain)</v>
      </c>
    </row>
    <row r="6945" spans="1:4" x14ac:dyDescent="0.25">
      <c r="A6945" t="str">
        <f>T("   ZZZ_Monde")</f>
        <v xml:space="preserve">   ZZZ_Monde</v>
      </c>
      <c r="B6945" t="str">
        <f>T("   ZZZ_Monde")</f>
        <v xml:space="preserve">   ZZZ_Monde</v>
      </c>
      <c r="C6945">
        <v>807974</v>
      </c>
      <c r="D6945">
        <v>1580</v>
      </c>
    </row>
    <row r="6946" spans="1:4" x14ac:dyDescent="0.25">
      <c r="A6946" t="str">
        <f>T("   FR")</f>
        <v xml:space="preserve">   FR</v>
      </c>
      <c r="B6946" t="str">
        <f>T("   France")</f>
        <v xml:space="preserve">   France</v>
      </c>
      <c r="C6946">
        <v>107268</v>
      </c>
      <c r="D6946">
        <v>100</v>
      </c>
    </row>
    <row r="6947" spans="1:4" x14ac:dyDescent="0.25">
      <c r="A6947" t="str">
        <f>T("   US")</f>
        <v xml:space="preserve">   US</v>
      </c>
      <c r="B6947" t="str">
        <f>T("   Etats-Unis")</f>
        <v xml:space="preserve">   Etats-Unis</v>
      </c>
      <c r="C6947">
        <v>700706</v>
      </c>
      <c r="D6947">
        <v>1480</v>
      </c>
    </row>
    <row r="6948" spans="1:4" x14ac:dyDescent="0.25">
      <c r="A6948" t="str">
        <f>T("610342")</f>
        <v>610342</v>
      </c>
      <c r="B6948" t="str">
        <f>T("PANTALONS, Y.C. KNICKERS ET PANTALONS SIMIL., SALOPETTES À BRETELLES, CULOTTES ET SHORTS, EN BONNETERIE, DE COTON, POUR HOMMES OU GARÇONNETS (SAUF CALETHONS ET SLIPS DE BAIN)")</f>
        <v>PANTALONS, Y.C. KNICKERS ET PANTALONS SIMIL., SALOPETTES À BRETELLES, CULOTTES ET SHORTS, EN BONNETERIE, DE COTON, POUR HOMMES OU GARÇONNETS (SAUF CALETHONS ET SLIPS DE BAIN)</v>
      </c>
    </row>
    <row r="6949" spans="1:4" x14ac:dyDescent="0.25">
      <c r="A6949" t="str">
        <f>T("   ZZZ_Monde")</f>
        <v xml:space="preserve">   ZZZ_Monde</v>
      </c>
      <c r="B6949" t="str">
        <f>T("   ZZZ_Monde")</f>
        <v xml:space="preserve">   ZZZ_Monde</v>
      </c>
      <c r="C6949">
        <v>9313977</v>
      </c>
      <c r="D6949">
        <v>12156</v>
      </c>
    </row>
    <row r="6950" spans="1:4" x14ac:dyDescent="0.25">
      <c r="A6950" t="str">
        <f>T("   CN")</f>
        <v xml:space="preserve">   CN</v>
      </c>
      <c r="B6950" t="str">
        <f>T("   Chine")</f>
        <v xml:space="preserve">   Chine</v>
      </c>
      <c r="C6950">
        <v>6553040</v>
      </c>
      <c r="D6950">
        <v>12000</v>
      </c>
    </row>
    <row r="6951" spans="1:4" x14ac:dyDescent="0.25">
      <c r="A6951" t="str">
        <f>T("   FR")</f>
        <v xml:space="preserve">   FR</v>
      </c>
      <c r="B6951" t="str">
        <f>T("   France")</f>
        <v xml:space="preserve">   France</v>
      </c>
      <c r="C6951">
        <v>2760937</v>
      </c>
      <c r="D6951">
        <v>156</v>
      </c>
    </row>
    <row r="6952" spans="1:4" x14ac:dyDescent="0.25">
      <c r="A6952" t="str">
        <f>T("610349")</f>
        <v>610349</v>
      </c>
      <c r="B6952" t="str">
        <f>T("PANTALONS, Y.C. KNICKERS ET PANTALONS SIMIL., SALOPETTES À BRETELLES, CULOTTES ET SHORTS, EN BONNETERIE, DE MATIÈRES TEXTILES, POUR HOMMES OU GARÇONNETS (SAUF DE LAINE, POILS FINS, COTON OU FIBRES SYNTHÉTIQUES ET SAUF CALETHONS ET SLIPS DE BAIN)")</f>
        <v>PANTALONS, Y.C. KNICKERS ET PANTALONS SIMIL., SALOPETTES À BRETELLES, CULOTTES ET SHORTS, EN BONNETERIE, DE MATIÈRES TEXTILES, POUR HOMMES OU GARÇONNETS (SAUF DE LAINE, POILS FINS, COTON OU FIBRES SYNTHÉTIQUES ET SAUF CALETHONS ET SLIPS DE BAIN)</v>
      </c>
    </row>
    <row r="6953" spans="1:4" x14ac:dyDescent="0.25">
      <c r="A6953" t="str">
        <f>T("   ZZZ_Monde")</f>
        <v xml:space="preserve">   ZZZ_Monde</v>
      </c>
      <c r="B6953" t="str">
        <f>T("   ZZZ_Monde")</f>
        <v xml:space="preserve">   ZZZ_Monde</v>
      </c>
      <c r="C6953">
        <v>47638078</v>
      </c>
      <c r="D6953">
        <v>84327</v>
      </c>
    </row>
    <row r="6954" spans="1:4" x14ac:dyDescent="0.25">
      <c r="A6954" t="str">
        <f>T("   CN")</f>
        <v xml:space="preserve">   CN</v>
      </c>
      <c r="B6954" t="str">
        <f>T("   Chine")</f>
        <v xml:space="preserve">   Chine</v>
      </c>
      <c r="C6954">
        <v>45882642</v>
      </c>
      <c r="D6954">
        <v>84000</v>
      </c>
    </row>
    <row r="6955" spans="1:4" x14ac:dyDescent="0.25">
      <c r="A6955" t="str">
        <f>T("   FR")</f>
        <v xml:space="preserve">   FR</v>
      </c>
      <c r="B6955" t="str">
        <f>T("   France")</f>
        <v xml:space="preserve">   France</v>
      </c>
      <c r="C6955">
        <v>1418186</v>
      </c>
      <c r="D6955">
        <v>273</v>
      </c>
    </row>
    <row r="6956" spans="1:4" x14ac:dyDescent="0.25">
      <c r="A6956" t="str">
        <f>T("   MA")</f>
        <v xml:space="preserve">   MA</v>
      </c>
      <c r="B6956" t="str">
        <f>T("   Maroc")</f>
        <v xml:space="preserve">   Maroc</v>
      </c>
      <c r="C6956">
        <v>337250</v>
      </c>
      <c r="D6956">
        <v>54</v>
      </c>
    </row>
    <row r="6957" spans="1:4" x14ac:dyDescent="0.25">
      <c r="A6957" t="str">
        <f>T("610412")</f>
        <v>610412</v>
      </c>
      <c r="B6957" t="str">
        <f>T("Costumes tailleurs en bonneterie, de coton, pour femmes ou fillettes (sauf combinaisons de ski et maillots, culottes et slips de bain)")</f>
        <v>Costumes tailleurs en bonneterie, de coton, pour femmes ou fillettes (sauf combinaisons de ski et maillots, culottes et slips de bain)</v>
      </c>
    </row>
    <row r="6958" spans="1:4" x14ac:dyDescent="0.25">
      <c r="A6958" t="str">
        <f>T("   ZZZ_Monde")</f>
        <v xml:space="preserve">   ZZZ_Monde</v>
      </c>
      <c r="B6958" t="str">
        <f>T("   ZZZ_Monde")</f>
        <v xml:space="preserve">   ZZZ_Monde</v>
      </c>
      <c r="C6958">
        <v>3544031</v>
      </c>
      <c r="D6958">
        <v>4568</v>
      </c>
    </row>
    <row r="6959" spans="1:4" x14ac:dyDescent="0.25">
      <c r="A6959" t="str">
        <f>T("   FR")</f>
        <v xml:space="preserve">   FR</v>
      </c>
      <c r="B6959" t="str">
        <f>T("   France")</f>
        <v xml:space="preserve">   France</v>
      </c>
      <c r="C6959">
        <v>2755031</v>
      </c>
      <c r="D6959">
        <v>150</v>
      </c>
    </row>
    <row r="6960" spans="1:4" x14ac:dyDescent="0.25">
      <c r="A6960" t="str">
        <f>T("   Z2")</f>
        <v xml:space="preserve">   Z2</v>
      </c>
      <c r="B6960" t="str">
        <f>T("   Pays non défini")</f>
        <v xml:space="preserve">   Pays non défini</v>
      </c>
      <c r="C6960">
        <v>789000</v>
      </c>
      <c r="D6960">
        <v>4418</v>
      </c>
    </row>
    <row r="6961" spans="1:4" x14ac:dyDescent="0.25">
      <c r="A6961" t="str">
        <f>T("610422")</f>
        <v>610422</v>
      </c>
      <c r="B6961" t="str">
        <f>T("Ensembles en bonneterie, de coton, pour femmes ou fillettes (sauf ensembles de ski et maillots, culottes et slips de bain)")</f>
        <v>Ensembles en bonneterie, de coton, pour femmes ou fillettes (sauf ensembles de ski et maillots, culottes et slips de bain)</v>
      </c>
    </row>
    <row r="6962" spans="1:4" x14ac:dyDescent="0.25">
      <c r="A6962" t="str">
        <f>T("   ZZZ_Monde")</f>
        <v xml:space="preserve">   ZZZ_Monde</v>
      </c>
      <c r="B6962" t="str">
        <f>T("   ZZZ_Monde")</f>
        <v xml:space="preserve">   ZZZ_Monde</v>
      </c>
      <c r="C6962">
        <v>463000</v>
      </c>
      <c r="D6962">
        <v>210</v>
      </c>
    </row>
    <row r="6963" spans="1:4" x14ac:dyDescent="0.25">
      <c r="A6963" t="str">
        <f>T("   TK")</f>
        <v xml:space="preserve">   TK</v>
      </c>
      <c r="B6963" t="str">
        <f>T("   Tokelau")</f>
        <v xml:space="preserve">   Tokelau</v>
      </c>
      <c r="C6963">
        <v>463000</v>
      </c>
      <c r="D6963">
        <v>210</v>
      </c>
    </row>
    <row r="6964" spans="1:4" x14ac:dyDescent="0.25">
      <c r="A6964" t="str">
        <f>T("610459")</f>
        <v>610459</v>
      </c>
      <c r="B6964" t="str">
        <f>T("Jupes et jupes-culottes, en bonneterie, de matières textiles, pour femmes ou fillettes (sauf de laine, poils fins, coton, fibres synthétiques et sauf jupons)")</f>
        <v>Jupes et jupes-culottes, en bonneterie, de matières textiles, pour femmes ou fillettes (sauf de laine, poils fins, coton, fibres synthétiques et sauf jupons)</v>
      </c>
    </row>
    <row r="6965" spans="1:4" x14ac:dyDescent="0.25">
      <c r="A6965" t="str">
        <f>T("   ZZZ_Monde")</f>
        <v xml:space="preserve">   ZZZ_Monde</v>
      </c>
      <c r="B6965" t="str">
        <f>T("   ZZZ_Monde")</f>
        <v xml:space="preserve">   ZZZ_Monde</v>
      </c>
      <c r="C6965">
        <v>55624</v>
      </c>
      <c r="D6965">
        <v>63</v>
      </c>
    </row>
    <row r="6966" spans="1:4" x14ac:dyDescent="0.25">
      <c r="A6966" t="str">
        <f>T("   TV")</f>
        <v xml:space="preserve">   TV</v>
      </c>
      <c r="B6966" t="str">
        <f>T("   Tuvalu")</f>
        <v xml:space="preserve">   Tuvalu</v>
      </c>
      <c r="C6966">
        <v>55624</v>
      </c>
      <c r="D6966">
        <v>63</v>
      </c>
    </row>
    <row r="6967" spans="1:4" x14ac:dyDescent="0.25">
      <c r="A6967" t="str">
        <f>T("610462")</f>
        <v>610462</v>
      </c>
      <c r="B6967" t="str">
        <f>T("PANTALONS, Y.C. KNICKERS ET PANTALONS SIMIL., ET CULOTTES, SALOPETTES À BRETELLES ET SHORTS, EN BONNETERIE, DE COTON, POUR FEMMES OU FILLETTES (SAUF SLIPS ET CULOTTES ET MAILLOTS, CULOTTES ET SLIPS DE BAIN)")</f>
        <v>PANTALONS, Y.C. KNICKERS ET PANTALONS SIMIL., ET CULOTTES, SALOPETTES À BRETELLES ET SHORTS, EN BONNETERIE, DE COTON, POUR FEMMES OU FILLETTES (SAUF SLIPS ET CULOTTES ET MAILLOTS, CULOTTES ET SLIPS DE BAIN)</v>
      </c>
    </row>
    <row r="6968" spans="1:4" x14ac:dyDescent="0.25">
      <c r="A6968" t="str">
        <f>T("   ZZZ_Monde")</f>
        <v xml:space="preserve">   ZZZ_Monde</v>
      </c>
      <c r="B6968" t="str">
        <f>T("   ZZZ_Monde")</f>
        <v xml:space="preserve">   ZZZ_Monde</v>
      </c>
      <c r="C6968">
        <v>15773916</v>
      </c>
      <c r="D6968">
        <v>24253</v>
      </c>
    </row>
    <row r="6969" spans="1:4" x14ac:dyDescent="0.25">
      <c r="A6969" t="str">
        <f>T("   BE")</f>
        <v xml:space="preserve">   BE</v>
      </c>
      <c r="B6969" t="str">
        <f>T("   Belgique")</f>
        <v xml:space="preserve">   Belgique</v>
      </c>
      <c r="C6969">
        <v>2676316</v>
      </c>
      <c r="D6969">
        <v>253</v>
      </c>
    </row>
    <row r="6970" spans="1:4" x14ac:dyDescent="0.25">
      <c r="A6970" t="str">
        <f>T("   CN")</f>
        <v xml:space="preserve">   CN</v>
      </c>
      <c r="B6970" t="str">
        <f>T("   Chine")</f>
        <v xml:space="preserve">   Chine</v>
      </c>
      <c r="C6970">
        <v>13097600</v>
      </c>
      <c r="D6970">
        <v>24000</v>
      </c>
    </row>
    <row r="6971" spans="1:4" x14ac:dyDescent="0.25">
      <c r="A6971" t="str">
        <f>T("610469")</f>
        <v>610469</v>
      </c>
      <c r="B6971" t="str">
        <f>T("PANTALONS, Y.C. KNICKERS ET PANTALONS SIMIL., ET CULOTTES, SALOPETTES À BRETELLES ET SHORTS, EN BONNETERIE, DE MATIÈRES TEXTILES, POUR FEMMES OU FILLETTES (SAUF DE LAINE, POILS FINS, COTON, FIBRES SYNTHÉTIQUES ET SAUF SLIPS ET MAILLOTS, CULOTTES ET SLIPS")</f>
        <v>PANTALONS, Y.C. KNICKERS ET PANTALONS SIMIL., ET CULOTTES, SALOPETTES À BRETELLES ET SHORTS, EN BONNETERIE, DE MATIÈRES TEXTILES, POUR FEMMES OU FILLETTES (SAUF DE LAINE, POILS FINS, COTON, FIBRES SYNTHÉTIQUES ET SAUF SLIPS ET MAILLOTS, CULOTTES ET SLIPS</v>
      </c>
    </row>
    <row r="6972" spans="1:4" x14ac:dyDescent="0.25">
      <c r="A6972" t="str">
        <f>T("   ZZZ_Monde")</f>
        <v xml:space="preserve">   ZZZ_Monde</v>
      </c>
      <c r="B6972" t="str">
        <f>T("   ZZZ_Monde")</f>
        <v xml:space="preserve">   ZZZ_Monde</v>
      </c>
      <c r="C6972">
        <v>82625792</v>
      </c>
      <c r="D6972">
        <v>141528</v>
      </c>
    </row>
    <row r="6973" spans="1:4" x14ac:dyDescent="0.25">
      <c r="A6973" t="str">
        <f>T("   BE")</f>
        <v xml:space="preserve">   BE</v>
      </c>
      <c r="B6973" t="str">
        <f>T("   Belgique")</f>
        <v xml:space="preserve">   Belgique</v>
      </c>
      <c r="C6973">
        <v>100000</v>
      </c>
      <c r="D6973">
        <v>50</v>
      </c>
    </row>
    <row r="6974" spans="1:4" x14ac:dyDescent="0.25">
      <c r="A6974" t="str">
        <f>T("   CA")</f>
        <v xml:space="preserve">   CA</v>
      </c>
      <c r="B6974" t="str">
        <f>T("   Canada")</f>
        <v xml:space="preserve">   Canada</v>
      </c>
      <c r="C6974">
        <v>1130000</v>
      </c>
      <c r="D6974">
        <v>3200</v>
      </c>
    </row>
    <row r="6975" spans="1:4" x14ac:dyDescent="0.25">
      <c r="A6975" t="str">
        <f>T("   CN")</f>
        <v xml:space="preserve">   CN</v>
      </c>
      <c r="B6975" t="str">
        <f>T("   Chine")</f>
        <v xml:space="preserve">   Chine</v>
      </c>
      <c r="C6975">
        <v>78655376</v>
      </c>
      <c r="D6975">
        <v>137000</v>
      </c>
    </row>
    <row r="6976" spans="1:4" x14ac:dyDescent="0.25">
      <c r="A6976" t="str">
        <f>T("   FR")</f>
        <v xml:space="preserve">   FR</v>
      </c>
      <c r="B6976" t="str">
        <f>T("   France")</f>
        <v xml:space="preserve">   France</v>
      </c>
      <c r="C6976">
        <v>2441416</v>
      </c>
      <c r="D6976">
        <v>1090</v>
      </c>
    </row>
    <row r="6977" spans="1:4" x14ac:dyDescent="0.25">
      <c r="A6977" t="str">
        <f>T("   RO")</f>
        <v xml:space="preserve">   RO</v>
      </c>
      <c r="B6977" t="str">
        <f>T("   Roumanie")</f>
        <v xml:space="preserve">   Roumanie</v>
      </c>
      <c r="C6977">
        <v>299000</v>
      </c>
      <c r="D6977">
        <v>188</v>
      </c>
    </row>
    <row r="6978" spans="1:4" x14ac:dyDescent="0.25">
      <c r="A6978" t="str">
        <f>T("610510")</f>
        <v>610510</v>
      </c>
      <c r="B6978" t="str">
        <f>T("Chemises et chemisettes, en bonneterie, de coton, pour hommes ou garçonnets (sauf chemises de nuit, T-shirts et maillots de corps)")</f>
        <v>Chemises et chemisettes, en bonneterie, de coton, pour hommes ou garçonnets (sauf chemises de nuit, T-shirts et maillots de corps)</v>
      </c>
    </row>
    <row r="6979" spans="1:4" x14ac:dyDescent="0.25">
      <c r="A6979" t="str">
        <f>T("   ZZZ_Monde")</f>
        <v xml:space="preserve">   ZZZ_Monde</v>
      </c>
      <c r="B6979" t="str">
        <f>T("   ZZZ_Monde")</f>
        <v xml:space="preserve">   ZZZ_Monde</v>
      </c>
      <c r="C6979">
        <v>20573287</v>
      </c>
      <c r="D6979">
        <v>35840</v>
      </c>
    </row>
    <row r="6980" spans="1:4" x14ac:dyDescent="0.25">
      <c r="A6980" t="str">
        <f>T("   CN")</f>
        <v xml:space="preserve">   CN</v>
      </c>
      <c r="B6980" t="str">
        <f>T("   Chine")</f>
        <v xml:space="preserve">   Chine</v>
      </c>
      <c r="C6980">
        <v>16080614</v>
      </c>
      <c r="D6980">
        <v>32168</v>
      </c>
    </row>
    <row r="6981" spans="1:4" x14ac:dyDescent="0.25">
      <c r="A6981" t="str">
        <f>T("   FR")</f>
        <v xml:space="preserve">   FR</v>
      </c>
      <c r="B6981" t="str">
        <f>T("   France")</f>
        <v xml:space="preserve">   France</v>
      </c>
      <c r="C6981">
        <v>3649673</v>
      </c>
      <c r="D6981">
        <v>3285</v>
      </c>
    </row>
    <row r="6982" spans="1:4" x14ac:dyDescent="0.25">
      <c r="A6982" t="str">
        <f>T("   TK")</f>
        <v xml:space="preserve">   TK</v>
      </c>
      <c r="B6982" t="str">
        <f>T("   Tokelau")</f>
        <v xml:space="preserve">   Tokelau</v>
      </c>
      <c r="C6982">
        <v>463000</v>
      </c>
      <c r="D6982">
        <v>207</v>
      </c>
    </row>
    <row r="6983" spans="1:4" x14ac:dyDescent="0.25">
      <c r="A6983" t="str">
        <f>T("   TR")</f>
        <v xml:space="preserve">   TR</v>
      </c>
      <c r="B6983" t="str">
        <f>T("   Turquie")</f>
        <v xml:space="preserve">   Turquie</v>
      </c>
      <c r="C6983">
        <v>380000</v>
      </c>
      <c r="D6983">
        <v>180</v>
      </c>
    </row>
    <row r="6984" spans="1:4" x14ac:dyDescent="0.25">
      <c r="A6984" t="str">
        <f>T("610520")</f>
        <v>610520</v>
      </c>
      <c r="B6984" t="str">
        <f>T("Chemises et chemisettes, en bonneterie, de fibres synthétiques ou artificielles, pour hommes ou garçonnets (sauf chemises de nuit, T-shirts et maillots de corps)")</f>
        <v>Chemises et chemisettes, en bonneterie, de fibres synthétiques ou artificielles, pour hommes ou garçonnets (sauf chemises de nuit, T-shirts et maillots de corps)</v>
      </c>
    </row>
    <row r="6985" spans="1:4" x14ac:dyDescent="0.25">
      <c r="A6985" t="str">
        <f>T("   ZZZ_Monde")</f>
        <v xml:space="preserve">   ZZZ_Monde</v>
      </c>
      <c r="B6985" t="str">
        <f>T("   ZZZ_Monde")</f>
        <v xml:space="preserve">   ZZZ_Monde</v>
      </c>
      <c r="C6985">
        <v>13466251</v>
      </c>
      <c r="D6985">
        <v>21128</v>
      </c>
    </row>
    <row r="6986" spans="1:4" x14ac:dyDescent="0.25">
      <c r="A6986" t="str">
        <f>T("   CN")</f>
        <v xml:space="preserve">   CN</v>
      </c>
      <c r="B6986" t="str">
        <f>T("   Chine")</f>
        <v xml:space="preserve">   Chine</v>
      </c>
      <c r="C6986">
        <v>13466251</v>
      </c>
      <c r="D6986">
        <v>21128</v>
      </c>
    </row>
    <row r="6987" spans="1:4" x14ac:dyDescent="0.25">
      <c r="A6987" t="str">
        <f>T("610590")</f>
        <v>610590</v>
      </c>
      <c r="B6987" t="str">
        <f>T("Chemises et chemisettes, en bonneterie, de matières textiles, pour hommes ou garçonnets (sauf de coton, fibres synthétiques ou artificielles et sauf chemises de nuit, T-shirts et maillots de corps)")</f>
        <v>Chemises et chemisettes, en bonneterie, de matières textiles, pour hommes ou garçonnets (sauf de coton, fibres synthétiques ou artificielles et sauf chemises de nuit, T-shirts et maillots de corps)</v>
      </c>
    </row>
    <row r="6988" spans="1:4" x14ac:dyDescent="0.25">
      <c r="A6988" t="str">
        <f>T("   ZZZ_Monde")</f>
        <v xml:space="preserve">   ZZZ_Monde</v>
      </c>
      <c r="B6988" t="str">
        <f>T("   ZZZ_Monde")</f>
        <v xml:space="preserve">   ZZZ_Monde</v>
      </c>
      <c r="C6988">
        <v>70388423</v>
      </c>
      <c r="D6988">
        <v>104499</v>
      </c>
    </row>
    <row r="6989" spans="1:4" x14ac:dyDescent="0.25">
      <c r="A6989" t="str">
        <f>T("   CN")</f>
        <v xml:space="preserve">   CN</v>
      </c>
      <c r="B6989" t="str">
        <f>T("   Chine")</f>
        <v xml:space="preserve">   Chine</v>
      </c>
      <c r="C6989">
        <v>57437080</v>
      </c>
      <c r="D6989">
        <v>90903</v>
      </c>
    </row>
    <row r="6990" spans="1:4" x14ac:dyDescent="0.25">
      <c r="A6990" t="str">
        <f>T("   DE")</f>
        <v xml:space="preserve">   DE</v>
      </c>
      <c r="B6990" t="str">
        <f>T("   Allemagne")</f>
        <v xml:space="preserve">   Allemagne</v>
      </c>
      <c r="C6990">
        <v>100000</v>
      </c>
      <c r="D6990">
        <v>100</v>
      </c>
    </row>
    <row r="6991" spans="1:4" x14ac:dyDescent="0.25">
      <c r="A6991" t="str">
        <f>T("   ES")</f>
        <v xml:space="preserve">   ES</v>
      </c>
      <c r="B6991" t="str">
        <f>T("   Espagne")</f>
        <v xml:space="preserve">   Espagne</v>
      </c>
      <c r="C6991">
        <v>98394</v>
      </c>
      <c r="D6991">
        <v>70</v>
      </c>
    </row>
    <row r="6992" spans="1:4" x14ac:dyDescent="0.25">
      <c r="A6992" t="str">
        <f>T("   FR")</f>
        <v xml:space="preserve">   FR</v>
      </c>
      <c r="B6992" t="str">
        <f>T("   France")</f>
        <v xml:space="preserve">   France</v>
      </c>
      <c r="C6992">
        <v>1144645</v>
      </c>
      <c r="D6992">
        <v>645</v>
      </c>
    </row>
    <row r="6993" spans="1:4" x14ac:dyDescent="0.25">
      <c r="A6993" t="str">
        <f>T("   IT")</f>
        <v xml:space="preserve">   IT</v>
      </c>
      <c r="B6993" t="str">
        <f>T("   Italie")</f>
        <v xml:space="preserve">   Italie</v>
      </c>
      <c r="C6993">
        <v>1509364</v>
      </c>
      <c r="D6993">
        <v>170</v>
      </c>
    </row>
    <row r="6994" spans="1:4" x14ac:dyDescent="0.25">
      <c r="A6994" t="str">
        <f>T("   NL")</f>
        <v xml:space="preserve">   NL</v>
      </c>
      <c r="B6994" t="str">
        <f>T("   Pays-bas")</f>
        <v xml:space="preserve">   Pays-bas</v>
      </c>
      <c r="C6994">
        <v>10007216</v>
      </c>
      <c r="D6994">
        <v>12508</v>
      </c>
    </row>
    <row r="6995" spans="1:4" x14ac:dyDescent="0.25">
      <c r="A6995" t="str">
        <f>T("   TG")</f>
        <v xml:space="preserve">   TG</v>
      </c>
      <c r="B6995" t="str">
        <f>T("   Togo")</f>
        <v xml:space="preserve">   Togo</v>
      </c>
      <c r="C6995">
        <v>32769</v>
      </c>
      <c r="D6995">
        <v>40</v>
      </c>
    </row>
    <row r="6996" spans="1:4" x14ac:dyDescent="0.25">
      <c r="A6996" t="str">
        <f>T("   TV")</f>
        <v xml:space="preserve">   TV</v>
      </c>
      <c r="B6996" t="str">
        <f>T("   Tuvalu")</f>
        <v xml:space="preserve">   Tuvalu</v>
      </c>
      <c r="C6996">
        <v>58955</v>
      </c>
      <c r="D6996">
        <v>63</v>
      </c>
    </row>
    <row r="6997" spans="1:4" x14ac:dyDescent="0.25">
      <c r="A6997" t="str">
        <f>T("610610")</f>
        <v>610610</v>
      </c>
      <c r="B6997" t="str">
        <f>T("Chemisiers, blouses, blouses-chemisiers et chemisettes, en bonneterie, de coton, pour femmes ou fillettes (sauf T-shirts et gilets de corps)")</f>
        <v>Chemisiers, blouses, blouses-chemisiers et chemisettes, en bonneterie, de coton, pour femmes ou fillettes (sauf T-shirts et gilets de corps)</v>
      </c>
    </row>
    <row r="6998" spans="1:4" x14ac:dyDescent="0.25">
      <c r="A6998" t="str">
        <f>T("   ZZZ_Monde")</f>
        <v xml:space="preserve">   ZZZ_Monde</v>
      </c>
      <c r="B6998" t="str">
        <f>T("   ZZZ_Monde")</f>
        <v xml:space="preserve">   ZZZ_Monde</v>
      </c>
      <c r="C6998">
        <v>2841069</v>
      </c>
      <c r="D6998">
        <v>526</v>
      </c>
    </row>
    <row r="6999" spans="1:4" x14ac:dyDescent="0.25">
      <c r="A6999" t="str">
        <f>T("   FR")</f>
        <v xml:space="preserve">   FR</v>
      </c>
      <c r="B6999" t="str">
        <f>T("   France")</f>
        <v xml:space="preserve">   France</v>
      </c>
      <c r="C6999">
        <v>2207962</v>
      </c>
      <c r="D6999">
        <v>333</v>
      </c>
    </row>
    <row r="7000" spans="1:4" x14ac:dyDescent="0.25">
      <c r="A7000" t="str">
        <f>T("   GB")</f>
        <v xml:space="preserve">   GB</v>
      </c>
      <c r="B7000" t="str">
        <f>T("   Royaume-Uni")</f>
        <v xml:space="preserve">   Royaume-Uni</v>
      </c>
      <c r="C7000">
        <v>253107</v>
      </c>
      <c r="D7000">
        <v>3</v>
      </c>
    </row>
    <row r="7001" spans="1:4" x14ac:dyDescent="0.25">
      <c r="A7001" t="str">
        <f>T("   TR")</f>
        <v xml:space="preserve">   TR</v>
      </c>
      <c r="B7001" t="str">
        <f>T("   Turquie")</f>
        <v xml:space="preserve">   Turquie</v>
      </c>
      <c r="C7001">
        <v>380000</v>
      </c>
      <c r="D7001">
        <v>190</v>
      </c>
    </row>
    <row r="7002" spans="1:4" x14ac:dyDescent="0.25">
      <c r="A7002" t="str">
        <f>T("610690")</f>
        <v>610690</v>
      </c>
      <c r="B7002" t="str">
        <f>T("Chemisiers, blouses, blouses-chemisiers et chemisettes, en bonneterie, de matières textiles, pour femmes ou fillettes (sauf de coton, fibres synthétiques ou artificielles et sauf T-shirts et gilets de corps)")</f>
        <v>Chemisiers, blouses, blouses-chemisiers et chemisettes, en bonneterie, de matières textiles, pour femmes ou fillettes (sauf de coton, fibres synthétiques ou artificielles et sauf T-shirts et gilets de corps)</v>
      </c>
    </row>
    <row r="7003" spans="1:4" x14ac:dyDescent="0.25">
      <c r="A7003" t="str">
        <f>T("   ZZZ_Monde")</f>
        <v xml:space="preserve">   ZZZ_Monde</v>
      </c>
      <c r="B7003" t="str">
        <f>T("   ZZZ_Monde")</f>
        <v xml:space="preserve">   ZZZ_Monde</v>
      </c>
      <c r="C7003">
        <v>1660956</v>
      </c>
      <c r="D7003">
        <v>1591</v>
      </c>
    </row>
    <row r="7004" spans="1:4" x14ac:dyDescent="0.25">
      <c r="A7004" t="str">
        <f>T("   ES")</f>
        <v xml:space="preserve">   ES</v>
      </c>
      <c r="B7004" t="str">
        <f>T("   Espagne")</f>
        <v xml:space="preserve">   Espagne</v>
      </c>
      <c r="C7004">
        <v>2290</v>
      </c>
      <c r="D7004">
        <v>3</v>
      </c>
    </row>
    <row r="7005" spans="1:4" x14ac:dyDescent="0.25">
      <c r="A7005" t="str">
        <f>T("   FR")</f>
        <v xml:space="preserve">   FR</v>
      </c>
      <c r="B7005" t="str">
        <f>T("   France")</f>
        <v xml:space="preserve">   France</v>
      </c>
      <c r="C7005">
        <v>1441145</v>
      </c>
      <c r="D7005">
        <v>1058</v>
      </c>
    </row>
    <row r="7006" spans="1:4" x14ac:dyDescent="0.25">
      <c r="A7006" t="str">
        <f>T("   IT")</f>
        <v xml:space="preserve">   IT</v>
      </c>
      <c r="B7006" t="str">
        <f>T("   Italie")</f>
        <v xml:space="preserve">   Italie</v>
      </c>
      <c r="C7006">
        <v>200000</v>
      </c>
      <c r="D7006">
        <v>500</v>
      </c>
    </row>
    <row r="7007" spans="1:4" x14ac:dyDescent="0.25">
      <c r="A7007" t="str">
        <f>T("   NL")</f>
        <v xml:space="preserve">   NL</v>
      </c>
      <c r="B7007" t="str">
        <f>T("   Pays-bas")</f>
        <v xml:space="preserve">   Pays-bas</v>
      </c>
      <c r="C7007">
        <v>17521</v>
      </c>
      <c r="D7007">
        <v>30</v>
      </c>
    </row>
    <row r="7008" spans="1:4" x14ac:dyDescent="0.25">
      <c r="A7008" t="str">
        <f>T("610711")</f>
        <v>610711</v>
      </c>
      <c r="B7008" t="str">
        <f>T("SLIPS ET CALETHONS, EN BONNETERIE, DE COTON, POUR HOMMES OU GARÇONNETS")</f>
        <v>SLIPS ET CALETHONS, EN BONNETERIE, DE COTON, POUR HOMMES OU GARÇONNETS</v>
      </c>
    </row>
    <row r="7009" spans="1:4" x14ac:dyDescent="0.25">
      <c r="A7009" t="str">
        <f>T("   ZZZ_Monde")</f>
        <v xml:space="preserve">   ZZZ_Monde</v>
      </c>
      <c r="B7009" t="str">
        <f>T("   ZZZ_Monde")</f>
        <v xml:space="preserve">   ZZZ_Monde</v>
      </c>
      <c r="C7009">
        <v>6564974</v>
      </c>
      <c r="D7009">
        <v>11075</v>
      </c>
    </row>
    <row r="7010" spans="1:4" x14ac:dyDescent="0.25">
      <c r="A7010" t="str">
        <f>T("   CN")</f>
        <v xml:space="preserve">   CN</v>
      </c>
      <c r="B7010" t="str">
        <f>T("   Chine")</f>
        <v xml:space="preserve">   Chine</v>
      </c>
      <c r="C7010">
        <v>6543128</v>
      </c>
      <c r="D7010">
        <v>11000</v>
      </c>
    </row>
    <row r="7011" spans="1:4" x14ac:dyDescent="0.25">
      <c r="A7011" t="str">
        <f>T("   TG")</f>
        <v xml:space="preserve">   TG</v>
      </c>
      <c r="B7011" t="str">
        <f>T("   Togo")</f>
        <v xml:space="preserve">   Togo</v>
      </c>
      <c r="C7011">
        <v>21846</v>
      </c>
      <c r="D7011">
        <v>75</v>
      </c>
    </row>
    <row r="7012" spans="1:4" x14ac:dyDescent="0.25">
      <c r="A7012" t="str">
        <f>T("610721")</f>
        <v>610721</v>
      </c>
      <c r="B7012" t="str">
        <f>T("Chemises de nuit et pyjamas, en bonneterie, de coton, pour hommes ou garçonnets (sauf maillots de corps)")</f>
        <v>Chemises de nuit et pyjamas, en bonneterie, de coton, pour hommes ou garçonnets (sauf maillots de corps)</v>
      </c>
    </row>
    <row r="7013" spans="1:4" x14ac:dyDescent="0.25">
      <c r="A7013" t="str">
        <f>T("   ZZZ_Monde")</f>
        <v xml:space="preserve">   ZZZ_Monde</v>
      </c>
      <c r="B7013" t="str">
        <f>T("   ZZZ_Monde")</f>
        <v xml:space="preserve">   ZZZ_Monde</v>
      </c>
      <c r="C7013">
        <v>2307668</v>
      </c>
      <c r="D7013">
        <v>142</v>
      </c>
    </row>
    <row r="7014" spans="1:4" x14ac:dyDescent="0.25">
      <c r="A7014" t="str">
        <f>T("   FR")</f>
        <v xml:space="preserve">   FR</v>
      </c>
      <c r="B7014" t="str">
        <f>T("   France")</f>
        <v xml:space="preserve">   France</v>
      </c>
      <c r="C7014">
        <v>2307668</v>
      </c>
      <c r="D7014">
        <v>142</v>
      </c>
    </row>
    <row r="7015" spans="1:4" x14ac:dyDescent="0.25">
      <c r="A7015" t="str">
        <f>T("610729")</f>
        <v>610729</v>
      </c>
      <c r="B7015" t="str">
        <f>T("Chemises de nuit et pyjamas, en bonneterie, de matières textiles, pour hommes ou garçonnets (sauf de coton, fibres synthétiques ou artificielles et sauf maillots de corps)")</f>
        <v>Chemises de nuit et pyjamas, en bonneterie, de matières textiles, pour hommes ou garçonnets (sauf de coton, fibres synthétiques ou artificielles et sauf maillots de corps)</v>
      </c>
    </row>
    <row r="7016" spans="1:4" x14ac:dyDescent="0.25">
      <c r="A7016" t="str">
        <f>T("   ZZZ_Monde")</f>
        <v xml:space="preserve">   ZZZ_Monde</v>
      </c>
      <c r="B7016" t="str">
        <f>T("   ZZZ_Monde")</f>
        <v xml:space="preserve">   ZZZ_Monde</v>
      </c>
      <c r="C7016">
        <v>380000</v>
      </c>
      <c r="D7016">
        <v>178</v>
      </c>
    </row>
    <row r="7017" spans="1:4" x14ac:dyDescent="0.25">
      <c r="A7017" t="str">
        <f>T("   TR")</f>
        <v xml:space="preserve">   TR</v>
      </c>
      <c r="B7017" t="str">
        <f>T("   Turquie")</f>
        <v xml:space="preserve">   Turquie</v>
      </c>
      <c r="C7017">
        <v>380000</v>
      </c>
      <c r="D7017">
        <v>178</v>
      </c>
    </row>
    <row r="7018" spans="1:4" x14ac:dyDescent="0.25">
      <c r="A7018" t="str">
        <f>T("610799")</f>
        <v>610799</v>
      </c>
      <c r="B7018" t="str">
        <f>T("Peignoirs de bain, robes de chambre et articles simil., en bonneterie, de matières textiles, pour hommes ou garçonnets (sauf de coton ou fibres synthétiques ou artificielles)")</f>
        <v>Peignoirs de bain, robes de chambre et articles simil., en bonneterie, de matières textiles, pour hommes ou garçonnets (sauf de coton ou fibres synthétiques ou artificielles)</v>
      </c>
    </row>
    <row r="7019" spans="1:4" x14ac:dyDescent="0.25">
      <c r="A7019" t="str">
        <f>T("   ZZZ_Monde")</f>
        <v xml:space="preserve">   ZZZ_Monde</v>
      </c>
      <c r="B7019" t="str">
        <f>T("   ZZZ_Monde")</f>
        <v xml:space="preserve">   ZZZ_Monde</v>
      </c>
      <c r="C7019">
        <v>3730000</v>
      </c>
      <c r="D7019">
        <v>1004</v>
      </c>
    </row>
    <row r="7020" spans="1:4" x14ac:dyDescent="0.25">
      <c r="A7020" t="str">
        <f>T("   CN")</f>
        <v xml:space="preserve">   CN</v>
      </c>
      <c r="B7020" t="str">
        <f>T("   Chine")</f>
        <v xml:space="preserve">   Chine</v>
      </c>
      <c r="C7020">
        <v>3660000</v>
      </c>
      <c r="D7020">
        <v>970</v>
      </c>
    </row>
    <row r="7021" spans="1:4" x14ac:dyDescent="0.25">
      <c r="A7021" t="str">
        <f>T("   FR")</f>
        <v xml:space="preserve">   FR</v>
      </c>
      <c r="B7021" t="str">
        <f>T("   France")</f>
        <v xml:space="preserve">   France</v>
      </c>
      <c r="C7021">
        <v>70000</v>
      </c>
      <c r="D7021">
        <v>34</v>
      </c>
    </row>
    <row r="7022" spans="1:4" x14ac:dyDescent="0.25">
      <c r="A7022" t="str">
        <f>T("610819")</f>
        <v>610819</v>
      </c>
      <c r="B7022" t="str">
        <f>T("Combinaisons ou fonds de robes et jupons, en bonneterie, de matières textiles, pour femmes ou fillettes (sauf de fibres synthétiques ou artificielles et sauf T-shirts et gilets de corps)")</f>
        <v>Combinaisons ou fonds de robes et jupons, en bonneterie, de matières textiles, pour femmes ou fillettes (sauf de fibres synthétiques ou artificielles et sauf T-shirts et gilets de corps)</v>
      </c>
    </row>
    <row r="7023" spans="1:4" x14ac:dyDescent="0.25">
      <c r="A7023" t="str">
        <f>T("   ZZZ_Monde")</f>
        <v xml:space="preserve">   ZZZ_Monde</v>
      </c>
      <c r="B7023" t="str">
        <f>T("   ZZZ_Monde")</f>
        <v xml:space="preserve">   ZZZ_Monde</v>
      </c>
      <c r="C7023">
        <v>13978451</v>
      </c>
      <c r="D7023">
        <v>13340</v>
      </c>
    </row>
    <row r="7024" spans="1:4" x14ac:dyDescent="0.25">
      <c r="A7024" t="str">
        <f>T("   CN")</f>
        <v xml:space="preserve">   CN</v>
      </c>
      <c r="B7024" t="str">
        <f>T("   Chine")</f>
        <v xml:space="preserve">   Chine</v>
      </c>
      <c r="C7024">
        <v>13978451</v>
      </c>
      <c r="D7024">
        <v>13340</v>
      </c>
    </row>
    <row r="7025" spans="1:4" x14ac:dyDescent="0.25">
      <c r="A7025" t="str">
        <f>T("610821")</f>
        <v>610821</v>
      </c>
      <c r="B7025" t="str">
        <f>T("Slips et culottes, en bonneterie, de coton, pour femmes ou fillettes")</f>
        <v>Slips et culottes, en bonneterie, de coton, pour femmes ou fillettes</v>
      </c>
    </row>
    <row r="7026" spans="1:4" x14ac:dyDescent="0.25">
      <c r="A7026" t="str">
        <f>T("   ZZZ_Monde")</f>
        <v xml:space="preserve">   ZZZ_Monde</v>
      </c>
      <c r="B7026" t="str">
        <f>T("   ZZZ_Monde")</f>
        <v xml:space="preserve">   ZZZ_Monde</v>
      </c>
      <c r="C7026">
        <v>13100000</v>
      </c>
      <c r="D7026">
        <v>22000</v>
      </c>
    </row>
    <row r="7027" spans="1:4" x14ac:dyDescent="0.25">
      <c r="A7027" t="str">
        <f>T("   CN")</f>
        <v xml:space="preserve">   CN</v>
      </c>
      <c r="B7027" t="str">
        <f>T("   Chine")</f>
        <v xml:space="preserve">   Chine</v>
      </c>
      <c r="C7027">
        <v>13100000</v>
      </c>
      <c r="D7027">
        <v>22000</v>
      </c>
    </row>
    <row r="7028" spans="1:4" x14ac:dyDescent="0.25">
      <c r="A7028" t="str">
        <f>T("610829")</f>
        <v>610829</v>
      </c>
      <c r="B7028" t="str">
        <f>T("Slips et culottes, en bonneterie, de matières textiles, pour femmes ou fillettes (sauf de coton ou fibres synthétiques ou artificielles)")</f>
        <v>Slips et culottes, en bonneterie, de matières textiles, pour femmes ou fillettes (sauf de coton ou fibres synthétiques ou artificielles)</v>
      </c>
    </row>
    <row r="7029" spans="1:4" x14ac:dyDescent="0.25">
      <c r="A7029" t="str">
        <f>T("   ZZZ_Monde")</f>
        <v xml:space="preserve">   ZZZ_Monde</v>
      </c>
      <c r="B7029" t="str">
        <f>T("   ZZZ_Monde")</f>
        <v xml:space="preserve">   ZZZ_Monde</v>
      </c>
      <c r="C7029">
        <v>8126325</v>
      </c>
      <c r="D7029">
        <v>9131</v>
      </c>
    </row>
    <row r="7030" spans="1:4" x14ac:dyDescent="0.25">
      <c r="A7030" t="str">
        <f>T("   CN")</f>
        <v xml:space="preserve">   CN</v>
      </c>
      <c r="B7030" t="str">
        <f>T("   Chine")</f>
        <v xml:space="preserve">   Chine</v>
      </c>
      <c r="C7030">
        <v>5300000</v>
      </c>
      <c r="D7030">
        <v>6400</v>
      </c>
    </row>
    <row r="7031" spans="1:4" x14ac:dyDescent="0.25">
      <c r="A7031" t="str">
        <f>T("   FR")</f>
        <v xml:space="preserve">   FR</v>
      </c>
      <c r="B7031" t="str">
        <f>T("   France")</f>
        <v xml:space="preserve">   France</v>
      </c>
      <c r="C7031">
        <v>864555</v>
      </c>
      <c r="D7031">
        <v>61</v>
      </c>
    </row>
    <row r="7032" spans="1:4" x14ac:dyDescent="0.25">
      <c r="A7032" t="str">
        <f>T("   TG")</f>
        <v xml:space="preserve">   TG</v>
      </c>
      <c r="B7032" t="str">
        <f>T("   Togo")</f>
        <v xml:space="preserve">   Togo</v>
      </c>
      <c r="C7032">
        <v>1961770</v>
      </c>
      <c r="D7032">
        <v>2670</v>
      </c>
    </row>
    <row r="7033" spans="1:4" x14ac:dyDescent="0.25">
      <c r="A7033" t="str">
        <f>T("610831")</f>
        <v>610831</v>
      </c>
      <c r="B7033" t="str">
        <f>T("Chemises de nuit et pyjamas, en bonneterie, de coton, pour femmes ou fillettes (sauf T-shirts, gilets de corps et déshabillés)")</f>
        <v>Chemises de nuit et pyjamas, en bonneterie, de coton, pour femmes ou fillettes (sauf T-shirts, gilets de corps et déshabillés)</v>
      </c>
    </row>
    <row r="7034" spans="1:4" x14ac:dyDescent="0.25">
      <c r="A7034" t="str">
        <f>T("   ZZZ_Monde")</f>
        <v xml:space="preserve">   ZZZ_Monde</v>
      </c>
      <c r="B7034" t="str">
        <f>T("   ZZZ_Monde")</f>
        <v xml:space="preserve">   ZZZ_Monde</v>
      </c>
      <c r="C7034">
        <v>1602510</v>
      </c>
      <c r="D7034">
        <v>142</v>
      </c>
    </row>
    <row r="7035" spans="1:4" x14ac:dyDescent="0.25">
      <c r="A7035" t="str">
        <f>T("   FR")</f>
        <v xml:space="preserve">   FR</v>
      </c>
      <c r="B7035" t="str">
        <f>T("   France")</f>
        <v xml:space="preserve">   France</v>
      </c>
      <c r="C7035">
        <v>1602510</v>
      </c>
      <c r="D7035">
        <v>142</v>
      </c>
    </row>
    <row r="7036" spans="1:4" x14ac:dyDescent="0.25">
      <c r="A7036" t="str">
        <f>T("610839")</f>
        <v>610839</v>
      </c>
      <c r="B7036" t="str">
        <f>T("Chemises de nuit et pyjamas, en bonneterie, de matières textiles, pour femmes ou fillettes (sauf de coton ou de fibres synthétiques ou artificielles et sauf T-shirts, gilets de corps et déshabillés)")</f>
        <v>Chemises de nuit et pyjamas, en bonneterie, de matières textiles, pour femmes ou fillettes (sauf de coton ou de fibres synthétiques ou artificielles et sauf T-shirts, gilets de corps et déshabillés)</v>
      </c>
    </row>
    <row r="7037" spans="1:4" x14ac:dyDescent="0.25">
      <c r="A7037" t="str">
        <f>T("   ZZZ_Monde")</f>
        <v xml:space="preserve">   ZZZ_Monde</v>
      </c>
      <c r="B7037" t="str">
        <f>T("   ZZZ_Monde")</f>
        <v xml:space="preserve">   ZZZ_Monde</v>
      </c>
      <c r="C7037">
        <v>3198897</v>
      </c>
      <c r="D7037">
        <v>1020</v>
      </c>
    </row>
    <row r="7038" spans="1:4" x14ac:dyDescent="0.25">
      <c r="A7038" t="str">
        <f>T("   FR")</f>
        <v xml:space="preserve">   FR</v>
      </c>
      <c r="B7038" t="str">
        <f>T("   France")</f>
        <v xml:space="preserve">   France</v>
      </c>
      <c r="C7038">
        <v>3198897</v>
      </c>
      <c r="D7038">
        <v>1020</v>
      </c>
    </row>
    <row r="7039" spans="1:4" x14ac:dyDescent="0.25">
      <c r="A7039" t="str">
        <f>T("610899")</f>
        <v>610899</v>
      </c>
      <c r="B7039" t="str">
        <f>T("Déshabillés, peignoirs de bain, robes de chambre et articles simil., en bonneterie, de matières textiles, pour femmes ou fillettes (sauf de coton ou fibres synthétiques ou artificielles et sauf gilets de corps, combinaisons et fonds de robe, jupons, slips")</f>
        <v>Déshabillés, peignoirs de bain, robes de chambre et articles simil., en bonneterie, de matières textiles, pour femmes ou fillettes (sauf de coton ou fibres synthétiques ou artificielles et sauf gilets de corps, combinaisons et fonds de robe, jupons, slips</v>
      </c>
    </row>
    <row r="7040" spans="1:4" x14ac:dyDescent="0.25">
      <c r="A7040" t="str">
        <f>T("   ZZZ_Monde")</f>
        <v xml:space="preserve">   ZZZ_Monde</v>
      </c>
      <c r="B7040" t="str">
        <f>T("   ZZZ_Monde")</f>
        <v xml:space="preserve">   ZZZ_Monde</v>
      </c>
      <c r="C7040">
        <v>5655380</v>
      </c>
      <c r="D7040">
        <v>6200</v>
      </c>
    </row>
    <row r="7041" spans="1:4" x14ac:dyDescent="0.25">
      <c r="A7041" t="str">
        <f>T("   CN")</f>
        <v xml:space="preserve">   CN</v>
      </c>
      <c r="B7041" t="str">
        <f>T("   Chine")</f>
        <v xml:space="preserve">   Chine</v>
      </c>
      <c r="C7041">
        <v>5000000</v>
      </c>
      <c r="D7041">
        <v>5000</v>
      </c>
    </row>
    <row r="7042" spans="1:4" x14ac:dyDescent="0.25">
      <c r="A7042" t="str">
        <f>T("   TG")</f>
        <v xml:space="preserve">   TG</v>
      </c>
      <c r="B7042" t="str">
        <f>T("   Togo")</f>
        <v xml:space="preserve">   Togo</v>
      </c>
      <c r="C7042">
        <v>655380</v>
      </c>
      <c r="D7042">
        <v>1200</v>
      </c>
    </row>
    <row r="7043" spans="1:4" x14ac:dyDescent="0.25">
      <c r="A7043" t="str">
        <f>T("610910")</f>
        <v>610910</v>
      </c>
      <c r="B7043" t="str">
        <f>T("T-shirts et maillots de corps, en bonneterie, de coton,")</f>
        <v>T-shirts et maillots de corps, en bonneterie, de coton,</v>
      </c>
    </row>
    <row r="7044" spans="1:4" x14ac:dyDescent="0.25">
      <c r="A7044" t="str">
        <f>T("   ZZZ_Monde")</f>
        <v xml:space="preserve">   ZZZ_Monde</v>
      </c>
      <c r="B7044" t="str">
        <f>T("   ZZZ_Monde")</f>
        <v xml:space="preserve">   ZZZ_Monde</v>
      </c>
      <c r="C7044">
        <v>174741260</v>
      </c>
      <c r="D7044">
        <v>341794</v>
      </c>
    </row>
    <row r="7045" spans="1:4" x14ac:dyDescent="0.25">
      <c r="A7045" t="str">
        <f>T("   AU")</f>
        <v xml:space="preserve">   AU</v>
      </c>
      <c r="B7045" t="str">
        <f>T("   Australie")</f>
        <v xml:space="preserve">   Australie</v>
      </c>
      <c r="C7045">
        <v>74500</v>
      </c>
      <c r="D7045">
        <v>1</v>
      </c>
    </row>
    <row r="7046" spans="1:4" x14ac:dyDescent="0.25">
      <c r="A7046" t="str">
        <f>T("   BE")</f>
        <v xml:space="preserve">   BE</v>
      </c>
      <c r="B7046" t="str">
        <f>T("   Belgique")</f>
        <v xml:space="preserve">   Belgique</v>
      </c>
      <c r="C7046">
        <v>3686495</v>
      </c>
      <c r="D7046">
        <v>349</v>
      </c>
    </row>
    <row r="7047" spans="1:4" x14ac:dyDescent="0.25">
      <c r="A7047" t="str">
        <f>T("   BG")</f>
        <v xml:space="preserve">   BG</v>
      </c>
      <c r="B7047" t="str">
        <f>T("   Bulgarie")</f>
        <v xml:space="preserve">   Bulgarie</v>
      </c>
      <c r="C7047">
        <v>1351</v>
      </c>
      <c r="D7047">
        <v>75</v>
      </c>
    </row>
    <row r="7048" spans="1:4" x14ac:dyDescent="0.25">
      <c r="A7048" t="str">
        <f>T("   BR")</f>
        <v xml:space="preserve">   BR</v>
      </c>
      <c r="B7048" t="str">
        <f>T("   Brésil")</f>
        <v xml:space="preserve">   Brésil</v>
      </c>
      <c r="C7048">
        <v>696128</v>
      </c>
      <c r="D7048">
        <v>50</v>
      </c>
    </row>
    <row r="7049" spans="1:4" x14ac:dyDescent="0.25">
      <c r="A7049" t="str">
        <f>T("   CN")</f>
        <v xml:space="preserve">   CN</v>
      </c>
      <c r="B7049" t="str">
        <f>T("   Chine")</f>
        <v xml:space="preserve">   Chine</v>
      </c>
      <c r="C7049">
        <v>58737060</v>
      </c>
      <c r="D7049">
        <v>104940</v>
      </c>
    </row>
    <row r="7050" spans="1:4" x14ac:dyDescent="0.25">
      <c r="A7050" t="str">
        <f>T("   ES")</f>
        <v xml:space="preserve">   ES</v>
      </c>
      <c r="B7050" t="str">
        <f>T("   Espagne")</f>
        <v xml:space="preserve">   Espagne</v>
      </c>
      <c r="C7050">
        <v>39627</v>
      </c>
      <c r="D7050">
        <v>83</v>
      </c>
    </row>
    <row r="7051" spans="1:4" x14ac:dyDescent="0.25">
      <c r="A7051" t="str">
        <f>T("   FR")</f>
        <v xml:space="preserve">   FR</v>
      </c>
      <c r="B7051" t="str">
        <f>T("   France")</f>
        <v xml:space="preserve">   France</v>
      </c>
      <c r="C7051">
        <v>31687292</v>
      </c>
      <c r="D7051">
        <v>3139</v>
      </c>
    </row>
    <row r="7052" spans="1:4" x14ac:dyDescent="0.25">
      <c r="A7052" t="str">
        <f>T("   GH")</f>
        <v xml:space="preserve">   GH</v>
      </c>
      <c r="B7052" t="str">
        <f>T("   Ghana")</f>
        <v xml:space="preserve">   Ghana</v>
      </c>
      <c r="C7052">
        <v>7700000</v>
      </c>
      <c r="D7052">
        <v>26260</v>
      </c>
    </row>
    <row r="7053" spans="1:4" x14ac:dyDescent="0.25">
      <c r="A7053" t="str">
        <f>T("   ID")</f>
        <v xml:space="preserve">   ID</v>
      </c>
      <c r="B7053" t="str">
        <f>T("   Indonésie")</f>
        <v xml:space="preserve">   Indonésie</v>
      </c>
      <c r="C7053">
        <v>146681</v>
      </c>
      <c r="D7053">
        <v>11</v>
      </c>
    </row>
    <row r="7054" spans="1:4" x14ac:dyDescent="0.25">
      <c r="A7054" t="str">
        <f>T("   IN")</f>
        <v xml:space="preserve">   IN</v>
      </c>
      <c r="B7054" t="str">
        <f>T("   Inde")</f>
        <v xml:space="preserve">   Inde</v>
      </c>
      <c r="C7054">
        <v>11504</v>
      </c>
      <c r="D7054">
        <v>10</v>
      </c>
    </row>
    <row r="7055" spans="1:4" x14ac:dyDescent="0.25">
      <c r="A7055" t="str">
        <f>T("   LB")</f>
        <v xml:space="preserve">   LB</v>
      </c>
      <c r="B7055" t="str">
        <f>T("   Liban")</f>
        <v xml:space="preserve">   Liban</v>
      </c>
      <c r="C7055">
        <v>770795</v>
      </c>
      <c r="D7055">
        <v>425</v>
      </c>
    </row>
    <row r="7056" spans="1:4" x14ac:dyDescent="0.25">
      <c r="A7056" t="str">
        <f>T("   NG")</f>
        <v xml:space="preserve">   NG</v>
      </c>
      <c r="B7056" t="str">
        <f>T("   Nigéria")</f>
        <v xml:space="preserve">   Nigéria</v>
      </c>
      <c r="C7056">
        <v>3992000</v>
      </c>
      <c r="D7056">
        <v>6656</v>
      </c>
    </row>
    <row r="7057" spans="1:4" x14ac:dyDescent="0.25">
      <c r="A7057" t="str">
        <f>T("   NL")</f>
        <v xml:space="preserve">   NL</v>
      </c>
      <c r="B7057" t="str">
        <f>T("   Pays-bas")</f>
        <v xml:space="preserve">   Pays-bas</v>
      </c>
      <c r="C7057">
        <v>11807</v>
      </c>
      <c r="D7057">
        <v>8</v>
      </c>
    </row>
    <row r="7058" spans="1:4" x14ac:dyDescent="0.25">
      <c r="A7058" t="str">
        <f>T("   SG")</f>
        <v xml:space="preserve">   SG</v>
      </c>
      <c r="B7058" t="str">
        <f>T("   Singapour")</f>
        <v xml:space="preserve">   Singapour</v>
      </c>
      <c r="C7058">
        <v>62559</v>
      </c>
      <c r="D7058">
        <v>135</v>
      </c>
    </row>
    <row r="7059" spans="1:4" x14ac:dyDescent="0.25">
      <c r="A7059" t="str">
        <f>T("   TG")</f>
        <v xml:space="preserve">   TG</v>
      </c>
      <c r="B7059" t="str">
        <f>T("   Togo")</f>
        <v xml:space="preserve">   Togo</v>
      </c>
      <c r="C7059">
        <v>66551596</v>
      </c>
      <c r="D7059">
        <v>179210</v>
      </c>
    </row>
    <row r="7060" spans="1:4" x14ac:dyDescent="0.25">
      <c r="A7060" t="str">
        <f>T("   TR")</f>
        <v xml:space="preserve">   TR</v>
      </c>
      <c r="B7060" t="str">
        <f>T("   Turquie")</f>
        <v xml:space="preserve">   Turquie</v>
      </c>
      <c r="C7060">
        <v>523930</v>
      </c>
      <c r="D7060">
        <v>19975</v>
      </c>
    </row>
    <row r="7061" spans="1:4" x14ac:dyDescent="0.25">
      <c r="A7061" t="str">
        <f>T("   ZA")</f>
        <v xml:space="preserve">   ZA</v>
      </c>
      <c r="B7061" t="str">
        <f>T("   Afrique du Sud")</f>
        <v xml:space="preserve">   Afrique du Sud</v>
      </c>
      <c r="C7061">
        <v>47935</v>
      </c>
      <c r="D7061">
        <v>467</v>
      </c>
    </row>
    <row r="7062" spans="1:4" x14ac:dyDescent="0.25">
      <c r="A7062" t="str">
        <f>T("610990")</f>
        <v>610990</v>
      </c>
      <c r="B7062" t="str">
        <f>T("T-shirts et maillots de corps, en bonneterie, de matières textiles (sauf de coton)")</f>
        <v>T-shirts et maillots de corps, en bonneterie, de matières textiles (sauf de coton)</v>
      </c>
    </row>
    <row r="7063" spans="1:4" x14ac:dyDescent="0.25">
      <c r="A7063" t="str">
        <f>T("   ZZZ_Monde")</f>
        <v xml:space="preserve">   ZZZ_Monde</v>
      </c>
      <c r="B7063" t="str">
        <f>T("   ZZZ_Monde")</f>
        <v xml:space="preserve">   ZZZ_Monde</v>
      </c>
      <c r="C7063">
        <v>851252506</v>
      </c>
      <c r="D7063">
        <v>3644963</v>
      </c>
    </row>
    <row r="7064" spans="1:4" x14ac:dyDescent="0.25">
      <c r="A7064" t="str">
        <f>T("   AE")</f>
        <v xml:space="preserve">   AE</v>
      </c>
      <c r="B7064" t="str">
        <f>T("   Emirats Arabes Unis")</f>
        <v xml:space="preserve">   Emirats Arabes Unis</v>
      </c>
      <c r="C7064">
        <v>505895</v>
      </c>
      <c r="D7064">
        <v>550</v>
      </c>
    </row>
    <row r="7065" spans="1:4" x14ac:dyDescent="0.25">
      <c r="A7065" t="str">
        <f>T("   BD")</f>
        <v xml:space="preserve">   BD</v>
      </c>
      <c r="B7065" t="str">
        <f>T("   Bangladesh")</f>
        <v xml:space="preserve">   Bangladesh</v>
      </c>
      <c r="C7065">
        <v>11504</v>
      </c>
      <c r="D7065">
        <v>10</v>
      </c>
    </row>
    <row r="7066" spans="1:4" x14ac:dyDescent="0.25">
      <c r="A7066" t="str">
        <f>T("   BG")</f>
        <v xml:space="preserve">   BG</v>
      </c>
      <c r="B7066" t="str">
        <f>T("   Bulgarie")</f>
        <v xml:space="preserve">   Bulgarie</v>
      </c>
      <c r="C7066">
        <v>27</v>
      </c>
      <c r="D7066">
        <v>3</v>
      </c>
    </row>
    <row r="7067" spans="1:4" x14ac:dyDescent="0.25">
      <c r="A7067" t="str">
        <f>T("   BR")</f>
        <v xml:space="preserve">   BR</v>
      </c>
      <c r="B7067" t="str">
        <f>T("   Brésil")</f>
        <v xml:space="preserve">   Brésil</v>
      </c>
      <c r="C7067">
        <v>10000000</v>
      </c>
      <c r="D7067">
        <v>14494</v>
      </c>
    </row>
    <row r="7068" spans="1:4" x14ac:dyDescent="0.25">
      <c r="A7068" t="str">
        <f>T("   CH")</f>
        <v xml:space="preserve">   CH</v>
      </c>
      <c r="B7068" t="str">
        <f>T("   Suisse")</f>
        <v xml:space="preserve">   Suisse</v>
      </c>
      <c r="C7068">
        <v>13099732</v>
      </c>
      <c r="D7068">
        <v>16154</v>
      </c>
    </row>
    <row r="7069" spans="1:4" x14ac:dyDescent="0.25">
      <c r="A7069" t="str">
        <f>T("   CN")</f>
        <v xml:space="preserve">   CN</v>
      </c>
      <c r="B7069" t="str">
        <f>T("   Chine")</f>
        <v xml:space="preserve">   Chine</v>
      </c>
      <c r="C7069">
        <v>228667650</v>
      </c>
      <c r="D7069">
        <v>621567.5</v>
      </c>
    </row>
    <row r="7070" spans="1:4" x14ac:dyDescent="0.25">
      <c r="A7070" t="str">
        <f>T("   CY")</f>
        <v xml:space="preserve">   CY</v>
      </c>
      <c r="B7070" t="str">
        <f>T("   Chypre")</f>
        <v xml:space="preserve">   Chypre</v>
      </c>
      <c r="C7070">
        <v>3091887</v>
      </c>
      <c r="D7070">
        <v>140</v>
      </c>
    </row>
    <row r="7071" spans="1:4" x14ac:dyDescent="0.25">
      <c r="A7071" t="str">
        <f>T("   DE")</f>
        <v xml:space="preserve">   DE</v>
      </c>
      <c r="B7071" t="str">
        <f>T("   Allemagne")</f>
        <v xml:space="preserve">   Allemagne</v>
      </c>
      <c r="C7071">
        <v>238107</v>
      </c>
      <c r="D7071">
        <v>137</v>
      </c>
    </row>
    <row r="7072" spans="1:4" x14ac:dyDescent="0.25">
      <c r="A7072" t="str">
        <f>T("   ES")</f>
        <v xml:space="preserve">   ES</v>
      </c>
      <c r="B7072" t="str">
        <f>T("   Espagne")</f>
        <v xml:space="preserve">   Espagne</v>
      </c>
      <c r="C7072">
        <v>25990</v>
      </c>
      <c r="D7072">
        <v>1</v>
      </c>
    </row>
    <row r="7073" spans="1:4" x14ac:dyDescent="0.25">
      <c r="A7073" t="str">
        <f>T("   FR")</f>
        <v xml:space="preserve">   FR</v>
      </c>
      <c r="B7073" t="str">
        <f>T("   France")</f>
        <v xml:space="preserve">   France</v>
      </c>
      <c r="C7073">
        <v>6495913</v>
      </c>
      <c r="D7073">
        <v>4764.5</v>
      </c>
    </row>
    <row r="7074" spans="1:4" x14ac:dyDescent="0.25">
      <c r="A7074" t="str">
        <f>T("   GH")</f>
        <v xml:space="preserve">   GH</v>
      </c>
      <c r="B7074" t="str">
        <f>T("   Ghana")</f>
        <v xml:space="preserve">   Ghana</v>
      </c>
      <c r="C7074">
        <v>33587685</v>
      </c>
      <c r="D7074">
        <v>117220</v>
      </c>
    </row>
    <row r="7075" spans="1:4" x14ac:dyDescent="0.25">
      <c r="A7075" t="str">
        <f>T("   HK")</f>
        <v xml:space="preserve">   HK</v>
      </c>
      <c r="B7075" t="str">
        <f>T("   Hong-Kong")</f>
        <v xml:space="preserve">   Hong-Kong</v>
      </c>
      <c r="C7075">
        <v>6219495</v>
      </c>
      <c r="D7075">
        <v>18762</v>
      </c>
    </row>
    <row r="7076" spans="1:4" x14ac:dyDescent="0.25">
      <c r="A7076" t="str">
        <f>T("   ID")</f>
        <v xml:space="preserve">   ID</v>
      </c>
      <c r="B7076" t="str">
        <f>T("   Indonésie")</f>
        <v xml:space="preserve">   Indonésie</v>
      </c>
      <c r="C7076">
        <v>16487</v>
      </c>
      <c r="D7076">
        <v>3</v>
      </c>
    </row>
    <row r="7077" spans="1:4" x14ac:dyDescent="0.25">
      <c r="A7077" t="str">
        <f>T("   IN")</f>
        <v xml:space="preserve">   IN</v>
      </c>
      <c r="B7077" t="str">
        <f>T("   Inde")</f>
        <v xml:space="preserve">   Inde</v>
      </c>
      <c r="C7077">
        <v>1518840</v>
      </c>
      <c r="D7077">
        <v>561</v>
      </c>
    </row>
    <row r="7078" spans="1:4" x14ac:dyDescent="0.25">
      <c r="A7078" t="str">
        <f>T("   IT")</f>
        <v xml:space="preserve">   IT</v>
      </c>
      <c r="B7078" t="str">
        <f>T("   Italie")</f>
        <v xml:space="preserve">   Italie</v>
      </c>
      <c r="C7078">
        <v>11151</v>
      </c>
      <c r="D7078">
        <v>199</v>
      </c>
    </row>
    <row r="7079" spans="1:4" x14ac:dyDescent="0.25">
      <c r="A7079" t="str">
        <f>T("   KR")</f>
        <v xml:space="preserve">   KR</v>
      </c>
      <c r="B7079" t="str">
        <f>T("   Corée, République de")</f>
        <v xml:space="preserve">   Corée, République de</v>
      </c>
      <c r="C7079">
        <v>6560</v>
      </c>
      <c r="D7079">
        <v>64</v>
      </c>
    </row>
    <row r="7080" spans="1:4" x14ac:dyDescent="0.25">
      <c r="A7080" t="str">
        <f>T("   NL")</f>
        <v xml:space="preserve">   NL</v>
      </c>
      <c r="B7080" t="str">
        <f>T("   Pays-bas")</f>
        <v xml:space="preserve">   Pays-bas</v>
      </c>
      <c r="C7080">
        <v>128779</v>
      </c>
      <c r="D7080">
        <v>106</v>
      </c>
    </row>
    <row r="7081" spans="1:4" x14ac:dyDescent="0.25">
      <c r="A7081" t="str">
        <f>T("   OM")</f>
        <v xml:space="preserve">   OM</v>
      </c>
      <c r="B7081" t="str">
        <f>T("   Oman")</f>
        <v xml:space="preserve">   Oman</v>
      </c>
      <c r="C7081">
        <v>54766</v>
      </c>
      <c r="D7081">
        <v>200</v>
      </c>
    </row>
    <row r="7082" spans="1:4" x14ac:dyDescent="0.25">
      <c r="A7082" t="str">
        <f>T("   SA")</f>
        <v xml:space="preserve">   SA</v>
      </c>
      <c r="B7082" t="str">
        <f>T("   Arabie Saoudite")</f>
        <v xml:space="preserve">   Arabie Saoudite</v>
      </c>
      <c r="C7082">
        <v>804249</v>
      </c>
      <c r="D7082">
        <v>2602</v>
      </c>
    </row>
    <row r="7083" spans="1:4" x14ac:dyDescent="0.25">
      <c r="A7083" t="str">
        <f>T("   SG")</f>
        <v xml:space="preserve">   SG</v>
      </c>
      <c r="B7083" t="str">
        <f>T("   Singapour")</f>
        <v xml:space="preserve">   Singapour</v>
      </c>
      <c r="C7083">
        <v>3376</v>
      </c>
      <c r="D7083">
        <v>451</v>
      </c>
    </row>
    <row r="7084" spans="1:4" x14ac:dyDescent="0.25">
      <c r="A7084" t="str">
        <f>T("   SN")</f>
        <v xml:space="preserve">   SN</v>
      </c>
      <c r="B7084" t="str">
        <f>T("   Sénégal")</f>
        <v xml:space="preserve">   Sénégal</v>
      </c>
      <c r="C7084">
        <v>9550</v>
      </c>
      <c r="D7084">
        <v>20</v>
      </c>
    </row>
    <row r="7085" spans="1:4" x14ac:dyDescent="0.25">
      <c r="A7085" t="str">
        <f>T("   TG")</f>
        <v xml:space="preserve">   TG</v>
      </c>
      <c r="B7085" t="str">
        <f>T("   Togo")</f>
        <v xml:space="preserve">   Togo</v>
      </c>
      <c r="C7085">
        <v>530809014</v>
      </c>
      <c r="D7085">
        <v>2674269</v>
      </c>
    </row>
    <row r="7086" spans="1:4" x14ac:dyDescent="0.25">
      <c r="A7086" t="str">
        <f>T("   TH")</f>
        <v xml:space="preserve">   TH</v>
      </c>
      <c r="B7086" t="str">
        <f>T("   Thaïlande")</f>
        <v xml:space="preserve">   Thaïlande</v>
      </c>
      <c r="C7086">
        <v>36431</v>
      </c>
      <c r="D7086">
        <v>48</v>
      </c>
    </row>
    <row r="7087" spans="1:4" x14ac:dyDescent="0.25">
      <c r="A7087" t="str">
        <f>T("   TR")</f>
        <v xml:space="preserve">   TR</v>
      </c>
      <c r="B7087" t="str">
        <f>T("   Turquie")</f>
        <v xml:space="preserve">   Turquie</v>
      </c>
      <c r="C7087">
        <v>42875</v>
      </c>
      <c r="D7087">
        <v>352</v>
      </c>
    </row>
    <row r="7088" spans="1:4" x14ac:dyDescent="0.25">
      <c r="A7088" t="str">
        <f>T("   TV")</f>
        <v xml:space="preserve">   TV</v>
      </c>
      <c r="B7088" t="str">
        <f>T("   Tuvalu")</f>
        <v xml:space="preserve">   Tuvalu</v>
      </c>
      <c r="C7088">
        <v>40570</v>
      </c>
      <c r="D7088">
        <v>63</v>
      </c>
    </row>
    <row r="7089" spans="1:4" x14ac:dyDescent="0.25">
      <c r="A7089" t="str">
        <f>T("   UA")</f>
        <v xml:space="preserve">   UA</v>
      </c>
      <c r="B7089" t="str">
        <f>T("   Ukraine")</f>
        <v xml:space="preserve">   Ukraine</v>
      </c>
      <c r="C7089">
        <v>130383</v>
      </c>
      <c r="D7089">
        <v>7</v>
      </c>
    </row>
    <row r="7090" spans="1:4" x14ac:dyDescent="0.25">
      <c r="A7090" t="str">
        <f>T("   US")</f>
        <v xml:space="preserve">   US</v>
      </c>
      <c r="B7090" t="str">
        <f>T("   Etats-Unis")</f>
        <v xml:space="preserve">   Etats-Unis</v>
      </c>
      <c r="C7090">
        <v>174590</v>
      </c>
      <c r="D7090">
        <v>143</v>
      </c>
    </row>
    <row r="7091" spans="1:4" x14ac:dyDescent="0.25">
      <c r="A7091" t="str">
        <f>T("   Z2")</f>
        <v xml:space="preserve">   Z2</v>
      </c>
      <c r="B7091" t="str">
        <f>T("   Pays non défini")</f>
        <v xml:space="preserve">   Pays non défini</v>
      </c>
      <c r="C7091">
        <v>15521000</v>
      </c>
      <c r="D7091">
        <v>172072</v>
      </c>
    </row>
    <row r="7092" spans="1:4" x14ac:dyDescent="0.25">
      <c r="A7092" t="str">
        <f>T("611019")</f>
        <v>611019</v>
      </c>
      <c r="B7092" t="str">
        <f>T("Chandails, pull-overs, cardigans, gilets et articles simil., y.c. les sous-pulls, en bonneterie, de poils fins (sauf de poils de chèvre du Cachemire et à l'excl. des gilets ouatinés)")</f>
        <v>Chandails, pull-overs, cardigans, gilets et articles simil., y.c. les sous-pulls, en bonneterie, de poils fins (sauf de poils de chèvre du Cachemire et à l'excl. des gilets ouatinés)</v>
      </c>
    </row>
    <row r="7093" spans="1:4" x14ac:dyDescent="0.25">
      <c r="A7093" t="str">
        <f>T("   ZZZ_Monde")</f>
        <v xml:space="preserve">   ZZZ_Monde</v>
      </c>
      <c r="B7093" t="str">
        <f>T("   ZZZ_Monde")</f>
        <v xml:space="preserve">   ZZZ_Monde</v>
      </c>
      <c r="C7093">
        <v>349534</v>
      </c>
      <c r="D7093">
        <v>1480</v>
      </c>
    </row>
    <row r="7094" spans="1:4" x14ac:dyDescent="0.25">
      <c r="A7094" t="str">
        <f>T("   TG")</f>
        <v xml:space="preserve">   TG</v>
      </c>
      <c r="B7094" t="str">
        <f>T("   Togo")</f>
        <v xml:space="preserve">   Togo</v>
      </c>
      <c r="C7094">
        <v>349534</v>
      </c>
      <c r="D7094">
        <v>1480</v>
      </c>
    </row>
    <row r="7095" spans="1:4" x14ac:dyDescent="0.25">
      <c r="A7095" t="str">
        <f>T("611090")</f>
        <v>611090</v>
      </c>
      <c r="B7095" t="str">
        <f>T("Chandails, pull-overs, cardigans, gilets et articles simil., y.c. les sous-pulls, en bonneterie, de matières textiles (sauf de laine, poils fins, coton, fibres synthétiques ou artificielles et sauf gilets ouatinés)")</f>
        <v>Chandails, pull-overs, cardigans, gilets et articles simil., y.c. les sous-pulls, en bonneterie, de matières textiles (sauf de laine, poils fins, coton, fibres synthétiques ou artificielles et sauf gilets ouatinés)</v>
      </c>
    </row>
    <row r="7096" spans="1:4" x14ac:dyDescent="0.25">
      <c r="A7096" t="str">
        <f>T("   ZZZ_Monde")</f>
        <v xml:space="preserve">   ZZZ_Monde</v>
      </c>
      <c r="B7096" t="str">
        <f>T("   ZZZ_Monde")</f>
        <v xml:space="preserve">   ZZZ_Monde</v>
      </c>
      <c r="C7096">
        <v>5917309</v>
      </c>
      <c r="D7096">
        <v>2800</v>
      </c>
    </row>
    <row r="7097" spans="1:4" x14ac:dyDescent="0.25">
      <c r="A7097" t="str">
        <f>T("   ES")</f>
        <v xml:space="preserve">   ES</v>
      </c>
      <c r="B7097" t="str">
        <f>T("   Espagne")</f>
        <v xml:space="preserve">   Espagne</v>
      </c>
      <c r="C7097">
        <v>4009763</v>
      </c>
      <c r="D7097">
        <v>1800</v>
      </c>
    </row>
    <row r="7098" spans="1:4" x14ac:dyDescent="0.25">
      <c r="A7098" t="str">
        <f>T("   IT")</f>
        <v xml:space="preserve">   IT</v>
      </c>
      <c r="B7098" t="str">
        <f>T("   Italie")</f>
        <v xml:space="preserve">   Italie</v>
      </c>
      <c r="C7098">
        <v>1776471</v>
      </c>
      <c r="D7098">
        <v>500</v>
      </c>
    </row>
    <row r="7099" spans="1:4" x14ac:dyDescent="0.25">
      <c r="A7099" t="str">
        <f>T("   TG")</f>
        <v xml:space="preserve">   TG</v>
      </c>
      <c r="B7099" t="str">
        <f>T("   Togo")</f>
        <v xml:space="preserve">   Togo</v>
      </c>
      <c r="C7099">
        <v>131075</v>
      </c>
      <c r="D7099">
        <v>500</v>
      </c>
    </row>
    <row r="7100" spans="1:4" x14ac:dyDescent="0.25">
      <c r="A7100" t="str">
        <f>T("611120")</f>
        <v>611120</v>
      </c>
      <c r="B7100" t="str">
        <f>T("Vêtements et accessoires du vêtement, en bonneterie, de coton, pour bébés (sauf gants et bonnets)")</f>
        <v>Vêtements et accessoires du vêtement, en bonneterie, de coton, pour bébés (sauf gants et bonnets)</v>
      </c>
    </row>
    <row r="7101" spans="1:4" x14ac:dyDescent="0.25">
      <c r="A7101" t="str">
        <f>T("   ZZZ_Monde")</f>
        <v xml:space="preserve">   ZZZ_Monde</v>
      </c>
      <c r="B7101" t="str">
        <f>T("   ZZZ_Monde")</f>
        <v xml:space="preserve">   ZZZ_Monde</v>
      </c>
      <c r="C7101">
        <v>50000</v>
      </c>
      <c r="D7101">
        <v>162</v>
      </c>
    </row>
    <row r="7102" spans="1:4" x14ac:dyDescent="0.25">
      <c r="A7102" t="str">
        <f>T("   FR")</f>
        <v xml:space="preserve">   FR</v>
      </c>
      <c r="B7102" t="str">
        <f>T("   France")</f>
        <v xml:space="preserve">   France</v>
      </c>
      <c r="C7102">
        <v>50000</v>
      </c>
      <c r="D7102">
        <v>162</v>
      </c>
    </row>
    <row r="7103" spans="1:4" x14ac:dyDescent="0.25">
      <c r="A7103" t="str">
        <f>T("611130")</f>
        <v>611130</v>
      </c>
      <c r="B7103" t="str">
        <f>T("Vêtements et accessoires du vêtement, en bonneterie, de fibres synthétiques, pour bébés (sauf bonnets)")</f>
        <v>Vêtements et accessoires du vêtement, en bonneterie, de fibres synthétiques, pour bébés (sauf bonnets)</v>
      </c>
    </row>
    <row r="7104" spans="1:4" x14ac:dyDescent="0.25">
      <c r="A7104" t="str">
        <f>T("   ZZZ_Monde")</f>
        <v xml:space="preserve">   ZZZ_Monde</v>
      </c>
      <c r="B7104" t="str">
        <f>T("   ZZZ_Monde")</f>
        <v xml:space="preserve">   ZZZ_Monde</v>
      </c>
      <c r="C7104">
        <v>243510</v>
      </c>
      <c r="D7104">
        <v>327</v>
      </c>
    </row>
    <row r="7105" spans="1:4" x14ac:dyDescent="0.25">
      <c r="A7105" t="str">
        <f>T("   CN")</f>
        <v xml:space="preserve">   CN</v>
      </c>
      <c r="B7105" t="str">
        <f>T("   Chine")</f>
        <v xml:space="preserve">   Chine</v>
      </c>
      <c r="C7105">
        <v>243510</v>
      </c>
      <c r="D7105">
        <v>327</v>
      </c>
    </row>
    <row r="7106" spans="1:4" x14ac:dyDescent="0.25">
      <c r="A7106" t="str">
        <f>T("611190")</f>
        <v>611190</v>
      </c>
      <c r="B7106" t="str">
        <f>T("VÊTEMENTS ET ACCESSOIRES DU VÊTEMENT, EN BONNETERIE, DE MATIÈRES TEXTILES, POUR BÉBÉS (SAUF DE COTON, FIBRES SYNTHÉTIQUES ET SAUF BONNETS)")</f>
        <v>VÊTEMENTS ET ACCESSOIRES DU VÊTEMENT, EN BONNETERIE, DE MATIÈRES TEXTILES, POUR BÉBÉS (SAUF DE COTON, FIBRES SYNTHÉTIQUES ET SAUF BONNETS)</v>
      </c>
    </row>
    <row r="7107" spans="1:4" x14ac:dyDescent="0.25">
      <c r="A7107" t="str">
        <f>T("   ZZZ_Monde")</f>
        <v xml:space="preserve">   ZZZ_Monde</v>
      </c>
      <c r="B7107" t="str">
        <f>T("   ZZZ_Monde")</f>
        <v xml:space="preserve">   ZZZ_Monde</v>
      </c>
      <c r="C7107">
        <v>100681066</v>
      </c>
      <c r="D7107">
        <v>303479</v>
      </c>
    </row>
    <row r="7108" spans="1:4" x14ac:dyDescent="0.25">
      <c r="A7108" t="str">
        <f>T("   CN")</f>
        <v xml:space="preserve">   CN</v>
      </c>
      <c r="B7108" t="str">
        <f>T("   Chine")</f>
        <v xml:space="preserve">   Chine</v>
      </c>
      <c r="C7108">
        <v>14805364</v>
      </c>
      <c r="D7108">
        <v>33256</v>
      </c>
    </row>
    <row r="7109" spans="1:4" x14ac:dyDescent="0.25">
      <c r="A7109" t="str">
        <f>T("   FR")</f>
        <v xml:space="preserve">   FR</v>
      </c>
      <c r="B7109" t="str">
        <f>T("   France")</f>
        <v xml:space="preserve">   France</v>
      </c>
      <c r="C7109">
        <v>429654</v>
      </c>
      <c r="D7109">
        <v>54</v>
      </c>
    </row>
    <row r="7110" spans="1:4" x14ac:dyDescent="0.25">
      <c r="A7110" t="str">
        <f>T("   GH")</f>
        <v xml:space="preserve">   GH</v>
      </c>
      <c r="B7110" t="str">
        <f>T("   Ghana")</f>
        <v xml:space="preserve">   Ghana</v>
      </c>
      <c r="C7110">
        <v>3000000</v>
      </c>
      <c r="D7110">
        <v>10000</v>
      </c>
    </row>
    <row r="7111" spans="1:4" x14ac:dyDescent="0.25">
      <c r="A7111" t="str">
        <f>T("   GM")</f>
        <v xml:space="preserve">   GM</v>
      </c>
      <c r="B7111" t="str">
        <f>T("   Gambie")</f>
        <v xml:space="preserve">   Gambie</v>
      </c>
      <c r="C7111">
        <v>1350808</v>
      </c>
      <c r="D7111">
        <v>10000</v>
      </c>
    </row>
    <row r="7112" spans="1:4" x14ac:dyDescent="0.25">
      <c r="A7112" t="str">
        <f>T("   ID")</f>
        <v xml:space="preserve">   ID</v>
      </c>
      <c r="B7112" t="str">
        <f>T("   Indonésie")</f>
        <v xml:space="preserve">   Indonésie</v>
      </c>
      <c r="C7112">
        <v>3541439</v>
      </c>
      <c r="D7112">
        <v>3970</v>
      </c>
    </row>
    <row r="7113" spans="1:4" x14ac:dyDescent="0.25">
      <c r="A7113" t="str">
        <f>T("   TG")</f>
        <v xml:space="preserve">   TG</v>
      </c>
      <c r="B7113" t="str">
        <f>T("   Togo")</f>
        <v xml:space="preserve">   Togo</v>
      </c>
      <c r="C7113">
        <v>75835340</v>
      </c>
      <c r="D7113">
        <v>243774</v>
      </c>
    </row>
    <row r="7114" spans="1:4" x14ac:dyDescent="0.25">
      <c r="A7114" t="str">
        <f>T("   TH")</f>
        <v xml:space="preserve">   TH</v>
      </c>
      <c r="B7114" t="str">
        <f>T("   Thaïlande")</f>
        <v xml:space="preserve">   Thaïlande</v>
      </c>
      <c r="C7114">
        <v>1212248</v>
      </c>
      <c r="D7114">
        <v>2296</v>
      </c>
    </row>
    <row r="7115" spans="1:4" x14ac:dyDescent="0.25">
      <c r="A7115" t="str">
        <f>T("   US")</f>
        <v xml:space="preserve">   US</v>
      </c>
      <c r="B7115" t="str">
        <f>T("   Etats-Unis")</f>
        <v xml:space="preserve">   Etats-Unis</v>
      </c>
      <c r="C7115">
        <v>506213</v>
      </c>
      <c r="D7115">
        <v>129</v>
      </c>
    </row>
    <row r="7116" spans="1:4" x14ac:dyDescent="0.25">
      <c r="A7116" t="str">
        <f>T("611219")</f>
        <v>611219</v>
      </c>
      <c r="B7116" t="str">
        <f>T("Survêtements de sport 'trainings', en bonneterie, de matières textiles (sauf de coton ou fibres synthétiques)")</f>
        <v>Survêtements de sport 'trainings', en bonneterie, de matières textiles (sauf de coton ou fibres synthétiques)</v>
      </c>
    </row>
    <row r="7117" spans="1:4" x14ac:dyDescent="0.25">
      <c r="A7117" t="str">
        <f>T("   ZZZ_Monde")</f>
        <v xml:space="preserve">   ZZZ_Monde</v>
      </c>
      <c r="B7117" t="str">
        <f>T("   ZZZ_Monde")</f>
        <v xml:space="preserve">   ZZZ_Monde</v>
      </c>
      <c r="C7117">
        <v>104861</v>
      </c>
      <c r="D7117">
        <v>170</v>
      </c>
    </row>
    <row r="7118" spans="1:4" x14ac:dyDescent="0.25">
      <c r="A7118" t="str">
        <f>T("   TG")</f>
        <v xml:space="preserve">   TG</v>
      </c>
      <c r="B7118" t="str">
        <f>T("   Togo")</f>
        <v xml:space="preserve">   Togo</v>
      </c>
      <c r="C7118">
        <v>104861</v>
      </c>
      <c r="D7118">
        <v>170</v>
      </c>
    </row>
    <row r="7119" spans="1:4" x14ac:dyDescent="0.25">
      <c r="A7119" t="str">
        <f>T("611220")</f>
        <v>611220</v>
      </c>
      <c r="B7119" t="str">
        <f>T("Combinaisons et ensembles de ski, en bonneterie")</f>
        <v>Combinaisons et ensembles de ski, en bonneterie</v>
      </c>
    </row>
    <row r="7120" spans="1:4" x14ac:dyDescent="0.25">
      <c r="A7120" t="str">
        <f>T("   ZZZ_Monde")</f>
        <v xml:space="preserve">   ZZZ_Monde</v>
      </c>
      <c r="B7120" t="str">
        <f>T("   ZZZ_Monde")</f>
        <v xml:space="preserve">   ZZZ_Monde</v>
      </c>
      <c r="C7120">
        <v>250000</v>
      </c>
      <c r="D7120">
        <v>415.4</v>
      </c>
    </row>
    <row r="7121" spans="1:4" x14ac:dyDescent="0.25">
      <c r="A7121" t="str">
        <f>T("   FR")</f>
        <v xml:space="preserve">   FR</v>
      </c>
      <c r="B7121" t="str">
        <f>T("   France")</f>
        <v xml:space="preserve">   France</v>
      </c>
      <c r="C7121">
        <v>150000</v>
      </c>
      <c r="D7121">
        <v>365</v>
      </c>
    </row>
    <row r="7122" spans="1:4" x14ac:dyDescent="0.25">
      <c r="A7122" t="str">
        <f>T("   HK")</f>
        <v xml:space="preserve">   HK</v>
      </c>
      <c r="B7122" t="str">
        <f>T("   Hong-Kong")</f>
        <v xml:space="preserve">   Hong-Kong</v>
      </c>
      <c r="C7122">
        <v>100000</v>
      </c>
      <c r="D7122">
        <v>50.4</v>
      </c>
    </row>
    <row r="7123" spans="1:4" x14ac:dyDescent="0.25">
      <c r="A7123" t="str">
        <f>T("611300")</f>
        <v>611300</v>
      </c>
      <c r="B7123" t="str">
        <f>T("Vêtements confectionnés en étoffes de bonneterie caoutchoutées ou imprégnées, enduites ou recouvertes de matière plastique ou d'autres substances (sauf vêtements pour bébés et accessoires du vêtement)")</f>
        <v>Vêtements confectionnés en étoffes de bonneterie caoutchoutées ou imprégnées, enduites ou recouvertes de matière plastique ou d'autres substances (sauf vêtements pour bébés et accessoires du vêtement)</v>
      </c>
    </row>
    <row r="7124" spans="1:4" x14ac:dyDescent="0.25">
      <c r="A7124" t="str">
        <f>T("   ZZZ_Monde")</f>
        <v xml:space="preserve">   ZZZ_Monde</v>
      </c>
      <c r="B7124" t="str">
        <f>T("   ZZZ_Monde")</f>
        <v xml:space="preserve">   ZZZ_Monde</v>
      </c>
      <c r="C7124">
        <v>229196369</v>
      </c>
      <c r="D7124">
        <v>420000</v>
      </c>
    </row>
    <row r="7125" spans="1:4" x14ac:dyDescent="0.25">
      <c r="A7125" t="str">
        <f>T("   CN")</f>
        <v xml:space="preserve">   CN</v>
      </c>
      <c r="B7125" t="str">
        <f>T("   Chine")</f>
        <v xml:space="preserve">   Chine</v>
      </c>
      <c r="C7125">
        <v>229196369</v>
      </c>
      <c r="D7125">
        <v>420000</v>
      </c>
    </row>
    <row r="7126" spans="1:4" x14ac:dyDescent="0.25">
      <c r="A7126" t="str">
        <f>T("611410")</f>
        <v>611410</v>
      </c>
      <c r="B7126" t="str">
        <f>T("Vêtements spéciaux destinés à des fins professionnelles, sportives ou autres n.d.a., en bonneterie, de laine ou poils fins")</f>
        <v>Vêtements spéciaux destinés à des fins professionnelles, sportives ou autres n.d.a., en bonneterie, de laine ou poils fins</v>
      </c>
    </row>
    <row r="7127" spans="1:4" x14ac:dyDescent="0.25">
      <c r="A7127" t="str">
        <f>T("   ZZZ_Monde")</f>
        <v xml:space="preserve">   ZZZ_Monde</v>
      </c>
      <c r="B7127" t="str">
        <f>T("   ZZZ_Monde")</f>
        <v xml:space="preserve">   ZZZ_Monde</v>
      </c>
      <c r="C7127">
        <v>6554000</v>
      </c>
      <c r="D7127">
        <v>14000</v>
      </c>
    </row>
    <row r="7128" spans="1:4" x14ac:dyDescent="0.25">
      <c r="A7128" t="str">
        <f>T("   CN")</f>
        <v xml:space="preserve">   CN</v>
      </c>
      <c r="B7128" t="str">
        <f>T("   Chine")</f>
        <v xml:space="preserve">   Chine</v>
      </c>
      <c r="C7128">
        <v>6554000</v>
      </c>
      <c r="D7128">
        <v>14000</v>
      </c>
    </row>
    <row r="7129" spans="1:4" x14ac:dyDescent="0.25">
      <c r="A7129" t="str">
        <f>T("611420")</f>
        <v>611420</v>
      </c>
      <c r="B7129" t="str">
        <f>T("Vêtements spéciaux destinés à des fins professionnelles, sportives ou autres n.d.a., en bonneterie, de coton")</f>
        <v>Vêtements spéciaux destinés à des fins professionnelles, sportives ou autres n.d.a., en bonneterie, de coton</v>
      </c>
    </row>
    <row r="7130" spans="1:4" x14ac:dyDescent="0.25">
      <c r="A7130" t="str">
        <f>T("   ZZZ_Monde")</f>
        <v xml:space="preserve">   ZZZ_Monde</v>
      </c>
      <c r="B7130" t="str">
        <f>T("   ZZZ_Monde")</f>
        <v xml:space="preserve">   ZZZ_Monde</v>
      </c>
      <c r="C7130">
        <v>29518</v>
      </c>
      <c r="D7130">
        <v>46</v>
      </c>
    </row>
    <row r="7131" spans="1:4" x14ac:dyDescent="0.25">
      <c r="A7131" t="str">
        <f>T("   CN")</f>
        <v xml:space="preserve">   CN</v>
      </c>
      <c r="B7131" t="str">
        <f>T("   Chine")</f>
        <v xml:space="preserve">   Chine</v>
      </c>
      <c r="C7131">
        <v>16399</v>
      </c>
      <c r="D7131">
        <v>36</v>
      </c>
    </row>
    <row r="7132" spans="1:4" x14ac:dyDescent="0.25">
      <c r="A7132" t="str">
        <f>T("   FR")</f>
        <v xml:space="preserve">   FR</v>
      </c>
      <c r="B7132" t="str">
        <f>T("   France")</f>
        <v xml:space="preserve">   France</v>
      </c>
      <c r="C7132">
        <v>13119</v>
      </c>
      <c r="D7132">
        <v>10</v>
      </c>
    </row>
    <row r="7133" spans="1:4" x14ac:dyDescent="0.25">
      <c r="A7133" t="str">
        <f>T("611430")</f>
        <v>611430</v>
      </c>
      <c r="B7133" t="str">
        <f>T("Vêtements spéciaux destinés à des fins professionnelles, sportives ou autres n.d.a., en bonneterie, de fibres synthétiques ou artificielles")</f>
        <v>Vêtements spéciaux destinés à des fins professionnelles, sportives ou autres n.d.a., en bonneterie, de fibres synthétiques ou artificielles</v>
      </c>
    </row>
    <row r="7134" spans="1:4" x14ac:dyDescent="0.25">
      <c r="A7134" t="str">
        <f>T("   ZZZ_Monde")</f>
        <v xml:space="preserve">   ZZZ_Monde</v>
      </c>
      <c r="B7134" t="str">
        <f>T("   ZZZ_Monde")</f>
        <v xml:space="preserve">   ZZZ_Monde</v>
      </c>
      <c r="C7134">
        <v>680591</v>
      </c>
      <c r="D7134">
        <v>30</v>
      </c>
    </row>
    <row r="7135" spans="1:4" x14ac:dyDescent="0.25">
      <c r="A7135" t="str">
        <f>T("   FR")</f>
        <v xml:space="preserve">   FR</v>
      </c>
      <c r="B7135" t="str">
        <f>T("   France")</f>
        <v xml:space="preserve">   France</v>
      </c>
      <c r="C7135">
        <v>680591</v>
      </c>
      <c r="D7135">
        <v>30</v>
      </c>
    </row>
    <row r="7136" spans="1:4" x14ac:dyDescent="0.25">
      <c r="A7136" t="str">
        <f>T("611490")</f>
        <v>611490</v>
      </c>
      <c r="B7136" t="str">
        <f>T("Vêtements spéciaux destinés à des fins professionnelles, sportives ou autres n.d.a., en bonneterie, de matières textiles (sauf de laine, poils fins, coton, fibres synthétiques ou artificielles)")</f>
        <v>Vêtements spéciaux destinés à des fins professionnelles, sportives ou autres n.d.a., en bonneterie, de matières textiles (sauf de laine, poils fins, coton, fibres synthétiques ou artificielles)</v>
      </c>
    </row>
    <row r="7137" spans="1:4" x14ac:dyDescent="0.25">
      <c r="A7137" t="str">
        <f>T("   ZZZ_Monde")</f>
        <v xml:space="preserve">   ZZZ_Monde</v>
      </c>
      <c r="B7137" t="str">
        <f>T("   ZZZ_Monde")</f>
        <v xml:space="preserve">   ZZZ_Monde</v>
      </c>
      <c r="C7137">
        <v>232490484</v>
      </c>
      <c r="D7137">
        <v>409726</v>
      </c>
    </row>
    <row r="7138" spans="1:4" x14ac:dyDescent="0.25">
      <c r="A7138" t="str">
        <f>T("   BE")</f>
        <v xml:space="preserve">   BE</v>
      </c>
      <c r="B7138" t="str">
        <f>T("   Belgique")</f>
        <v xml:space="preserve">   Belgique</v>
      </c>
      <c r="C7138">
        <v>8600000</v>
      </c>
      <c r="D7138">
        <v>7480</v>
      </c>
    </row>
    <row r="7139" spans="1:4" x14ac:dyDescent="0.25">
      <c r="A7139" t="str">
        <f>T("   CA")</f>
        <v xml:space="preserve">   CA</v>
      </c>
      <c r="B7139" t="str">
        <f>T("   Canada")</f>
        <v xml:space="preserve">   Canada</v>
      </c>
      <c r="C7139">
        <v>250000</v>
      </c>
      <c r="D7139">
        <v>500</v>
      </c>
    </row>
    <row r="7140" spans="1:4" x14ac:dyDescent="0.25">
      <c r="A7140" t="str">
        <f>T("   CN")</f>
        <v xml:space="preserve">   CN</v>
      </c>
      <c r="B7140" t="str">
        <f>T("   Chine")</f>
        <v xml:space="preserve">   Chine</v>
      </c>
      <c r="C7140">
        <v>140068681</v>
      </c>
      <c r="D7140">
        <v>312094</v>
      </c>
    </row>
    <row r="7141" spans="1:4" x14ac:dyDescent="0.25">
      <c r="A7141" t="str">
        <f>T("   FR")</f>
        <v xml:space="preserve">   FR</v>
      </c>
      <c r="B7141" t="str">
        <f>T("   France")</f>
        <v xml:space="preserve">   France</v>
      </c>
      <c r="C7141">
        <v>17785951</v>
      </c>
      <c r="D7141">
        <v>3269</v>
      </c>
    </row>
    <row r="7142" spans="1:4" x14ac:dyDescent="0.25">
      <c r="A7142" t="str">
        <f>T("   GB")</f>
        <v xml:space="preserve">   GB</v>
      </c>
      <c r="B7142" t="str">
        <f>T("   Royaume-Uni")</f>
        <v xml:space="preserve">   Royaume-Uni</v>
      </c>
      <c r="C7142">
        <v>256480</v>
      </c>
      <c r="D7142">
        <v>550</v>
      </c>
    </row>
    <row r="7143" spans="1:4" x14ac:dyDescent="0.25">
      <c r="A7143" t="str">
        <f>T("   GR")</f>
        <v xml:space="preserve">   GR</v>
      </c>
      <c r="B7143" t="str">
        <f>T("   Grèce")</f>
        <v xml:space="preserve">   Grèce</v>
      </c>
      <c r="C7143">
        <v>4499886</v>
      </c>
      <c r="D7143">
        <v>3200</v>
      </c>
    </row>
    <row r="7144" spans="1:4" x14ac:dyDescent="0.25">
      <c r="A7144" t="str">
        <f>T("   IN")</f>
        <v xml:space="preserve">   IN</v>
      </c>
      <c r="B7144" t="str">
        <f>T("   Inde")</f>
        <v xml:space="preserve">   Inde</v>
      </c>
      <c r="C7144">
        <v>1367021</v>
      </c>
      <c r="D7144">
        <v>2841</v>
      </c>
    </row>
    <row r="7145" spans="1:4" x14ac:dyDescent="0.25">
      <c r="A7145" t="str">
        <f>T("   IT")</f>
        <v xml:space="preserve">   IT</v>
      </c>
      <c r="B7145" t="str">
        <f>T("   Italie")</f>
        <v xml:space="preserve">   Italie</v>
      </c>
      <c r="C7145">
        <v>229586</v>
      </c>
      <c r="D7145">
        <v>425</v>
      </c>
    </row>
    <row r="7146" spans="1:4" x14ac:dyDescent="0.25">
      <c r="A7146" t="str">
        <f>T("   KW")</f>
        <v xml:space="preserve">   KW</v>
      </c>
      <c r="B7146" t="str">
        <f>T("   Koweit")</f>
        <v xml:space="preserve">   Koweit</v>
      </c>
      <c r="C7146">
        <v>479350</v>
      </c>
      <c r="D7146">
        <v>4500</v>
      </c>
    </row>
    <row r="7147" spans="1:4" x14ac:dyDescent="0.25">
      <c r="A7147" t="str">
        <f>T("   MA")</f>
        <v xml:space="preserve">   MA</v>
      </c>
      <c r="B7147" t="str">
        <f>T("   Maroc")</f>
        <v xml:space="preserve">   Maroc</v>
      </c>
      <c r="C7147">
        <v>3484938</v>
      </c>
      <c r="D7147">
        <v>192</v>
      </c>
    </row>
    <row r="7148" spans="1:4" x14ac:dyDescent="0.25">
      <c r="A7148" t="str">
        <f>T("   NL")</f>
        <v xml:space="preserve">   NL</v>
      </c>
      <c r="B7148" t="str">
        <f>T("   Pays-bas")</f>
        <v xml:space="preserve">   Pays-bas</v>
      </c>
      <c r="C7148">
        <v>951529</v>
      </c>
      <c r="D7148">
        <v>5083</v>
      </c>
    </row>
    <row r="7149" spans="1:4" x14ac:dyDescent="0.25">
      <c r="A7149" t="str">
        <f>T("   TG")</f>
        <v xml:space="preserve">   TG</v>
      </c>
      <c r="B7149" t="str">
        <f>T("   Togo")</f>
        <v xml:space="preserve">   Togo</v>
      </c>
      <c r="C7149">
        <v>8065000</v>
      </c>
      <c r="D7149">
        <v>19545</v>
      </c>
    </row>
    <row r="7150" spans="1:4" x14ac:dyDescent="0.25">
      <c r="A7150" t="str">
        <f>T("   TH")</f>
        <v xml:space="preserve">   TH</v>
      </c>
      <c r="B7150" t="str">
        <f>T("   Thaïlande")</f>
        <v xml:space="preserve">   Thaïlande</v>
      </c>
      <c r="C7150">
        <v>13108258</v>
      </c>
      <c r="D7150">
        <v>39576</v>
      </c>
    </row>
    <row r="7151" spans="1:4" x14ac:dyDescent="0.25">
      <c r="A7151" t="str">
        <f>T("   US")</f>
        <v xml:space="preserve">   US</v>
      </c>
      <c r="B7151" t="str">
        <f>T("   Etats-Unis")</f>
        <v xml:space="preserve">   Etats-Unis</v>
      </c>
      <c r="C7151">
        <v>33343804</v>
      </c>
      <c r="D7151">
        <v>10471</v>
      </c>
    </row>
    <row r="7152" spans="1:4" x14ac:dyDescent="0.25">
      <c r="A7152" t="str">
        <f>T("611511")</f>
        <v>611511</v>
      </c>
      <c r="B7152" t="str">
        <f>T("COLLANTS 'BAS-CULOTTES', EN BONNETERIE, DE FIBRES SYNTHÉTIQUES, TITRE EN FILS SIMPLES &lt; 67 DÉCITEX")</f>
        <v>COLLANTS 'BAS-CULOTTES', EN BONNETERIE, DE FIBRES SYNTHÉTIQUES, TITRE EN FILS SIMPLES &lt; 67 DÉCITEX</v>
      </c>
    </row>
    <row r="7153" spans="1:4" x14ac:dyDescent="0.25">
      <c r="A7153" t="str">
        <f>T("   ZZZ_Monde")</f>
        <v xml:space="preserve">   ZZZ_Monde</v>
      </c>
      <c r="B7153" t="str">
        <f>T("   ZZZ_Monde")</f>
        <v xml:space="preserve">   ZZZ_Monde</v>
      </c>
      <c r="C7153">
        <v>1805979</v>
      </c>
      <c r="D7153">
        <v>3241</v>
      </c>
    </row>
    <row r="7154" spans="1:4" x14ac:dyDescent="0.25">
      <c r="A7154" t="str">
        <f>T("   CN")</f>
        <v xml:space="preserve">   CN</v>
      </c>
      <c r="B7154" t="str">
        <f>T("   Chine")</f>
        <v xml:space="preserve">   Chine</v>
      </c>
      <c r="C7154">
        <v>1805979</v>
      </c>
      <c r="D7154">
        <v>3241</v>
      </c>
    </row>
    <row r="7155" spans="1:4" x14ac:dyDescent="0.25">
      <c r="A7155" t="str">
        <f>T("611519")</f>
        <v>611519</v>
      </c>
      <c r="B7155" t="str">
        <f>T("COLLANTS 'BAS-CULOTTES', EN BONNETERIE, DE MATIÈRES TEXTILES (SAUF DE FIBRES SYNTHÉTIQUES ET SAUF ARTICLES CHAUSSANTS POUR BÉBÉS)")</f>
        <v>COLLANTS 'BAS-CULOTTES', EN BONNETERIE, DE MATIÈRES TEXTILES (SAUF DE FIBRES SYNTHÉTIQUES ET SAUF ARTICLES CHAUSSANTS POUR BÉBÉS)</v>
      </c>
    </row>
    <row r="7156" spans="1:4" x14ac:dyDescent="0.25">
      <c r="A7156" t="str">
        <f>T("   ZZZ_Monde")</f>
        <v xml:space="preserve">   ZZZ_Monde</v>
      </c>
      <c r="B7156" t="str">
        <f>T("   ZZZ_Monde")</f>
        <v xml:space="preserve">   ZZZ_Monde</v>
      </c>
      <c r="C7156">
        <v>1570269</v>
      </c>
      <c r="D7156">
        <v>4144</v>
      </c>
    </row>
    <row r="7157" spans="1:4" x14ac:dyDescent="0.25">
      <c r="A7157" t="str">
        <f>T("   CN")</f>
        <v xml:space="preserve">   CN</v>
      </c>
      <c r="B7157" t="str">
        <f>T("   Chine")</f>
        <v xml:space="preserve">   Chine</v>
      </c>
      <c r="C7157">
        <v>1570269</v>
      </c>
      <c r="D7157">
        <v>4144</v>
      </c>
    </row>
    <row r="7158" spans="1:4" x14ac:dyDescent="0.25">
      <c r="A7158" t="str">
        <f>T("611592")</f>
        <v>611592</v>
      </c>
      <c r="B7158" t="str">
        <f>T("BAS ET MI-BAS, CHAUSSETTES ET AUTRES ARTICLES CHAUSSANTS, Y.C. LES BAS À VARICES, EN BONNETERIE, DE COTON (SAUF COLLANTS 'BAS-CULOTTES' BAS ET MI-BAS DE FEMMES À TITRE EN FILS SIMPLES &lt; 67 DÉCITEX ET SAUF ARTICLES CHAUSSANTS POUR BÉBÉS)")</f>
        <v>BAS ET MI-BAS, CHAUSSETTES ET AUTRES ARTICLES CHAUSSANTS, Y.C. LES BAS À VARICES, EN BONNETERIE, DE COTON (SAUF COLLANTS 'BAS-CULOTTES' BAS ET MI-BAS DE FEMMES À TITRE EN FILS SIMPLES &lt; 67 DÉCITEX ET SAUF ARTICLES CHAUSSANTS POUR BÉBÉS)</v>
      </c>
    </row>
    <row r="7159" spans="1:4" x14ac:dyDescent="0.25">
      <c r="A7159" t="str">
        <f>T("   ZZZ_Monde")</f>
        <v xml:space="preserve">   ZZZ_Monde</v>
      </c>
      <c r="B7159" t="str">
        <f>T("   ZZZ_Monde")</f>
        <v xml:space="preserve">   ZZZ_Monde</v>
      </c>
      <c r="C7159">
        <v>9299030</v>
      </c>
      <c r="D7159">
        <v>10281</v>
      </c>
    </row>
    <row r="7160" spans="1:4" x14ac:dyDescent="0.25">
      <c r="A7160" t="str">
        <f>T("   CN")</f>
        <v xml:space="preserve">   CN</v>
      </c>
      <c r="B7160" t="str">
        <f>T("   Chine")</f>
        <v xml:space="preserve">   Chine</v>
      </c>
      <c r="C7160">
        <v>5440623</v>
      </c>
      <c r="D7160">
        <v>9388</v>
      </c>
    </row>
    <row r="7161" spans="1:4" x14ac:dyDescent="0.25">
      <c r="A7161" t="str">
        <f>T("   FR")</f>
        <v xml:space="preserve">   FR</v>
      </c>
      <c r="B7161" t="str">
        <f>T("   France")</f>
        <v xml:space="preserve">   France</v>
      </c>
      <c r="C7161">
        <v>3421487</v>
      </c>
      <c r="D7161">
        <v>243</v>
      </c>
    </row>
    <row r="7162" spans="1:4" x14ac:dyDescent="0.25">
      <c r="A7162" t="str">
        <f>T("   TG")</f>
        <v xml:space="preserve">   TG</v>
      </c>
      <c r="B7162" t="str">
        <f>T("   Togo")</f>
        <v xml:space="preserve">   Togo</v>
      </c>
      <c r="C7162">
        <v>436920</v>
      </c>
      <c r="D7162">
        <v>650</v>
      </c>
    </row>
    <row r="7163" spans="1:4" x14ac:dyDescent="0.25">
      <c r="A7163" t="str">
        <f>T("611599")</f>
        <v>611599</v>
      </c>
      <c r="B7163" t="str">
        <f>T("BAS ET MI-BAS, CHAUSSETTES ET AUTRES ARTICLES CHAUSSANTS, Y.C. LES BAS À VARICES, EN BONNETERIE, DE MATIÈRES TEXTILES (AUTRES QUE LAINE, POILS FINS, COTON, FIBRES SYNTHÉTIQUES ET SAUF COLLANTS 'BAS-CULOTTES' BAS ET MI-BAS POUR FEMMES À TITRE &lt; 67 DÉCITEX")</f>
        <v>BAS ET MI-BAS, CHAUSSETTES ET AUTRES ARTICLES CHAUSSANTS, Y.C. LES BAS À VARICES, EN BONNETERIE, DE MATIÈRES TEXTILES (AUTRES QUE LAINE, POILS FINS, COTON, FIBRES SYNTHÉTIQUES ET SAUF COLLANTS 'BAS-CULOTTES' BAS ET MI-BAS POUR FEMMES À TITRE &lt; 67 DÉCITEX</v>
      </c>
    </row>
    <row r="7164" spans="1:4" x14ac:dyDescent="0.25">
      <c r="A7164" t="str">
        <f>T("   ZZZ_Monde")</f>
        <v xml:space="preserve">   ZZZ_Monde</v>
      </c>
      <c r="B7164" t="str">
        <f>T("   ZZZ_Monde")</f>
        <v xml:space="preserve">   ZZZ_Monde</v>
      </c>
      <c r="C7164">
        <v>32746467</v>
      </c>
      <c r="D7164">
        <v>85082</v>
      </c>
    </row>
    <row r="7165" spans="1:4" x14ac:dyDescent="0.25">
      <c r="A7165" t="str">
        <f>T("   BE")</f>
        <v xml:space="preserve">   BE</v>
      </c>
      <c r="B7165" t="str">
        <f>T("   Belgique")</f>
        <v xml:space="preserve">   Belgique</v>
      </c>
      <c r="C7165">
        <v>27085244</v>
      </c>
      <c r="D7165">
        <v>84629</v>
      </c>
    </row>
    <row r="7166" spans="1:4" x14ac:dyDescent="0.25">
      <c r="A7166" t="str">
        <f>T("   CN")</f>
        <v xml:space="preserve">   CN</v>
      </c>
      <c r="B7166" t="str">
        <f>T("   Chine")</f>
        <v xml:space="preserve">   Chine</v>
      </c>
      <c r="C7166">
        <v>1318112</v>
      </c>
      <c r="D7166">
        <v>60</v>
      </c>
    </row>
    <row r="7167" spans="1:4" x14ac:dyDescent="0.25">
      <c r="A7167" t="str">
        <f>T("   FR")</f>
        <v xml:space="preserve">   FR</v>
      </c>
      <c r="B7167" t="str">
        <f>T("   France")</f>
        <v xml:space="preserve">   France</v>
      </c>
      <c r="C7167">
        <v>4343111</v>
      </c>
      <c r="D7167">
        <v>393</v>
      </c>
    </row>
    <row r="7168" spans="1:4" x14ac:dyDescent="0.25">
      <c r="A7168" t="str">
        <f>T("611610")</f>
        <v>611610</v>
      </c>
      <c r="B7168" t="str">
        <f>T("Gants, mitaines et moufles, en bonneterie, imprégnés, enduits ou recouverts de matières plastiques ou de caoutchouc (sauf pour bébés)")</f>
        <v>Gants, mitaines et moufles, en bonneterie, imprégnés, enduits ou recouverts de matières plastiques ou de caoutchouc (sauf pour bébés)</v>
      </c>
    </row>
    <row r="7169" spans="1:4" x14ac:dyDescent="0.25">
      <c r="A7169" t="str">
        <f>T("   ZZZ_Monde")</f>
        <v xml:space="preserve">   ZZZ_Monde</v>
      </c>
      <c r="B7169" t="str">
        <f>T("   ZZZ_Monde")</f>
        <v xml:space="preserve">   ZZZ_Monde</v>
      </c>
      <c r="C7169">
        <v>13790927</v>
      </c>
      <c r="D7169">
        <v>1483</v>
      </c>
    </row>
    <row r="7170" spans="1:4" x14ac:dyDescent="0.25">
      <c r="A7170" t="str">
        <f>T("   AE")</f>
        <v xml:space="preserve">   AE</v>
      </c>
      <c r="B7170" t="str">
        <f>T("   Emirats Arabes Unis")</f>
        <v xml:space="preserve">   Emirats Arabes Unis</v>
      </c>
      <c r="C7170">
        <v>632907</v>
      </c>
      <c r="D7170">
        <v>60</v>
      </c>
    </row>
    <row r="7171" spans="1:4" x14ac:dyDescent="0.25">
      <c r="A7171" t="str">
        <f>T("   DK")</f>
        <v xml:space="preserve">   DK</v>
      </c>
      <c r="B7171" t="str">
        <f>T("   Danemark")</f>
        <v xml:space="preserve">   Danemark</v>
      </c>
      <c r="C7171">
        <v>4199358</v>
      </c>
      <c r="D7171">
        <v>460</v>
      </c>
    </row>
    <row r="7172" spans="1:4" x14ac:dyDescent="0.25">
      <c r="A7172" t="str">
        <f>T("   FR")</f>
        <v xml:space="preserve">   FR</v>
      </c>
      <c r="B7172" t="str">
        <f>T("   France")</f>
        <v xml:space="preserve">   France</v>
      </c>
      <c r="C7172">
        <v>8958662</v>
      </c>
      <c r="D7172">
        <v>963</v>
      </c>
    </row>
    <row r="7173" spans="1:4" x14ac:dyDescent="0.25">
      <c r="A7173" t="str">
        <f>T("611692")</f>
        <v>611692</v>
      </c>
      <c r="B7173" t="str">
        <f>T("Gants, mitaines et moufles, en bonneterie, de coton (sauf imprégnés, enduits ou recouverts de matière plastique ou de caoutchouc et sauf pour bébés)")</f>
        <v>Gants, mitaines et moufles, en bonneterie, de coton (sauf imprégnés, enduits ou recouverts de matière plastique ou de caoutchouc et sauf pour bébés)</v>
      </c>
    </row>
    <row r="7174" spans="1:4" x14ac:dyDescent="0.25">
      <c r="A7174" t="str">
        <f>T("   ZZZ_Monde")</f>
        <v xml:space="preserve">   ZZZ_Monde</v>
      </c>
      <c r="B7174" t="str">
        <f>T("   ZZZ_Monde")</f>
        <v xml:space="preserve">   ZZZ_Monde</v>
      </c>
      <c r="C7174">
        <v>824929</v>
      </c>
      <c r="D7174">
        <v>560</v>
      </c>
    </row>
    <row r="7175" spans="1:4" x14ac:dyDescent="0.25">
      <c r="A7175" t="str">
        <f>T("   CN")</f>
        <v xml:space="preserve">   CN</v>
      </c>
      <c r="B7175" t="str">
        <f>T("   Chine")</f>
        <v xml:space="preserve">   Chine</v>
      </c>
      <c r="C7175">
        <v>477926</v>
      </c>
      <c r="D7175">
        <v>60</v>
      </c>
    </row>
    <row r="7176" spans="1:4" x14ac:dyDescent="0.25">
      <c r="A7176" t="str">
        <f>T("   FR")</f>
        <v xml:space="preserve">   FR</v>
      </c>
      <c r="B7176" t="str">
        <f>T("   France")</f>
        <v xml:space="preserve">   France</v>
      </c>
      <c r="C7176">
        <v>347003</v>
      </c>
      <c r="D7176">
        <v>500</v>
      </c>
    </row>
    <row r="7177" spans="1:4" x14ac:dyDescent="0.25">
      <c r="A7177" t="str">
        <f>T("611699")</f>
        <v>611699</v>
      </c>
      <c r="B7177" t="str">
        <f>T("Gants, mitaines et moufles, en bonneterie, de matières textiles (autres que laine, poils fins, coton, fibres synthétiques ou imprégnés, enduits ou recouverts de matières plastiques ou de caoutchouc et sauf pour bébés)")</f>
        <v>Gants, mitaines et moufles, en bonneterie, de matières textiles (autres que laine, poils fins, coton, fibres synthétiques ou imprégnés, enduits ou recouverts de matières plastiques ou de caoutchouc et sauf pour bébés)</v>
      </c>
    </row>
    <row r="7178" spans="1:4" x14ac:dyDescent="0.25">
      <c r="A7178" t="str">
        <f>T("   ZZZ_Monde")</f>
        <v xml:space="preserve">   ZZZ_Monde</v>
      </c>
      <c r="B7178" t="str">
        <f>T("   ZZZ_Monde")</f>
        <v xml:space="preserve">   ZZZ_Monde</v>
      </c>
      <c r="C7178">
        <v>255732</v>
      </c>
      <c r="D7178">
        <v>483</v>
      </c>
    </row>
    <row r="7179" spans="1:4" x14ac:dyDescent="0.25">
      <c r="A7179" t="str">
        <f>T("   CI")</f>
        <v xml:space="preserve">   CI</v>
      </c>
      <c r="B7179" t="str">
        <f>T("   Côte d'Ivoire")</f>
        <v xml:space="preserve">   Côte d'Ivoire</v>
      </c>
      <c r="C7179">
        <v>255732</v>
      </c>
      <c r="D7179">
        <v>483</v>
      </c>
    </row>
    <row r="7180" spans="1:4" x14ac:dyDescent="0.25">
      <c r="A7180" t="str">
        <f>T("611790")</f>
        <v>611790</v>
      </c>
      <c r="B7180" t="str">
        <f>T("Parties de vêtements ou d'accessoires du vêtement, en bonneterie, n.d.a.")</f>
        <v>Parties de vêtements ou d'accessoires du vêtement, en bonneterie, n.d.a.</v>
      </c>
    </row>
    <row r="7181" spans="1:4" x14ac:dyDescent="0.25">
      <c r="A7181" t="str">
        <f>T("   ZZZ_Monde")</f>
        <v xml:space="preserve">   ZZZ_Monde</v>
      </c>
      <c r="B7181" t="str">
        <f>T("   ZZZ_Monde")</f>
        <v xml:space="preserve">   ZZZ_Monde</v>
      </c>
      <c r="C7181">
        <v>224439</v>
      </c>
      <c r="D7181">
        <v>3185</v>
      </c>
    </row>
    <row r="7182" spans="1:4" x14ac:dyDescent="0.25">
      <c r="A7182" t="str">
        <f>T("   TG")</f>
        <v xml:space="preserve">   TG</v>
      </c>
      <c r="B7182" t="str">
        <f>T("   Togo")</f>
        <v xml:space="preserve">   Togo</v>
      </c>
      <c r="C7182">
        <v>224439</v>
      </c>
      <c r="D7182">
        <v>3185</v>
      </c>
    </row>
    <row r="7183" spans="1:4" x14ac:dyDescent="0.25">
      <c r="A7183" t="str">
        <f>T("620113")</f>
        <v>620113</v>
      </c>
      <c r="B7183" t="str">
        <f>T("Manteaux, imperméables, cabans, capes et articles simil., de fibres synthétiques ou artificielles, pour hommes ou garçonnets (à l'excl. des articles en bonneterie)")</f>
        <v>Manteaux, imperméables, cabans, capes et articles simil., de fibres synthétiques ou artificielles, pour hommes ou garçonnets (à l'excl. des articles en bonneterie)</v>
      </c>
    </row>
    <row r="7184" spans="1:4" x14ac:dyDescent="0.25">
      <c r="A7184" t="str">
        <f>T("   ZZZ_Monde")</f>
        <v xml:space="preserve">   ZZZ_Monde</v>
      </c>
      <c r="B7184" t="str">
        <f>T("   ZZZ_Monde")</f>
        <v xml:space="preserve">   ZZZ_Monde</v>
      </c>
      <c r="C7184">
        <v>787152</v>
      </c>
      <c r="D7184">
        <v>2000</v>
      </c>
    </row>
    <row r="7185" spans="1:4" x14ac:dyDescent="0.25">
      <c r="A7185" t="str">
        <f>T("   CN")</f>
        <v xml:space="preserve">   CN</v>
      </c>
      <c r="B7185" t="str">
        <f>T("   Chine")</f>
        <v xml:space="preserve">   Chine</v>
      </c>
      <c r="C7185">
        <v>787152</v>
      </c>
      <c r="D7185">
        <v>2000</v>
      </c>
    </row>
    <row r="7186" spans="1:4" x14ac:dyDescent="0.25">
      <c r="A7186" t="str">
        <f>T("620119")</f>
        <v>620119</v>
      </c>
      <c r="B7186" t="str">
        <f>T("Manteaux, imperméables, cabans, capes et articles simil., de matières textiles, pour hommes ou garçonnets (autres que laine, poils fins, coton, fibres synthétiques ou artificielles et sauf articles en bonneterie)")</f>
        <v>Manteaux, imperméables, cabans, capes et articles simil., de matières textiles, pour hommes ou garçonnets (autres que laine, poils fins, coton, fibres synthétiques ou artificielles et sauf articles en bonneterie)</v>
      </c>
    </row>
    <row r="7187" spans="1:4" x14ac:dyDescent="0.25">
      <c r="A7187" t="str">
        <f>T("   ZZZ_Monde")</f>
        <v xml:space="preserve">   ZZZ_Monde</v>
      </c>
      <c r="B7187" t="str">
        <f>T("   ZZZ_Monde")</f>
        <v xml:space="preserve">   ZZZ_Monde</v>
      </c>
      <c r="C7187">
        <v>326804</v>
      </c>
      <c r="D7187">
        <v>22021</v>
      </c>
    </row>
    <row r="7188" spans="1:4" x14ac:dyDescent="0.25">
      <c r="A7188" t="str">
        <f>T("   SN")</f>
        <v xml:space="preserve">   SN</v>
      </c>
      <c r="B7188" t="str">
        <f>T("   Sénégal")</f>
        <v xml:space="preserve">   Sénégal</v>
      </c>
      <c r="C7188">
        <v>100000</v>
      </c>
      <c r="D7188">
        <v>300</v>
      </c>
    </row>
    <row r="7189" spans="1:4" x14ac:dyDescent="0.25">
      <c r="A7189" t="str">
        <f>T("   TG")</f>
        <v xml:space="preserve">   TG</v>
      </c>
      <c r="B7189" t="str">
        <f>T("   Togo")</f>
        <v xml:space="preserve">   Togo</v>
      </c>
      <c r="C7189">
        <v>176952</v>
      </c>
      <c r="D7189">
        <v>1750</v>
      </c>
    </row>
    <row r="7190" spans="1:4" x14ac:dyDescent="0.25">
      <c r="A7190" t="str">
        <f>T("   TR")</f>
        <v xml:space="preserve">   TR</v>
      </c>
      <c r="B7190" t="str">
        <f>T("   Turquie")</f>
        <v xml:space="preserve">   Turquie</v>
      </c>
      <c r="C7190">
        <v>49852</v>
      </c>
      <c r="D7190">
        <v>19971</v>
      </c>
    </row>
    <row r="7191" spans="1:4" x14ac:dyDescent="0.25">
      <c r="A7191" t="str">
        <f>T("620192")</f>
        <v>620192</v>
      </c>
      <c r="B7191" t="str">
        <f>T("ANORAKS, BLOUSONS ET ARTICLES SIMIL. DE COTON, POUR HOMMES OU GARÇONNETS (À L'EXCL. DES ARTICLES EN BONNETERIE ET DES COSTUMES OU COMPLETS, ENSEMBLES, VESTES, VESTONS, BLAZERS, PANTALONS ET PARTIES SUPÉRIEURES DES ENSEMBLES DE SKI) [01/01/1988-31/12/1991:")</f>
        <v>ANORAKS, BLOUSONS ET ARTICLES SIMIL. DE COTON, POUR HOMMES OU GARÇONNETS (À L'EXCL. DES ARTICLES EN BONNETERIE ET DES COSTUMES OU COMPLETS, ENSEMBLES, VESTES, VESTONS, BLAZERS, PANTALONS ET PARTIES SUPÉRIEURES DES ENSEMBLES DE SKI) [01/01/1988-31/12/1991:</v>
      </c>
    </row>
    <row r="7192" spans="1:4" x14ac:dyDescent="0.25">
      <c r="A7192" t="str">
        <f>T("   ZZZ_Monde")</f>
        <v xml:space="preserve">   ZZZ_Monde</v>
      </c>
      <c r="B7192" t="str">
        <f>T("   ZZZ_Monde")</f>
        <v xml:space="preserve">   ZZZ_Monde</v>
      </c>
      <c r="C7192">
        <v>149559</v>
      </c>
      <c r="D7192">
        <v>20</v>
      </c>
    </row>
    <row r="7193" spans="1:4" x14ac:dyDescent="0.25">
      <c r="A7193" t="str">
        <f>T("   FR")</f>
        <v xml:space="preserve">   FR</v>
      </c>
      <c r="B7193" t="str">
        <f>T("   France")</f>
        <v xml:space="preserve">   France</v>
      </c>
      <c r="C7193">
        <v>149559</v>
      </c>
      <c r="D7193">
        <v>20</v>
      </c>
    </row>
    <row r="7194" spans="1:4" x14ac:dyDescent="0.25">
      <c r="A7194" t="str">
        <f>T("620199")</f>
        <v>620199</v>
      </c>
      <c r="B7194" t="str">
        <f>T("Anoraks, blousons et articles simil., de matières textiles, pour hommes ou garçonnets (autres que laine, poils fins, coton, fibres synthétiques ou artificielles et à l'excl. des articles en bonneterie et des costumes ou complets, ensembles, vestes, veston")</f>
        <v>Anoraks, blousons et articles simil., de matières textiles, pour hommes ou garçonnets (autres que laine, poils fins, coton, fibres synthétiques ou artificielles et à l'excl. des articles en bonneterie et des costumes ou complets, ensembles, vestes, veston</v>
      </c>
    </row>
    <row r="7195" spans="1:4" x14ac:dyDescent="0.25">
      <c r="A7195" t="str">
        <f>T("   ZZZ_Monde")</f>
        <v xml:space="preserve">   ZZZ_Monde</v>
      </c>
      <c r="B7195" t="str">
        <f>T("   ZZZ_Monde")</f>
        <v xml:space="preserve">   ZZZ_Monde</v>
      </c>
      <c r="C7195">
        <v>65596</v>
      </c>
      <c r="D7195">
        <v>500</v>
      </c>
    </row>
    <row r="7196" spans="1:4" x14ac:dyDescent="0.25">
      <c r="A7196" t="str">
        <f>T("   BE")</f>
        <v xml:space="preserve">   BE</v>
      </c>
      <c r="B7196" t="str">
        <f>T("   Belgique")</f>
        <v xml:space="preserve">   Belgique</v>
      </c>
      <c r="C7196">
        <v>65596</v>
      </c>
      <c r="D7196">
        <v>500</v>
      </c>
    </row>
    <row r="7197" spans="1:4" x14ac:dyDescent="0.25">
      <c r="A7197" t="str">
        <f>T("620299")</f>
        <v>620299</v>
      </c>
      <c r="B7197" t="str">
        <f>T("Anoraks, blousons et articles simil., de matières textiles, pour femmes ou fillettes (autres que laine, poils fins, coton, fibres synthétiques ou artificielles et à l'excl. des articles en bonneterie et des costumes tailleurs, ensembles, vestes, blazers e")</f>
        <v>Anoraks, blousons et articles simil., de matières textiles, pour femmes ou fillettes (autres que laine, poils fins, coton, fibres synthétiques ou artificielles et à l'excl. des articles en bonneterie et des costumes tailleurs, ensembles, vestes, blazers e</v>
      </c>
    </row>
    <row r="7198" spans="1:4" x14ac:dyDescent="0.25">
      <c r="A7198" t="str">
        <f>T("   ZZZ_Monde")</f>
        <v xml:space="preserve">   ZZZ_Monde</v>
      </c>
      <c r="B7198" t="str">
        <f>T("   ZZZ_Monde")</f>
        <v xml:space="preserve">   ZZZ_Monde</v>
      </c>
      <c r="C7198">
        <v>62972</v>
      </c>
      <c r="D7198">
        <v>16</v>
      </c>
    </row>
    <row r="7199" spans="1:4" x14ac:dyDescent="0.25">
      <c r="A7199" t="str">
        <f>T("   FR")</f>
        <v xml:space="preserve">   FR</v>
      </c>
      <c r="B7199" t="str">
        <f>T("   France")</f>
        <v xml:space="preserve">   France</v>
      </c>
      <c r="C7199">
        <v>62972</v>
      </c>
      <c r="D7199">
        <v>16</v>
      </c>
    </row>
    <row r="7200" spans="1:4" x14ac:dyDescent="0.25">
      <c r="A7200" t="str">
        <f>T("620311")</f>
        <v>620311</v>
      </c>
      <c r="B7200" t="str">
        <f>T("Costumes ou complets, de laine ou poils fins, pour hommes ou garçonnets (autres qu'en bonneterie et sauf survêtements de sport 'trainings', combinaisons et ensembles de ski, maillots, culottes et slips de bain)")</f>
        <v>Costumes ou complets, de laine ou poils fins, pour hommes ou garçonnets (autres qu'en bonneterie et sauf survêtements de sport 'trainings', combinaisons et ensembles de ski, maillots, culottes et slips de bain)</v>
      </c>
    </row>
    <row r="7201" spans="1:4" x14ac:dyDescent="0.25">
      <c r="A7201" t="str">
        <f>T("   ZZZ_Monde")</f>
        <v xml:space="preserve">   ZZZ_Monde</v>
      </c>
      <c r="B7201" t="str">
        <f>T("   ZZZ_Monde")</f>
        <v xml:space="preserve">   ZZZ_Monde</v>
      </c>
      <c r="C7201">
        <v>879643</v>
      </c>
      <c r="D7201">
        <v>470</v>
      </c>
    </row>
    <row r="7202" spans="1:4" x14ac:dyDescent="0.25">
      <c r="A7202" t="str">
        <f>T("   FR")</f>
        <v xml:space="preserve">   FR</v>
      </c>
      <c r="B7202" t="str">
        <f>T("   France")</f>
        <v xml:space="preserve">   France</v>
      </c>
      <c r="C7202">
        <v>879643</v>
      </c>
      <c r="D7202">
        <v>470</v>
      </c>
    </row>
    <row r="7203" spans="1:4" x14ac:dyDescent="0.25">
      <c r="A7203" t="str">
        <f>T("620312")</f>
        <v>620312</v>
      </c>
      <c r="B7203" t="str">
        <f>T("Costumes ou complets, de fibres synthétiques, pour hommes ou garçonnets (autres qu'en bonneterie et sauf survêtements de sport 'trainings', combinaisons et ensembles de ski, maillots, culottes et slips de bain)")</f>
        <v>Costumes ou complets, de fibres synthétiques, pour hommes ou garçonnets (autres qu'en bonneterie et sauf survêtements de sport 'trainings', combinaisons et ensembles de ski, maillots, culottes et slips de bain)</v>
      </c>
    </row>
    <row r="7204" spans="1:4" x14ac:dyDescent="0.25">
      <c r="A7204" t="str">
        <f>T("   ZZZ_Monde")</f>
        <v xml:space="preserve">   ZZZ_Monde</v>
      </c>
      <c r="B7204" t="str">
        <f>T("   ZZZ_Monde")</f>
        <v xml:space="preserve">   ZZZ_Monde</v>
      </c>
      <c r="C7204">
        <v>2482957</v>
      </c>
      <c r="D7204">
        <v>16132</v>
      </c>
    </row>
    <row r="7205" spans="1:4" x14ac:dyDescent="0.25">
      <c r="A7205" t="str">
        <f>T("   CN")</f>
        <v xml:space="preserve">   CN</v>
      </c>
      <c r="B7205" t="str">
        <f>T("   Chine")</f>
        <v xml:space="preserve">   Chine</v>
      </c>
      <c r="C7205">
        <v>2482957</v>
      </c>
      <c r="D7205">
        <v>16132</v>
      </c>
    </row>
    <row r="7206" spans="1:4" x14ac:dyDescent="0.25">
      <c r="A7206" t="str">
        <f>T("620319")</f>
        <v>620319</v>
      </c>
      <c r="B7206" t="str">
        <f>T("Costumes ou complets, de matières textiles, pour hommes ou garçonnets (autres que laine, poils fins ou fibres synthétiques, autres qu'en bonneterie et sauf survêtements de sport 'trainings', combinaisons et ensembles de ski, maillots, culottes et slips de")</f>
        <v>Costumes ou complets, de matières textiles, pour hommes ou garçonnets (autres que laine, poils fins ou fibres synthétiques, autres qu'en bonneterie et sauf survêtements de sport 'trainings', combinaisons et ensembles de ski, maillots, culottes et slips de</v>
      </c>
    </row>
    <row r="7207" spans="1:4" x14ac:dyDescent="0.25">
      <c r="A7207" t="str">
        <f>T("   ZZZ_Monde")</f>
        <v xml:space="preserve">   ZZZ_Monde</v>
      </c>
      <c r="B7207" t="str">
        <f>T("   ZZZ_Monde")</f>
        <v xml:space="preserve">   ZZZ_Monde</v>
      </c>
      <c r="C7207">
        <v>12239550</v>
      </c>
      <c r="D7207">
        <v>20959</v>
      </c>
    </row>
    <row r="7208" spans="1:4" x14ac:dyDescent="0.25">
      <c r="A7208" t="str">
        <f>T("   BE")</f>
        <v xml:space="preserve">   BE</v>
      </c>
      <c r="B7208" t="str">
        <f>T("   Belgique")</f>
        <v xml:space="preserve">   Belgique</v>
      </c>
      <c r="C7208">
        <v>65590</v>
      </c>
      <c r="D7208">
        <v>75</v>
      </c>
    </row>
    <row r="7209" spans="1:4" x14ac:dyDescent="0.25">
      <c r="A7209" t="str">
        <f>T("   CA")</f>
        <v xml:space="preserve">   CA</v>
      </c>
      <c r="B7209" t="str">
        <f>T("   Canada")</f>
        <v xml:space="preserve">   Canada</v>
      </c>
      <c r="C7209">
        <v>50000</v>
      </c>
      <c r="D7209">
        <v>50</v>
      </c>
    </row>
    <row r="7210" spans="1:4" x14ac:dyDescent="0.25">
      <c r="A7210" t="str">
        <f>T("   CN")</f>
        <v xml:space="preserve">   CN</v>
      </c>
      <c r="B7210" t="str">
        <f>T("   Chine")</f>
        <v xml:space="preserve">   Chine</v>
      </c>
      <c r="C7210">
        <v>5154159</v>
      </c>
      <c r="D7210">
        <v>11233</v>
      </c>
    </row>
    <row r="7211" spans="1:4" x14ac:dyDescent="0.25">
      <c r="A7211" t="str">
        <f>T("   DK")</f>
        <v xml:space="preserve">   DK</v>
      </c>
      <c r="B7211" t="str">
        <f>T("   Danemark")</f>
        <v xml:space="preserve">   Danemark</v>
      </c>
      <c r="C7211">
        <v>70000</v>
      </c>
      <c r="D7211">
        <v>100</v>
      </c>
    </row>
    <row r="7212" spans="1:4" x14ac:dyDescent="0.25">
      <c r="A7212" t="str">
        <f>T("   FR")</f>
        <v xml:space="preserve">   FR</v>
      </c>
      <c r="B7212" t="str">
        <f>T("   France")</f>
        <v xml:space="preserve">   France</v>
      </c>
      <c r="C7212">
        <v>6440203</v>
      </c>
      <c r="D7212">
        <v>7144</v>
      </c>
    </row>
    <row r="7213" spans="1:4" x14ac:dyDescent="0.25">
      <c r="A7213" t="str">
        <f>T("   IT")</f>
        <v xml:space="preserve">   IT</v>
      </c>
      <c r="B7213" t="str">
        <f>T("   Italie")</f>
        <v xml:space="preserve">   Italie</v>
      </c>
      <c r="C7213">
        <v>379598</v>
      </c>
      <c r="D7213">
        <v>595</v>
      </c>
    </row>
    <row r="7214" spans="1:4" x14ac:dyDescent="0.25">
      <c r="A7214" t="str">
        <f>T("   TG")</f>
        <v xml:space="preserve">   TG</v>
      </c>
      <c r="B7214" t="str">
        <f>T("   Togo")</f>
        <v xml:space="preserve">   Togo</v>
      </c>
      <c r="C7214">
        <v>80000</v>
      </c>
      <c r="D7214">
        <v>1762</v>
      </c>
    </row>
    <row r="7215" spans="1:4" x14ac:dyDescent="0.25">
      <c r="A7215" t="str">
        <f>T("620321")</f>
        <v>620321</v>
      </c>
      <c r="B7215" t="str">
        <f>T("Ensembles de laine ou poils fins, pour hommes ou garçonnets (autres qu'en bonneterie et sauf ensembles de ski et maillots, culottes et slips de bain)")</f>
        <v>Ensembles de laine ou poils fins, pour hommes ou garçonnets (autres qu'en bonneterie et sauf ensembles de ski et maillots, culottes et slips de bain)</v>
      </c>
    </row>
    <row r="7216" spans="1:4" x14ac:dyDescent="0.25">
      <c r="A7216" t="str">
        <f>T("   ZZZ_Monde")</f>
        <v xml:space="preserve">   ZZZ_Monde</v>
      </c>
      <c r="B7216" t="str">
        <f>T("   ZZZ_Monde")</f>
        <v xml:space="preserve">   ZZZ_Monde</v>
      </c>
      <c r="C7216">
        <v>959670</v>
      </c>
      <c r="D7216">
        <v>363</v>
      </c>
    </row>
    <row r="7217" spans="1:4" x14ac:dyDescent="0.25">
      <c r="A7217" t="str">
        <f>T("   FR")</f>
        <v xml:space="preserve">   FR</v>
      </c>
      <c r="B7217" t="str">
        <f>T("   France")</f>
        <v xml:space="preserve">   France</v>
      </c>
      <c r="C7217">
        <v>959670</v>
      </c>
      <c r="D7217">
        <v>363</v>
      </c>
    </row>
    <row r="7218" spans="1:4" x14ac:dyDescent="0.25">
      <c r="A7218" t="str">
        <f>T("620322")</f>
        <v>620322</v>
      </c>
      <c r="B7218" t="str">
        <f>T("Ensembles de coton, pour hommes ou garçonnets (autres qu'en bonneterie et sauf ensembles de ski et maillots, culottes et slips de bain)")</f>
        <v>Ensembles de coton, pour hommes ou garçonnets (autres qu'en bonneterie et sauf ensembles de ski et maillots, culottes et slips de bain)</v>
      </c>
    </row>
    <row r="7219" spans="1:4" x14ac:dyDescent="0.25">
      <c r="A7219" t="str">
        <f>T("   ZZZ_Monde")</f>
        <v xml:space="preserve">   ZZZ_Monde</v>
      </c>
      <c r="B7219" t="str">
        <f>T("   ZZZ_Monde")</f>
        <v xml:space="preserve">   ZZZ_Monde</v>
      </c>
      <c r="C7219">
        <v>2903936</v>
      </c>
      <c r="D7219">
        <v>457</v>
      </c>
    </row>
    <row r="7220" spans="1:4" x14ac:dyDescent="0.25">
      <c r="A7220" t="str">
        <f>T("   BE")</f>
        <v xml:space="preserve">   BE</v>
      </c>
      <c r="B7220" t="str">
        <f>T("   Belgique")</f>
        <v xml:space="preserve">   Belgique</v>
      </c>
      <c r="C7220">
        <v>1761253</v>
      </c>
      <c r="D7220">
        <v>96</v>
      </c>
    </row>
    <row r="7221" spans="1:4" x14ac:dyDescent="0.25">
      <c r="A7221" t="str">
        <f>T("   FR")</f>
        <v xml:space="preserve">   FR</v>
      </c>
      <c r="B7221" t="str">
        <f>T("   France")</f>
        <v xml:space="preserve">   France</v>
      </c>
      <c r="C7221">
        <v>1142683</v>
      </c>
      <c r="D7221">
        <v>361</v>
      </c>
    </row>
    <row r="7222" spans="1:4" x14ac:dyDescent="0.25">
      <c r="A7222" t="str">
        <f>T("620329")</f>
        <v>620329</v>
      </c>
      <c r="B7222" t="str">
        <f>T("ENSEMBLES DE MATIÈRES TEXTILES, POUR HOMMES OU GARÇONNETS (AUTRES QUE DE COTON OU FIBRES SYNTHÉTIQUES, AUTRES QU'EN BONNETERIE ET SAUF ENSEMBLES DE SKI ET MAILLOTS, CULOTTES ET SLIPS DE BAIN)")</f>
        <v>ENSEMBLES DE MATIÈRES TEXTILES, POUR HOMMES OU GARÇONNETS (AUTRES QUE DE COTON OU FIBRES SYNTHÉTIQUES, AUTRES QU'EN BONNETERIE ET SAUF ENSEMBLES DE SKI ET MAILLOTS, CULOTTES ET SLIPS DE BAIN)</v>
      </c>
    </row>
    <row r="7223" spans="1:4" x14ac:dyDescent="0.25">
      <c r="A7223" t="str">
        <f>T("   ZZZ_Monde")</f>
        <v xml:space="preserve">   ZZZ_Monde</v>
      </c>
      <c r="B7223" t="str">
        <f>T("   ZZZ_Monde")</f>
        <v xml:space="preserve">   ZZZ_Monde</v>
      </c>
      <c r="C7223">
        <v>6678801</v>
      </c>
      <c r="D7223">
        <v>20194</v>
      </c>
    </row>
    <row r="7224" spans="1:4" x14ac:dyDescent="0.25">
      <c r="A7224" t="str">
        <f>T("   AE")</f>
        <v xml:space="preserve">   AE</v>
      </c>
      <c r="B7224" t="str">
        <f>T("   Emirats Arabes Unis")</f>
        <v xml:space="preserve">   Emirats Arabes Unis</v>
      </c>
      <c r="C7224">
        <v>532856</v>
      </c>
      <c r="D7224">
        <v>3000</v>
      </c>
    </row>
    <row r="7225" spans="1:4" x14ac:dyDescent="0.25">
      <c r="A7225" t="str">
        <f>T("   FR")</f>
        <v xml:space="preserve">   FR</v>
      </c>
      <c r="B7225" t="str">
        <f>T("   France")</f>
        <v xml:space="preserve">   France</v>
      </c>
      <c r="C7225">
        <v>1218921</v>
      </c>
      <c r="D7225">
        <v>344</v>
      </c>
    </row>
    <row r="7226" spans="1:4" x14ac:dyDescent="0.25">
      <c r="A7226" t="str">
        <f>T("   GB")</f>
        <v xml:space="preserve">   GB</v>
      </c>
      <c r="B7226" t="str">
        <f>T("   Royaume-Uni")</f>
        <v xml:space="preserve">   Royaume-Uni</v>
      </c>
      <c r="C7226">
        <v>2850000</v>
      </c>
      <c r="D7226">
        <v>15000</v>
      </c>
    </row>
    <row r="7227" spans="1:4" x14ac:dyDescent="0.25">
      <c r="A7227" t="str">
        <f>T("   LB")</f>
        <v xml:space="preserve">   LB</v>
      </c>
      <c r="B7227" t="str">
        <f>T("   Liban")</f>
        <v xml:space="preserve">   Liban</v>
      </c>
      <c r="C7227">
        <v>76696</v>
      </c>
      <c r="D7227">
        <v>350</v>
      </c>
    </row>
    <row r="7228" spans="1:4" x14ac:dyDescent="0.25">
      <c r="A7228" t="str">
        <f>T("   TH")</f>
        <v xml:space="preserve">   TH</v>
      </c>
      <c r="B7228" t="str">
        <f>T("   Thaïlande")</f>
        <v xml:space="preserve">   Thaïlande</v>
      </c>
      <c r="C7228">
        <v>2000328</v>
      </c>
      <c r="D7228">
        <v>1500</v>
      </c>
    </row>
    <row r="7229" spans="1:4" x14ac:dyDescent="0.25">
      <c r="A7229" t="str">
        <f>T("620333")</f>
        <v>620333</v>
      </c>
      <c r="B7229" t="str">
        <f>T("Vestons de fibres synthétiques, pour hommes ou garçonnets (autres qu'en bonneterie et sauf vêtements de travail, anoraks et articles simil.)")</f>
        <v>Vestons de fibres synthétiques, pour hommes ou garçonnets (autres qu'en bonneterie et sauf vêtements de travail, anoraks et articles simil.)</v>
      </c>
    </row>
    <row r="7230" spans="1:4" x14ac:dyDescent="0.25">
      <c r="A7230" t="str">
        <f>T("   ZZZ_Monde")</f>
        <v xml:space="preserve">   ZZZ_Monde</v>
      </c>
      <c r="B7230" t="str">
        <f>T("   ZZZ_Monde")</f>
        <v xml:space="preserve">   ZZZ_Monde</v>
      </c>
      <c r="C7230">
        <v>89893</v>
      </c>
      <c r="D7230">
        <v>35</v>
      </c>
    </row>
    <row r="7231" spans="1:4" x14ac:dyDescent="0.25">
      <c r="A7231" t="str">
        <f>T("   CN")</f>
        <v xml:space="preserve">   CN</v>
      </c>
      <c r="B7231" t="str">
        <f>T("   Chine")</f>
        <v xml:space="preserve">   Chine</v>
      </c>
      <c r="C7231">
        <v>89893</v>
      </c>
      <c r="D7231">
        <v>35</v>
      </c>
    </row>
    <row r="7232" spans="1:4" x14ac:dyDescent="0.25">
      <c r="A7232" t="str">
        <f>T("620339")</f>
        <v>620339</v>
      </c>
      <c r="B7232" t="str">
        <f>T("Vestons de matières textiles, pour hommes ou garçonnets (autres que laine, poils fins, coton ou fibres synthétiques, autres qu'en bonneterie et sauf anoraks et articles simil.)")</f>
        <v>Vestons de matières textiles, pour hommes ou garçonnets (autres que laine, poils fins, coton ou fibres synthétiques, autres qu'en bonneterie et sauf anoraks et articles simil.)</v>
      </c>
    </row>
    <row r="7233" spans="1:4" x14ac:dyDescent="0.25">
      <c r="A7233" t="str">
        <f>T("   ZZZ_Monde")</f>
        <v xml:space="preserve">   ZZZ_Monde</v>
      </c>
      <c r="B7233" t="str">
        <f>T("   ZZZ_Monde")</f>
        <v xml:space="preserve">   ZZZ_Monde</v>
      </c>
      <c r="C7233">
        <v>16025177</v>
      </c>
      <c r="D7233">
        <v>22158</v>
      </c>
    </row>
    <row r="7234" spans="1:4" x14ac:dyDescent="0.25">
      <c r="A7234" t="str">
        <f>T("   CN")</f>
        <v xml:space="preserve">   CN</v>
      </c>
      <c r="B7234" t="str">
        <f>T("   Chine")</f>
        <v xml:space="preserve">   Chine</v>
      </c>
      <c r="C7234">
        <v>13339439</v>
      </c>
      <c r="D7234">
        <v>16938</v>
      </c>
    </row>
    <row r="7235" spans="1:4" x14ac:dyDescent="0.25">
      <c r="A7235" t="str">
        <f>T("   EG")</f>
        <v xml:space="preserve">   EG</v>
      </c>
      <c r="B7235" t="str">
        <f>T("   Egypte")</f>
        <v xml:space="preserve">   Egypte</v>
      </c>
      <c r="C7235">
        <v>500000</v>
      </c>
      <c r="D7235">
        <v>200</v>
      </c>
    </row>
    <row r="7236" spans="1:4" x14ac:dyDescent="0.25">
      <c r="A7236" t="str">
        <f>T("   FR")</f>
        <v xml:space="preserve">   FR</v>
      </c>
      <c r="B7236" t="str">
        <f>T("   France")</f>
        <v xml:space="preserve">   France</v>
      </c>
      <c r="C7236">
        <v>232945</v>
      </c>
      <c r="D7236">
        <v>20</v>
      </c>
    </row>
    <row r="7237" spans="1:4" x14ac:dyDescent="0.25">
      <c r="A7237" t="str">
        <f>T("   IT")</f>
        <v xml:space="preserve">   IT</v>
      </c>
      <c r="B7237" t="str">
        <f>T("   Italie")</f>
        <v xml:space="preserve">   Italie</v>
      </c>
      <c r="C7237">
        <v>1952793</v>
      </c>
      <c r="D7237">
        <v>5000</v>
      </c>
    </row>
    <row r="7238" spans="1:4" x14ac:dyDescent="0.25">
      <c r="A7238" t="str">
        <f>T("620341")</f>
        <v>620341</v>
      </c>
      <c r="B7238" t="str">
        <f>T("Pantalons, y.c. knickers et pantalons simil., salopettes à bretelles, culottes et shorts, de laine ou poils fins, pour hommes ou garçonnets (autres qu'en bonneterie et sauf slips et caleçons et maillots, culottes et slips de bain)")</f>
        <v>Pantalons, y.c. knickers et pantalons simil., salopettes à bretelles, culottes et shorts, de laine ou poils fins, pour hommes ou garçonnets (autres qu'en bonneterie et sauf slips et caleçons et maillots, culottes et slips de bain)</v>
      </c>
    </row>
    <row r="7239" spans="1:4" x14ac:dyDescent="0.25">
      <c r="A7239" t="str">
        <f>T("   ZZZ_Monde")</f>
        <v xml:space="preserve">   ZZZ_Monde</v>
      </c>
      <c r="B7239" t="str">
        <f>T("   ZZZ_Monde")</f>
        <v xml:space="preserve">   ZZZ_Monde</v>
      </c>
      <c r="C7239">
        <v>10461340</v>
      </c>
      <c r="D7239">
        <v>12175</v>
      </c>
    </row>
    <row r="7240" spans="1:4" x14ac:dyDescent="0.25">
      <c r="A7240" t="str">
        <f>T("   CN")</f>
        <v xml:space="preserve">   CN</v>
      </c>
      <c r="B7240" t="str">
        <f>T("   Chine")</f>
        <v xml:space="preserve">   Chine</v>
      </c>
      <c r="C7240">
        <v>10000200</v>
      </c>
      <c r="D7240">
        <v>12000</v>
      </c>
    </row>
    <row r="7241" spans="1:4" x14ac:dyDescent="0.25">
      <c r="A7241" t="str">
        <f>T("   FR")</f>
        <v xml:space="preserve">   FR</v>
      </c>
      <c r="B7241" t="str">
        <f>T("   France")</f>
        <v xml:space="preserve">   France</v>
      </c>
      <c r="C7241">
        <v>461140</v>
      </c>
      <c r="D7241">
        <v>175</v>
      </c>
    </row>
    <row r="7242" spans="1:4" x14ac:dyDescent="0.25">
      <c r="A7242" t="str">
        <f>T("620342")</f>
        <v>620342</v>
      </c>
      <c r="B7242" t="str">
        <f>T("Pantalons, y.c. knickers et pantalons simil., salopettes à bretelles, culottes et shorts, de coton, pour hommes ou garçonnets (autres qu'en bonneterie et sauf slips et caleçons ainsi que maillots, culottes et slips de bain)")</f>
        <v>Pantalons, y.c. knickers et pantalons simil., salopettes à bretelles, culottes et shorts, de coton, pour hommes ou garçonnets (autres qu'en bonneterie et sauf slips et caleçons ainsi que maillots, culottes et slips de bain)</v>
      </c>
    </row>
    <row r="7243" spans="1:4" x14ac:dyDescent="0.25">
      <c r="A7243" t="str">
        <f>T("   ZZZ_Monde")</f>
        <v xml:space="preserve">   ZZZ_Monde</v>
      </c>
      <c r="B7243" t="str">
        <f>T("   ZZZ_Monde")</f>
        <v xml:space="preserve">   ZZZ_Monde</v>
      </c>
      <c r="C7243">
        <v>1959283233</v>
      </c>
      <c r="D7243">
        <v>3148799</v>
      </c>
    </row>
    <row r="7244" spans="1:4" x14ac:dyDescent="0.25">
      <c r="A7244" t="str">
        <f>T("   CN")</f>
        <v xml:space="preserve">   CN</v>
      </c>
      <c r="B7244" t="str">
        <f>T("   Chine")</f>
        <v xml:space="preserve">   Chine</v>
      </c>
      <c r="C7244">
        <v>1916486963</v>
      </c>
      <c r="D7244">
        <v>3093158</v>
      </c>
    </row>
    <row r="7245" spans="1:4" x14ac:dyDescent="0.25">
      <c r="A7245" t="str">
        <f>T("   FR")</f>
        <v xml:space="preserve">   FR</v>
      </c>
      <c r="B7245" t="str">
        <f>T("   France")</f>
        <v xml:space="preserve">   France</v>
      </c>
      <c r="C7245">
        <v>131848</v>
      </c>
      <c r="D7245">
        <v>448</v>
      </c>
    </row>
    <row r="7246" spans="1:4" x14ac:dyDescent="0.25">
      <c r="A7246" t="str">
        <f>T("   HK")</f>
        <v xml:space="preserve">   HK</v>
      </c>
      <c r="B7246" t="str">
        <f>T("   Hong-Kong")</f>
        <v xml:space="preserve">   Hong-Kong</v>
      </c>
      <c r="C7246">
        <v>13654005</v>
      </c>
      <c r="D7246">
        <v>25319</v>
      </c>
    </row>
    <row r="7247" spans="1:4" x14ac:dyDescent="0.25">
      <c r="A7247" t="str">
        <f>T("   IT")</f>
        <v xml:space="preserve">   IT</v>
      </c>
      <c r="B7247" t="str">
        <f>T("   Italie")</f>
        <v xml:space="preserve">   Italie</v>
      </c>
      <c r="C7247">
        <v>169238</v>
      </c>
      <c r="D7247">
        <v>50</v>
      </c>
    </row>
    <row r="7248" spans="1:4" x14ac:dyDescent="0.25">
      <c r="A7248" t="str">
        <f>T("   LB")</f>
        <v xml:space="preserve">   LB</v>
      </c>
      <c r="B7248" t="str">
        <f>T("   Liban")</f>
        <v xml:space="preserve">   Liban</v>
      </c>
      <c r="C7248">
        <v>11412844</v>
      </c>
      <c r="D7248">
        <v>6298</v>
      </c>
    </row>
    <row r="7249" spans="1:4" x14ac:dyDescent="0.25">
      <c r="A7249" t="str">
        <f>T("   PK")</f>
        <v xml:space="preserve">   PK</v>
      </c>
      <c r="B7249" t="str">
        <f>T("   Pakistan")</f>
        <v xml:space="preserve">   Pakistan</v>
      </c>
      <c r="C7249">
        <v>16550000</v>
      </c>
      <c r="D7249">
        <v>23096</v>
      </c>
    </row>
    <row r="7250" spans="1:4" x14ac:dyDescent="0.25">
      <c r="A7250" t="str">
        <f>T("   TG")</f>
        <v xml:space="preserve">   TG</v>
      </c>
      <c r="B7250" t="str">
        <f>T("   Togo")</f>
        <v xml:space="preserve">   Togo</v>
      </c>
      <c r="C7250">
        <v>878335</v>
      </c>
      <c r="D7250">
        <v>430</v>
      </c>
    </row>
    <row r="7251" spans="1:4" x14ac:dyDescent="0.25">
      <c r="A7251" t="str">
        <f>T("620343")</f>
        <v>620343</v>
      </c>
      <c r="B7251" t="str">
        <f>T("Pantalons, y.c. knickers et pantalons simil., salopettes à bretelles, culottes et shorts, de fibres synthétiques, pour hommes ou garçonnets (autres qu'en bonneterie et sauf slips et caleçons et maillots, culottes et slips de bain)")</f>
        <v>Pantalons, y.c. knickers et pantalons simil., salopettes à bretelles, culottes et shorts, de fibres synthétiques, pour hommes ou garçonnets (autres qu'en bonneterie et sauf slips et caleçons et maillots, culottes et slips de bain)</v>
      </c>
    </row>
    <row r="7252" spans="1:4" x14ac:dyDescent="0.25">
      <c r="A7252" t="str">
        <f>T("   ZZZ_Monde")</f>
        <v xml:space="preserve">   ZZZ_Monde</v>
      </c>
      <c r="B7252" t="str">
        <f>T("   ZZZ_Monde")</f>
        <v xml:space="preserve">   ZZZ_Monde</v>
      </c>
      <c r="C7252">
        <v>21971095</v>
      </c>
      <c r="D7252">
        <v>96000</v>
      </c>
    </row>
    <row r="7253" spans="1:4" x14ac:dyDescent="0.25">
      <c r="A7253" t="str">
        <f>T("   CN")</f>
        <v xml:space="preserve">   CN</v>
      </c>
      <c r="B7253" t="str">
        <f>T("   Chine")</f>
        <v xml:space="preserve">   Chine</v>
      </c>
      <c r="C7253">
        <v>2644651</v>
      </c>
      <c r="D7253">
        <v>6000</v>
      </c>
    </row>
    <row r="7254" spans="1:4" x14ac:dyDescent="0.25">
      <c r="A7254" t="str">
        <f>T("   TG")</f>
        <v xml:space="preserve">   TG</v>
      </c>
      <c r="B7254" t="str">
        <f>T("   Togo")</f>
        <v xml:space="preserve">   Togo</v>
      </c>
      <c r="C7254">
        <v>19326444</v>
      </c>
      <c r="D7254">
        <v>90000</v>
      </c>
    </row>
    <row r="7255" spans="1:4" x14ac:dyDescent="0.25">
      <c r="A7255" t="str">
        <f>T("620349")</f>
        <v>620349</v>
      </c>
      <c r="B7255" t="str">
        <f>T("Pantalons, y.c. knickers et pantalons simil., salopettes à bretelles, culottes et shorts, de matières textiles, pour hommes ou garçonnets (autres que laine, poils fins, coton ou fibres synthétiques, autres qu'en bonneterie et sauf slips et caleçons et mai")</f>
        <v>Pantalons, y.c. knickers et pantalons simil., salopettes à bretelles, culottes et shorts, de matières textiles, pour hommes ou garçonnets (autres que laine, poils fins, coton ou fibres synthétiques, autres qu'en bonneterie et sauf slips et caleçons et mai</v>
      </c>
    </row>
    <row r="7256" spans="1:4" x14ac:dyDescent="0.25">
      <c r="A7256" t="str">
        <f>T("   ZZZ_Monde")</f>
        <v xml:space="preserve">   ZZZ_Monde</v>
      </c>
      <c r="B7256" t="str">
        <f>T("   ZZZ_Monde")</f>
        <v xml:space="preserve">   ZZZ_Monde</v>
      </c>
      <c r="C7256">
        <v>92706526</v>
      </c>
      <c r="D7256">
        <v>197101</v>
      </c>
    </row>
    <row r="7257" spans="1:4" x14ac:dyDescent="0.25">
      <c r="A7257" t="str">
        <f>T("   BE")</f>
        <v xml:space="preserve">   BE</v>
      </c>
      <c r="B7257" t="str">
        <f>T("   Belgique")</f>
        <v xml:space="preserve">   Belgique</v>
      </c>
      <c r="C7257">
        <v>77515</v>
      </c>
      <c r="D7257">
        <v>20</v>
      </c>
    </row>
    <row r="7258" spans="1:4" x14ac:dyDescent="0.25">
      <c r="A7258" t="str">
        <f>T("   CN")</f>
        <v xml:space="preserve">   CN</v>
      </c>
      <c r="B7258" t="str">
        <f>T("   Chine")</f>
        <v xml:space="preserve">   Chine</v>
      </c>
      <c r="C7258">
        <v>74852950</v>
      </c>
      <c r="D7258">
        <v>169361</v>
      </c>
    </row>
    <row r="7259" spans="1:4" x14ac:dyDescent="0.25">
      <c r="A7259" t="str">
        <f>T("   DE")</f>
        <v xml:space="preserve">   DE</v>
      </c>
      <c r="B7259" t="str">
        <f>T("   Allemagne")</f>
        <v xml:space="preserve">   Allemagne</v>
      </c>
      <c r="C7259">
        <v>900000</v>
      </c>
      <c r="D7259">
        <v>394</v>
      </c>
    </row>
    <row r="7260" spans="1:4" x14ac:dyDescent="0.25">
      <c r="A7260" t="str">
        <f>T("   FR")</f>
        <v xml:space="preserve">   FR</v>
      </c>
      <c r="B7260" t="str">
        <f>T("   France")</f>
        <v xml:space="preserve">   France</v>
      </c>
      <c r="C7260">
        <v>8357580</v>
      </c>
      <c r="D7260">
        <v>6632</v>
      </c>
    </row>
    <row r="7261" spans="1:4" x14ac:dyDescent="0.25">
      <c r="A7261" t="str">
        <f>T("   GN")</f>
        <v xml:space="preserve">   GN</v>
      </c>
      <c r="B7261" t="str">
        <f>T("   Guinée")</f>
        <v xml:space="preserve">   Guinée</v>
      </c>
      <c r="C7261">
        <v>2427052</v>
      </c>
      <c r="D7261">
        <v>410</v>
      </c>
    </row>
    <row r="7262" spans="1:4" x14ac:dyDescent="0.25">
      <c r="A7262" t="str">
        <f>T("   LB")</f>
        <v xml:space="preserve">   LB</v>
      </c>
      <c r="B7262" t="str">
        <f>T("   Liban")</f>
        <v xml:space="preserve">   Liban</v>
      </c>
      <c r="C7262">
        <v>350405</v>
      </c>
      <c r="D7262">
        <v>195</v>
      </c>
    </row>
    <row r="7263" spans="1:4" x14ac:dyDescent="0.25">
      <c r="A7263" t="str">
        <f>T("   TG")</f>
        <v xml:space="preserve">   TG</v>
      </c>
      <c r="B7263" t="str">
        <f>T("   Togo")</f>
        <v xml:space="preserve">   Togo</v>
      </c>
      <c r="C7263">
        <v>2164167</v>
      </c>
      <c r="D7263">
        <v>18025</v>
      </c>
    </row>
    <row r="7264" spans="1:4" x14ac:dyDescent="0.25">
      <c r="A7264" t="str">
        <f>T("   TR")</f>
        <v xml:space="preserve">   TR</v>
      </c>
      <c r="B7264" t="str">
        <f>T("   Turquie")</f>
        <v xml:space="preserve">   Turquie</v>
      </c>
      <c r="C7264">
        <v>3465221</v>
      </c>
      <c r="D7264">
        <v>2000</v>
      </c>
    </row>
    <row r="7265" spans="1:4" x14ac:dyDescent="0.25">
      <c r="A7265" t="str">
        <f>T("   TV")</f>
        <v xml:space="preserve">   TV</v>
      </c>
      <c r="B7265" t="str">
        <f>T("   Tuvalu")</f>
        <v xml:space="preserve">   Tuvalu</v>
      </c>
      <c r="C7265">
        <v>111636</v>
      </c>
      <c r="D7265">
        <v>64</v>
      </c>
    </row>
    <row r="7266" spans="1:4" x14ac:dyDescent="0.25">
      <c r="A7266" t="str">
        <f>T("620412")</f>
        <v>620412</v>
      </c>
      <c r="B7266" t="str">
        <f>T("Costumes tailleurs, de coton, pour femmes ou fillettes (autres qu'en bonneterie et sauf combinaisons de ski et vêtements de bain)")</f>
        <v>Costumes tailleurs, de coton, pour femmes ou fillettes (autres qu'en bonneterie et sauf combinaisons de ski et vêtements de bain)</v>
      </c>
    </row>
    <row r="7267" spans="1:4" x14ac:dyDescent="0.25">
      <c r="A7267" t="str">
        <f>T("   ZZZ_Monde")</f>
        <v xml:space="preserve">   ZZZ_Monde</v>
      </c>
      <c r="B7267" t="str">
        <f>T("   ZZZ_Monde")</f>
        <v xml:space="preserve">   ZZZ_Monde</v>
      </c>
      <c r="C7267">
        <v>438000</v>
      </c>
      <c r="D7267">
        <v>325</v>
      </c>
    </row>
    <row r="7268" spans="1:4" x14ac:dyDescent="0.25">
      <c r="A7268" t="str">
        <f>T("   FR")</f>
        <v xml:space="preserve">   FR</v>
      </c>
      <c r="B7268" t="str">
        <f>T("   France")</f>
        <v xml:space="preserve">   France</v>
      </c>
      <c r="C7268">
        <v>438000</v>
      </c>
      <c r="D7268">
        <v>325</v>
      </c>
    </row>
    <row r="7269" spans="1:4" x14ac:dyDescent="0.25">
      <c r="A7269" t="str">
        <f>T("620413")</f>
        <v>620413</v>
      </c>
      <c r="B7269" t="str">
        <f>T("Costumes tailleurs, de fibres synthétiques, pour femmes ou fillettes (autres qu'en bonneterie et sauf combinaisons de ski et vêtements de bain)")</f>
        <v>Costumes tailleurs, de fibres synthétiques, pour femmes ou fillettes (autres qu'en bonneterie et sauf combinaisons de ski et vêtements de bain)</v>
      </c>
    </row>
    <row r="7270" spans="1:4" x14ac:dyDescent="0.25">
      <c r="A7270" t="str">
        <f>T("   ZZZ_Monde")</f>
        <v xml:space="preserve">   ZZZ_Monde</v>
      </c>
      <c r="B7270" t="str">
        <f>T("   ZZZ_Monde")</f>
        <v xml:space="preserve">   ZZZ_Monde</v>
      </c>
      <c r="C7270">
        <v>3343512</v>
      </c>
      <c r="D7270">
        <v>44048</v>
      </c>
    </row>
    <row r="7271" spans="1:4" x14ac:dyDescent="0.25">
      <c r="A7271" t="str">
        <f>T("   CN")</f>
        <v xml:space="preserve">   CN</v>
      </c>
      <c r="B7271" t="str">
        <f>T("   Chine")</f>
        <v xml:space="preserve">   Chine</v>
      </c>
      <c r="C7271">
        <v>3343512</v>
      </c>
      <c r="D7271">
        <v>44048</v>
      </c>
    </row>
    <row r="7272" spans="1:4" x14ac:dyDescent="0.25">
      <c r="A7272" t="str">
        <f>T("620419")</f>
        <v>620419</v>
      </c>
      <c r="B7272" t="str">
        <f>T("Costumes tailleurs, de matières textiles, pour femmes ou fillettes (autres que laine, poils fins, coton ou fibres synthétiques, autres qu'en bonneterie et sauf combinaisons de ski et vêtements de bain)")</f>
        <v>Costumes tailleurs, de matières textiles, pour femmes ou fillettes (autres que laine, poils fins, coton ou fibres synthétiques, autres qu'en bonneterie et sauf combinaisons de ski et vêtements de bain)</v>
      </c>
    </row>
    <row r="7273" spans="1:4" x14ac:dyDescent="0.25">
      <c r="A7273" t="str">
        <f>T("   ZZZ_Monde")</f>
        <v xml:space="preserve">   ZZZ_Monde</v>
      </c>
      <c r="B7273" t="str">
        <f>T("   ZZZ_Monde")</f>
        <v xml:space="preserve">   ZZZ_Monde</v>
      </c>
      <c r="C7273">
        <v>6390310</v>
      </c>
      <c r="D7273">
        <v>10600</v>
      </c>
    </row>
    <row r="7274" spans="1:4" x14ac:dyDescent="0.25">
      <c r="A7274" t="str">
        <f>T("   BE")</f>
        <v xml:space="preserve">   BE</v>
      </c>
      <c r="B7274" t="str">
        <f>T("   Belgique")</f>
        <v xml:space="preserve">   Belgique</v>
      </c>
      <c r="C7274">
        <v>488074</v>
      </c>
      <c r="D7274">
        <v>600</v>
      </c>
    </row>
    <row r="7275" spans="1:4" x14ac:dyDescent="0.25">
      <c r="A7275" t="str">
        <f>T("   CN")</f>
        <v xml:space="preserve">   CN</v>
      </c>
      <c r="B7275" t="str">
        <f>T("   Chine")</f>
        <v xml:space="preserve">   Chine</v>
      </c>
      <c r="C7275">
        <v>5902236</v>
      </c>
      <c r="D7275">
        <v>10000</v>
      </c>
    </row>
    <row r="7276" spans="1:4" x14ac:dyDescent="0.25">
      <c r="A7276" t="str">
        <f>T("620423")</f>
        <v>620423</v>
      </c>
      <c r="B7276" t="str">
        <f>T("Ensembles de fibres synthétiques, pour femmes ou fillettes (autres qu'en bonneterie et sauf ensembles de ski et vêtements de bain)")</f>
        <v>Ensembles de fibres synthétiques, pour femmes ou fillettes (autres qu'en bonneterie et sauf ensembles de ski et vêtements de bain)</v>
      </c>
    </row>
    <row r="7277" spans="1:4" x14ac:dyDescent="0.25">
      <c r="A7277" t="str">
        <f>T("   ZZZ_Monde")</f>
        <v xml:space="preserve">   ZZZ_Monde</v>
      </c>
      <c r="B7277" t="str">
        <f>T("   ZZZ_Monde")</f>
        <v xml:space="preserve">   ZZZ_Monde</v>
      </c>
      <c r="C7277">
        <v>3525140</v>
      </c>
      <c r="D7277">
        <v>5814</v>
      </c>
    </row>
    <row r="7278" spans="1:4" x14ac:dyDescent="0.25">
      <c r="A7278" t="str">
        <f>T("   CN")</f>
        <v xml:space="preserve">   CN</v>
      </c>
      <c r="B7278" t="str">
        <f>T("   Chine")</f>
        <v xml:space="preserve">   Chine</v>
      </c>
      <c r="C7278">
        <v>3525140</v>
      </c>
      <c r="D7278">
        <v>5814</v>
      </c>
    </row>
    <row r="7279" spans="1:4" x14ac:dyDescent="0.25">
      <c r="A7279" t="str">
        <f>T("620429")</f>
        <v>620429</v>
      </c>
      <c r="B7279" t="str">
        <f>T("Ensembles de matières textiles, pour femmes ou fillettes (autres que laine, poils fins, coton ou fibres synthétiques, autres qu'en bonneterie et sauf, ensembles de ski et vêtements de bain)")</f>
        <v>Ensembles de matières textiles, pour femmes ou fillettes (autres que laine, poils fins, coton ou fibres synthétiques, autres qu'en bonneterie et sauf, ensembles de ski et vêtements de bain)</v>
      </c>
    </row>
    <row r="7280" spans="1:4" x14ac:dyDescent="0.25">
      <c r="A7280" t="str">
        <f>T("   ZZZ_Monde")</f>
        <v xml:space="preserve">   ZZZ_Monde</v>
      </c>
      <c r="B7280" t="str">
        <f>T("   ZZZ_Monde")</f>
        <v xml:space="preserve">   ZZZ_Monde</v>
      </c>
      <c r="C7280">
        <v>993754</v>
      </c>
      <c r="D7280">
        <v>534</v>
      </c>
    </row>
    <row r="7281" spans="1:4" x14ac:dyDescent="0.25">
      <c r="A7281" t="str">
        <f>T("   CN")</f>
        <v xml:space="preserve">   CN</v>
      </c>
      <c r="B7281" t="str">
        <f>T("   Chine")</f>
        <v xml:space="preserve">   Chine</v>
      </c>
      <c r="C7281">
        <v>63754</v>
      </c>
      <c r="D7281">
        <v>23</v>
      </c>
    </row>
    <row r="7282" spans="1:4" x14ac:dyDescent="0.25">
      <c r="A7282" t="str">
        <f>T("   TH")</f>
        <v xml:space="preserve">   TH</v>
      </c>
      <c r="B7282" t="str">
        <f>T("   Thaïlande")</f>
        <v xml:space="preserve">   Thaïlande</v>
      </c>
      <c r="C7282">
        <v>650000</v>
      </c>
      <c r="D7282">
        <v>385</v>
      </c>
    </row>
    <row r="7283" spans="1:4" x14ac:dyDescent="0.25">
      <c r="A7283" t="str">
        <f>T("   TR")</f>
        <v xml:space="preserve">   TR</v>
      </c>
      <c r="B7283" t="str">
        <f>T("   Turquie")</f>
        <v xml:space="preserve">   Turquie</v>
      </c>
      <c r="C7283">
        <v>280000</v>
      </c>
      <c r="D7283">
        <v>126</v>
      </c>
    </row>
    <row r="7284" spans="1:4" x14ac:dyDescent="0.25">
      <c r="A7284" t="str">
        <f>T("620431")</f>
        <v>620431</v>
      </c>
      <c r="B7284" t="str">
        <f>T("Vestes de laine ou poils fins, pour femmes ou fillettes (autres qu'en bonneterie et sauf anoraks et articles simil.)")</f>
        <v>Vestes de laine ou poils fins, pour femmes ou fillettes (autres qu'en bonneterie et sauf anoraks et articles simil.)</v>
      </c>
    </row>
    <row r="7285" spans="1:4" x14ac:dyDescent="0.25">
      <c r="A7285" t="str">
        <f>T("   ZZZ_Monde")</f>
        <v xml:space="preserve">   ZZZ_Monde</v>
      </c>
      <c r="B7285" t="str">
        <f>T("   ZZZ_Monde")</f>
        <v xml:space="preserve">   ZZZ_Monde</v>
      </c>
      <c r="C7285">
        <v>324700</v>
      </c>
      <c r="D7285">
        <v>175</v>
      </c>
    </row>
    <row r="7286" spans="1:4" x14ac:dyDescent="0.25">
      <c r="A7286" t="str">
        <f>T("   FR")</f>
        <v xml:space="preserve">   FR</v>
      </c>
      <c r="B7286" t="str">
        <f>T("   France")</f>
        <v xml:space="preserve">   France</v>
      </c>
      <c r="C7286">
        <v>324700</v>
      </c>
      <c r="D7286">
        <v>175</v>
      </c>
    </row>
    <row r="7287" spans="1:4" x14ac:dyDescent="0.25">
      <c r="A7287" t="str">
        <f>T("620432")</f>
        <v>620432</v>
      </c>
      <c r="B7287" t="str">
        <f>T("Vestes de coton, pour femmes ou fillettes (autres qu'en bonneterie et sauf anoraks et articles simil.)")</f>
        <v>Vestes de coton, pour femmes ou fillettes (autres qu'en bonneterie et sauf anoraks et articles simil.)</v>
      </c>
    </row>
    <row r="7288" spans="1:4" x14ac:dyDescent="0.25">
      <c r="A7288" t="str">
        <f>T("   ZZZ_Monde")</f>
        <v xml:space="preserve">   ZZZ_Monde</v>
      </c>
      <c r="B7288" t="str">
        <f>T("   ZZZ_Monde")</f>
        <v xml:space="preserve">   ZZZ_Monde</v>
      </c>
      <c r="C7288">
        <v>23614</v>
      </c>
      <c r="D7288">
        <v>2.5</v>
      </c>
    </row>
    <row r="7289" spans="1:4" x14ac:dyDescent="0.25">
      <c r="A7289" t="str">
        <f>T("   AT")</f>
        <v xml:space="preserve">   AT</v>
      </c>
      <c r="B7289" t="str">
        <f>T("   Autriche")</f>
        <v xml:space="preserve">   Autriche</v>
      </c>
      <c r="C7289">
        <v>23614</v>
      </c>
      <c r="D7289">
        <v>2.5</v>
      </c>
    </row>
    <row r="7290" spans="1:4" x14ac:dyDescent="0.25">
      <c r="A7290" t="str">
        <f>T("620433")</f>
        <v>620433</v>
      </c>
      <c r="B7290" t="str">
        <f>T("Vestes de fibres synthétiques, pour femmes ou fillettes (autres qu'en bonneterie et sauf anoraks et articles simil.)")</f>
        <v>Vestes de fibres synthétiques, pour femmes ou fillettes (autres qu'en bonneterie et sauf anoraks et articles simil.)</v>
      </c>
    </row>
    <row r="7291" spans="1:4" x14ac:dyDescent="0.25">
      <c r="A7291" t="str">
        <f>T("   ZZZ_Monde")</f>
        <v xml:space="preserve">   ZZZ_Monde</v>
      </c>
      <c r="B7291" t="str">
        <f>T("   ZZZ_Monde")</f>
        <v xml:space="preserve">   ZZZ_Monde</v>
      </c>
      <c r="C7291">
        <v>1555014</v>
      </c>
      <c r="D7291">
        <v>2906</v>
      </c>
    </row>
    <row r="7292" spans="1:4" x14ac:dyDescent="0.25">
      <c r="A7292" t="str">
        <f>T("   CN")</f>
        <v xml:space="preserve">   CN</v>
      </c>
      <c r="B7292" t="str">
        <f>T("   Chine")</f>
        <v xml:space="preserve">   Chine</v>
      </c>
      <c r="C7292">
        <v>1555014</v>
      </c>
      <c r="D7292">
        <v>2906</v>
      </c>
    </row>
    <row r="7293" spans="1:4" x14ac:dyDescent="0.25">
      <c r="A7293" t="str">
        <f>T("620442")</f>
        <v>620442</v>
      </c>
      <c r="B7293" t="str">
        <f>T("Robes de coton, pour femmes ou fillettes (autres qu'en bonneterie et sauf combinaisons et fonds de robes)")</f>
        <v>Robes de coton, pour femmes ou fillettes (autres qu'en bonneterie et sauf combinaisons et fonds de robes)</v>
      </c>
    </row>
    <row r="7294" spans="1:4" x14ac:dyDescent="0.25">
      <c r="A7294" t="str">
        <f>T("   ZZZ_Monde")</f>
        <v xml:space="preserve">   ZZZ_Monde</v>
      </c>
      <c r="B7294" t="str">
        <f>T("   ZZZ_Monde")</f>
        <v xml:space="preserve">   ZZZ_Monde</v>
      </c>
      <c r="C7294">
        <v>8498068</v>
      </c>
      <c r="D7294">
        <v>68.7</v>
      </c>
    </row>
    <row r="7295" spans="1:4" x14ac:dyDescent="0.25">
      <c r="A7295" t="str">
        <f>T("   NL")</f>
        <v xml:space="preserve">   NL</v>
      </c>
      <c r="B7295" t="str">
        <f>T("   Pays-bas")</f>
        <v xml:space="preserve">   Pays-bas</v>
      </c>
      <c r="C7295">
        <v>8498068</v>
      </c>
      <c r="D7295">
        <v>68.7</v>
      </c>
    </row>
    <row r="7296" spans="1:4" x14ac:dyDescent="0.25">
      <c r="A7296" t="str">
        <f>T("620443")</f>
        <v>620443</v>
      </c>
      <c r="B7296" t="str">
        <f>T("Robes de fibres synthétiques, pour femmes ou fillettes (autres qu'en bonneterie et sauf combinaisons et fonds de robes)")</f>
        <v>Robes de fibres synthétiques, pour femmes ou fillettes (autres qu'en bonneterie et sauf combinaisons et fonds de robes)</v>
      </c>
    </row>
    <row r="7297" spans="1:4" x14ac:dyDescent="0.25">
      <c r="A7297" t="str">
        <f>T("   ZZZ_Monde")</f>
        <v xml:space="preserve">   ZZZ_Monde</v>
      </c>
      <c r="B7297" t="str">
        <f>T("   ZZZ_Monde")</f>
        <v xml:space="preserve">   ZZZ_Monde</v>
      </c>
      <c r="C7297">
        <v>24221306</v>
      </c>
      <c r="D7297">
        <v>25243</v>
      </c>
    </row>
    <row r="7298" spans="1:4" x14ac:dyDescent="0.25">
      <c r="A7298" t="str">
        <f>T("   CN")</f>
        <v xml:space="preserve">   CN</v>
      </c>
      <c r="B7298" t="str">
        <f>T("   Chine")</f>
        <v xml:space="preserve">   Chine</v>
      </c>
      <c r="C7298">
        <v>16951005</v>
      </c>
      <c r="D7298">
        <v>18203</v>
      </c>
    </row>
    <row r="7299" spans="1:4" x14ac:dyDescent="0.25">
      <c r="A7299" t="str">
        <f>T("   TH")</f>
        <v xml:space="preserve">   TH</v>
      </c>
      <c r="B7299" t="str">
        <f>T("   Thaïlande")</f>
        <v xml:space="preserve">   Thaïlande</v>
      </c>
      <c r="C7299">
        <v>7270301</v>
      </c>
      <c r="D7299">
        <v>7040</v>
      </c>
    </row>
    <row r="7300" spans="1:4" x14ac:dyDescent="0.25">
      <c r="A7300" t="str">
        <f>T("620449")</f>
        <v>620449</v>
      </c>
      <c r="B7300" t="str">
        <f>T("Robes de matières textiles, pour femmes ou fillettes (autres que laine, poils fins, coton, fibres synthétiques ou artificielles, autres qu'en bonneterie et sauf combinaisons et fonds de robes)")</f>
        <v>Robes de matières textiles, pour femmes ou fillettes (autres que laine, poils fins, coton, fibres synthétiques ou artificielles, autres qu'en bonneterie et sauf combinaisons et fonds de robes)</v>
      </c>
    </row>
    <row r="7301" spans="1:4" x14ac:dyDescent="0.25">
      <c r="A7301" t="str">
        <f>T("   ZZZ_Monde")</f>
        <v xml:space="preserve">   ZZZ_Monde</v>
      </c>
      <c r="B7301" t="str">
        <f>T("   ZZZ_Monde")</f>
        <v xml:space="preserve">   ZZZ_Monde</v>
      </c>
      <c r="C7301">
        <v>6618673</v>
      </c>
      <c r="D7301">
        <v>768</v>
      </c>
    </row>
    <row r="7302" spans="1:4" x14ac:dyDescent="0.25">
      <c r="A7302" t="str">
        <f>T("   FR")</f>
        <v xml:space="preserve">   FR</v>
      </c>
      <c r="B7302" t="str">
        <f>T("   France")</f>
        <v xml:space="preserve">   France</v>
      </c>
      <c r="C7302">
        <v>2262406</v>
      </c>
      <c r="D7302">
        <v>745</v>
      </c>
    </row>
    <row r="7303" spans="1:4" x14ac:dyDescent="0.25">
      <c r="A7303" t="str">
        <f>T("   NL")</f>
        <v xml:space="preserve">   NL</v>
      </c>
      <c r="B7303" t="str">
        <f>T("   Pays-bas")</f>
        <v xml:space="preserve">   Pays-bas</v>
      </c>
      <c r="C7303">
        <v>4356267</v>
      </c>
      <c r="D7303">
        <v>23</v>
      </c>
    </row>
    <row r="7304" spans="1:4" x14ac:dyDescent="0.25">
      <c r="A7304" t="str">
        <f>T("620462")</f>
        <v>620462</v>
      </c>
      <c r="B7304" t="str">
        <f>T("Pantalons, y.c. knickers et pantalons simil., salopettes à bretelles, culottes et shorts, de coton, pour femmes ou fillettes (autres qu'en bonneterie et sauf slips et maillots, culottes et slips de bain)")</f>
        <v>Pantalons, y.c. knickers et pantalons simil., salopettes à bretelles, culottes et shorts, de coton, pour femmes ou fillettes (autres qu'en bonneterie et sauf slips et maillots, culottes et slips de bain)</v>
      </c>
    </row>
    <row r="7305" spans="1:4" x14ac:dyDescent="0.25">
      <c r="A7305" t="str">
        <f>T("   ZZZ_Monde")</f>
        <v xml:space="preserve">   ZZZ_Monde</v>
      </c>
      <c r="B7305" t="str">
        <f>T("   ZZZ_Monde")</f>
        <v xml:space="preserve">   ZZZ_Monde</v>
      </c>
      <c r="C7305">
        <v>1262067</v>
      </c>
      <c r="D7305">
        <v>58</v>
      </c>
    </row>
    <row r="7306" spans="1:4" x14ac:dyDescent="0.25">
      <c r="A7306" t="str">
        <f>T("   FR")</f>
        <v xml:space="preserve">   FR</v>
      </c>
      <c r="B7306" t="str">
        <f>T("   France")</f>
        <v xml:space="preserve">   France</v>
      </c>
      <c r="C7306">
        <v>1262067</v>
      </c>
      <c r="D7306">
        <v>58</v>
      </c>
    </row>
    <row r="7307" spans="1:4" x14ac:dyDescent="0.25">
      <c r="A7307" t="str">
        <f>T("620463")</f>
        <v>620463</v>
      </c>
      <c r="B7307" t="str">
        <f>T("Pantalons, y.c. knickers et pantalons simil., salopettes à bretelles, culottes et shorts, de fibres synthétiques, pour femmes ou fillettes (autres qu'en bonneterie et sauf slips et vêtements pour le bain)")</f>
        <v>Pantalons, y.c. knickers et pantalons simil., salopettes à bretelles, culottes et shorts, de fibres synthétiques, pour femmes ou fillettes (autres qu'en bonneterie et sauf slips et vêtements pour le bain)</v>
      </c>
    </row>
    <row r="7308" spans="1:4" x14ac:dyDescent="0.25">
      <c r="A7308" t="str">
        <f>T("   ZZZ_Monde")</f>
        <v xml:space="preserve">   ZZZ_Monde</v>
      </c>
      <c r="B7308" t="str">
        <f>T("   ZZZ_Monde")</f>
        <v xml:space="preserve">   ZZZ_Monde</v>
      </c>
      <c r="C7308">
        <v>11593638</v>
      </c>
      <c r="D7308">
        <v>30404</v>
      </c>
    </row>
    <row r="7309" spans="1:4" x14ac:dyDescent="0.25">
      <c r="A7309" t="str">
        <f>T("   CN")</f>
        <v xml:space="preserve">   CN</v>
      </c>
      <c r="B7309" t="str">
        <f>T("   Chine")</f>
        <v xml:space="preserve">   Chine</v>
      </c>
      <c r="C7309">
        <v>10948912</v>
      </c>
      <c r="D7309">
        <v>29630</v>
      </c>
    </row>
    <row r="7310" spans="1:4" x14ac:dyDescent="0.25">
      <c r="A7310" t="str">
        <f>T("   HK")</f>
        <v xml:space="preserve">   HK</v>
      </c>
      <c r="B7310" t="str">
        <f>T("   Hong-Kong")</f>
        <v xml:space="preserve">   Hong-Kong</v>
      </c>
      <c r="C7310">
        <v>644726</v>
      </c>
      <c r="D7310">
        <v>774</v>
      </c>
    </row>
    <row r="7311" spans="1:4" x14ac:dyDescent="0.25">
      <c r="A7311" t="str">
        <f>T("620469")</f>
        <v>620469</v>
      </c>
      <c r="B7311" t="str">
        <f>T("Pantalons, y.c. knickers et pantalons simil., salopettes à bretelles, culottes et shorts, de matières textiles, pour femmes ou fillettes (autres que de laine, poils fins, coton, fibres synthétiques ou artificielles, autres qu'en bonneterie et sauf slips e")</f>
        <v>Pantalons, y.c. knickers et pantalons simil., salopettes à bretelles, culottes et shorts, de matières textiles, pour femmes ou fillettes (autres que de laine, poils fins, coton, fibres synthétiques ou artificielles, autres qu'en bonneterie et sauf slips e</v>
      </c>
    </row>
    <row r="7312" spans="1:4" x14ac:dyDescent="0.25">
      <c r="A7312" t="str">
        <f>T("   ZZZ_Monde")</f>
        <v xml:space="preserve">   ZZZ_Monde</v>
      </c>
      <c r="B7312" t="str">
        <f>T("   ZZZ_Monde")</f>
        <v xml:space="preserve">   ZZZ_Monde</v>
      </c>
      <c r="C7312">
        <v>50861527</v>
      </c>
      <c r="D7312">
        <v>57184</v>
      </c>
    </row>
    <row r="7313" spans="1:4" x14ac:dyDescent="0.25">
      <c r="A7313" t="str">
        <f>T("   BE")</f>
        <v xml:space="preserve">   BE</v>
      </c>
      <c r="B7313" t="str">
        <f>T("   Belgique")</f>
        <v xml:space="preserve">   Belgique</v>
      </c>
      <c r="C7313">
        <v>60000</v>
      </c>
      <c r="D7313">
        <v>50</v>
      </c>
    </row>
    <row r="7314" spans="1:4" x14ac:dyDescent="0.25">
      <c r="A7314" t="str">
        <f>T("   CN")</f>
        <v xml:space="preserve">   CN</v>
      </c>
      <c r="B7314" t="str">
        <f>T("   Chine")</f>
        <v xml:space="preserve">   Chine</v>
      </c>
      <c r="C7314">
        <v>41311822</v>
      </c>
      <c r="D7314">
        <v>55000</v>
      </c>
    </row>
    <row r="7315" spans="1:4" x14ac:dyDescent="0.25">
      <c r="A7315" t="str">
        <f>T("   FR")</f>
        <v xml:space="preserve">   FR</v>
      </c>
      <c r="B7315" t="str">
        <f>T("   France")</f>
        <v xml:space="preserve">   France</v>
      </c>
      <c r="C7315">
        <v>5429646</v>
      </c>
      <c r="D7315">
        <v>1109</v>
      </c>
    </row>
    <row r="7316" spans="1:4" x14ac:dyDescent="0.25">
      <c r="A7316" t="str">
        <f>T("   IT")</f>
        <v xml:space="preserve">   IT</v>
      </c>
      <c r="B7316" t="str">
        <f>T("   Italie")</f>
        <v xml:space="preserve">   Italie</v>
      </c>
      <c r="C7316">
        <v>3241365</v>
      </c>
      <c r="D7316">
        <v>700</v>
      </c>
    </row>
    <row r="7317" spans="1:4" x14ac:dyDescent="0.25">
      <c r="A7317" t="str">
        <f>T("   TR")</f>
        <v xml:space="preserve">   TR</v>
      </c>
      <c r="B7317" t="str">
        <f>T("   Turquie")</f>
        <v xml:space="preserve">   Turquie</v>
      </c>
      <c r="C7317">
        <v>18694</v>
      </c>
      <c r="D7317">
        <v>60</v>
      </c>
    </row>
    <row r="7318" spans="1:4" x14ac:dyDescent="0.25">
      <c r="A7318" t="str">
        <f>T("   TZ")</f>
        <v xml:space="preserve">   TZ</v>
      </c>
      <c r="B7318" t="str">
        <f>T("   Tanzanie")</f>
        <v xml:space="preserve">   Tanzanie</v>
      </c>
      <c r="C7318">
        <v>800000</v>
      </c>
      <c r="D7318">
        <v>265</v>
      </c>
    </row>
    <row r="7319" spans="1:4" x14ac:dyDescent="0.25">
      <c r="A7319" t="str">
        <f>T("620520")</f>
        <v>620520</v>
      </c>
      <c r="B7319" t="str">
        <f>T("Chemises et chemisettes, de coton, pour hommes ou garçonnets (autres qu'en bonneterie et sauf chemises de nuit et gilets de corps)")</f>
        <v>Chemises et chemisettes, de coton, pour hommes ou garçonnets (autres qu'en bonneterie et sauf chemises de nuit et gilets de corps)</v>
      </c>
    </row>
    <row r="7320" spans="1:4" x14ac:dyDescent="0.25">
      <c r="A7320" t="str">
        <f>T("   ZZZ_Monde")</f>
        <v xml:space="preserve">   ZZZ_Monde</v>
      </c>
      <c r="B7320" t="str">
        <f>T("   ZZZ_Monde")</f>
        <v xml:space="preserve">   ZZZ_Monde</v>
      </c>
      <c r="C7320">
        <v>8264539</v>
      </c>
      <c r="D7320">
        <v>9536</v>
      </c>
    </row>
    <row r="7321" spans="1:4" x14ac:dyDescent="0.25">
      <c r="A7321" t="str">
        <f>T("   BE")</f>
        <v xml:space="preserve">   BE</v>
      </c>
      <c r="B7321" t="str">
        <f>T("   Belgique")</f>
        <v xml:space="preserve">   Belgique</v>
      </c>
      <c r="C7321">
        <v>11151</v>
      </c>
      <c r="D7321">
        <v>30</v>
      </c>
    </row>
    <row r="7322" spans="1:4" x14ac:dyDescent="0.25">
      <c r="A7322" t="str">
        <f>T("   CN")</f>
        <v xml:space="preserve">   CN</v>
      </c>
      <c r="B7322" t="str">
        <f>T("   Chine")</f>
        <v xml:space="preserve">   Chine</v>
      </c>
      <c r="C7322">
        <v>1300476</v>
      </c>
      <c r="D7322">
        <v>4710</v>
      </c>
    </row>
    <row r="7323" spans="1:4" x14ac:dyDescent="0.25">
      <c r="A7323" t="str">
        <f>T("   ES")</f>
        <v xml:space="preserve">   ES</v>
      </c>
      <c r="B7323" t="str">
        <f>T("   Espagne")</f>
        <v xml:space="preserve">   Espagne</v>
      </c>
      <c r="C7323">
        <v>39357</v>
      </c>
      <c r="D7323">
        <v>30</v>
      </c>
    </row>
    <row r="7324" spans="1:4" x14ac:dyDescent="0.25">
      <c r="A7324" t="str">
        <f>T("   FR")</f>
        <v xml:space="preserve">   FR</v>
      </c>
      <c r="B7324" t="str">
        <f>T("   France")</f>
        <v xml:space="preserve">   France</v>
      </c>
      <c r="C7324">
        <v>2581150</v>
      </c>
      <c r="D7324">
        <v>1978</v>
      </c>
    </row>
    <row r="7325" spans="1:4" x14ac:dyDescent="0.25">
      <c r="A7325" t="str">
        <f>T("   GA")</f>
        <v xml:space="preserve">   GA</v>
      </c>
      <c r="B7325" t="str">
        <f>T("   Gabon")</f>
        <v xml:space="preserve">   Gabon</v>
      </c>
      <c r="C7325">
        <v>150000</v>
      </c>
      <c r="D7325">
        <v>100</v>
      </c>
    </row>
    <row r="7326" spans="1:4" x14ac:dyDescent="0.25">
      <c r="A7326" t="str">
        <f>T("   IT")</f>
        <v xml:space="preserve">   IT</v>
      </c>
      <c r="B7326" t="str">
        <f>T("   Italie")</f>
        <v xml:space="preserve">   Italie</v>
      </c>
      <c r="C7326">
        <v>400000</v>
      </c>
      <c r="D7326">
        <v>182</v>
      </c>
    </row>
    <row r="7327" spans="1:4" x14ac:dyDescent="0.25">
      <c r="A7327" t="str">
        <f>T("   KW")</f>
        <v xml:space="preserve">   KW</v>
      </c>
      <c r="B7327" t="str">
        <f>T("   Koweit")</f>
        <v xml:space="preserve">   Koweit</v>
      </c>
      <c r="C7327">
        <v>106571</v>
      </c>
      <c r="D7327">
        <v>200</v>
      </c>
    </row>
    <row r="7328" spans="1:4" x14ac:dyDescent="0.25">
      <c r="A7328" t="str">
        <f>T("   LB")</f>
        <v xml:space="preserve">   LB</v>
      </c>
      <c r="B7328" t="str">
        <f>T("   Liban")</f>
        <v xml:space="preserve">   Liban</v>
      </c>
      <c r="C7328">
        <v>3635870</v>
      </c>
      <c r="D7328">
        <v>2006</v>
      </c>
    </row>
    <row r="7329" spans="1:4" x14ac:dyDescent="0.25">
      <c r="A7329" t="str">
        <f>T("   US")</f>
        <v xml:space="preserve">   US</v>
      </c>
      <c r="B7329" t="str">
        <f>T("   Etats-Unis")</f>
        <v xml:space="preserve">   Etats-Unis</v>
      </c>
      <c r="C7329">
        <v>39964</v>
      </c>
      <c r="D7329">
        <v>300</v>
      </c>
    </row>
    <row r="7330" spans="1:4" x14ac:dyDescent="0.25">
      <c r="A7330" t="str">
        <f>T("620530")</f>
        <v>620530</v>
      </c>
      <c r="B7330" t="str">
        <f>T("Chemises et chemisettes, de fibres synthétiques ou artificielles, pour hommes ou garçonnets (autres qu'en bonneterie et sauf chemises de nuit et gilets de corps)")</f>
        <v>Chemises et chemisettes, de fibres synthétiques ou artificielles, pour hommes ou garçonnets (autres qu'en bonneterie et sauf chemises de nuit et gilets de corps)</v>
      </c>
    </row>
    <row r="7331" spans="1:4" x14ac:dyDescent="0.25">
      <c r="A7331" t="str">
        <f>T("   ZZZ_Monde")</f>
        <v xml:space="preserve">   ZZZ_Monde</v>
      </c>
      <c r="B7331" t="str">
        <f>T("   ZZZ_Monde")</f>
        <v xml:space="preserve">   ZZZ_Monde</v>
      </c>
      <c r="C7331">
        <v>16798396</v>
      </c>
      <c r="D7331">
        <v>10999</v>
      </c>
    </row>
    <row r="7332" spans="1:4" x14ac:dyDescent="0.25">
      <c r="A7332" t="str">
        <f>T("   BE")</f>
        <v xml:space="preserve">   BE</v>
      </c>
      <c r="B7332" t="str">
        <f>T("   Belgique")</f>
        <v xml:space="preserve">   Belgique</v>
      </c>
      <c r="C7332">
        <v>3134832</v>
      </c>
      <c r="D7332">
        <v>349</v>
      </c>
    </row>
    <row r="7333" spans="1:4" x14ac:dyDescent="0.25">
      <c r="A7333" t="str">
        <f>T("   CN")</f>
        <v xml:space="preserve">   CN</v>
      </c>
      <c r="B7333" t="str">
        <f>T("   Chine")</f>
        <v xml:space="preserve">   Chine</v>
      </c>
      <c r="C7333">
        <v>13663564</v>
      </c>
      <c r="D7333">
        <v>10650</v>
      </c>
    </row>
    <row r="7334" spans="1:4" x14ac:dyDescent="0.25">
      <c r="A7334" t="str">
        <f>T("620590")</f>
        <v>620590</v>
      </c>
      <c r="B7334" t="str">
        <f>T("CHEMISES ET CHEMISETTES, DE MATIÈRES TEXTILES, POUR HOMMES OU GARÇONNETS (AUTRES QUE DE COTON, FIBRES SYNTHÉTIQUES OU ARTIFICIELLES, AUTRES QU'EN BONNETERIE ET SAUF CHEMISES DE NUIT ET GILETS DE CORPS)")</f>
        <v>CHEMISES ET CHEMISETTES, DE MATIÈRES TEXTILES, POUR HOMMES OU GARÇONNETS (AUTRES QUE DE COTON, FIBRES SYNTHÉTIQUES OU ARTIFICIELLES, AUTRES QU'EN BONNETERIE ET SAUF CHEMISES DE NUIT ET GILETS DE CORPS)</v>
      </c>
    </row>
    <row r="7335" spans="1:4" x14ac:dyDescent="0.25">
      <c r="A7335" t="str">
        <f>T("   ZZZ_Monde")</f>
        <v xml:space="preserve">   ZZZ_Monde</v>
      </c>
      <c r="B7335" t="str">
        <f>T("   ZZZ_Monde")</f>
        <v xml:space="preserve">   ZZZ_Monde</v>
      </c>
      <c r="C7335">
        <v>253777142</v>
      </c>
      <c r="D7335">
        <v>358085.5</v>
      </c>
    </row>
    <row r="7336" spans="1:4" x14ac:dyDescent="0.25">
      <c r="A7336" t="str">
        <f>T("   AE")</f>
        <v xml:space="preserve">   AE</v>
      </c>
      <c r="B7336" t="str">
        <f>T("   Emirats Arabes Unis")</f>
        <v xml:space="preserve">   Emirats Arabes Unis</v>
      </c>
      <c r="C7336">
        <v>819648</v>
      </c>
      <c r="D7336">
        <v>980</v>
      </c>
    </row>
    <row r="7337" spans="1:4" x14ac:dyDescent="0.25">
      <c r="A7337" t="str">
        <f>T("   BA")</f>
        <v xml:space="preserve">   BA</v>
      </c>
      <c r="B7337" t="str">
        <f>T("   Bosnie Herzégovine")</f>
        <v xml:space="preserve">   Bosnie Herzégovine</v>
      </c>
      <c r="C7337">
        <v>3500000</v>
      </c>
      <c r="D7337">
        <v>632</v>
      </c>
    </row>
    <row r="7338" spans="1:4" x14ac:dyDescent="0.25">
      <c r="A7338" t="str">
        <f>T("   BE")</f>
        <v xml:space="preserve">   BE</v>
      </c>
      <c r="B7338" t="str">
        <f>T("   Belgique")</f>
        <v xml:space="preserve">   Belgique</v>
      </c>
      <c r="C7338">
        <v>14122365</v>
      </c>
      <c r="D7338">
        <v>17932</v>
      </c>
    </row>
    <row r="7339" spans="1:4" x14ac:dyDescent="0.25">
      <c r="A7339" t="str">
        <f>T("   BR")</f>
        <v xml:space="preserve">   BR</v>
      </c>
      <c r="B7339" t="str">
        <f>T("   Brésil")</f>
        <v xml:space="preserve">   Brésil</v>
      </c>
      <c r="C7339">
        <v>2200000</v>
      </c>
      <c r="D7339">
        <v>1450</v>
      </c>
    </row>
    <row r="7340" spans="1:4" x14ac:dyDescent="0.25">
      <c r="A7340" t="str">
        <f>T("   CA")</f>
        <v xml:space="preserve">   CA</v>
      </c>
      <c r="B7340" t="str">
        <f>T("   Canada")</f>
        <v xml:space="preserve">   Canada</v>
      </c>
      <c r="C7340">
        <v>900000</v>
      </c>
      <c r="D7340">
        <v>1500</v>
      </c>
    </row>
    <row r="7341" spans="1:4" x14ac:dyDescent="0.25">
      <c r="A7341" t="str">
        <f>T("   CD")</f>
        <v xml:space="preserve">   CD</v>
      </c>
      <c r="B7341" t="str">
        <f>T("   Congo, République Démocratique")</f>
        <v xml:space="preserve">   Congo, République Démocratique</v>
      </c>
      <c r="C7341">
        <v>1800000</v>
      </c>
      <c r="D7341">
        <v>1150</v>
      </c>
    </row>
    <row r="7342" spans="1:4" x14ac:dyDescent="0.25">
      <c r="A7342" t="str">
        <f>T("   CI")</f>
        <v xml:space="preserve">   CI</v>
      </c>
      <c r="B7342" t="str">
        <f>T("   Côte d'Ivoire")</f>
        <v xml:space="preserve">   Côte d'Ivoire</v>
      </c>
      <c r="C7342">
        <v>2100000</v>
      </c>
      <c r="D7342">
        <v>1850</v>
      </c>
    </row>
    <row r="7343" spans="1:4" x14ac:dyDescent="0.25">
      <c r="A7343" t="str">
        <f>T("   CM")</f>
        <v xml:space="preserve">   CM</v>
      </c>
      <c r="B7343" t="str">
        <f>T("   Cameroun")</f>
        <v xml:space="preserve">   Cameroun</v>
      </c>
      <c r="C7343">
        <v>3431000</v>
      </c>
      <c r="D7343">
        <v>2350</v>
      </c>
    </row>
    <row r="7344" spans="1:4" x14ac:dyDescent="0.25">
      <c r="A7344" t="str">
        <f>T("   CN")</f>
        <v xml:space="preserve">   CN</v>
      </c>
      <c r="B7344" t="str">
        <f>T("   Chine")</f>
        <v xml:space="preserve">   Chine</v>
      </c>
      <c r="C7344">
        <v>119538605</v>
      </c>
      <c r="D7344">
        <v>204412</v>
      </c>
    </row>
    <row r="7345" spans="1:4" x14ac:dyDescent="0.25">
      <c r="A7345" t="str">
        <f>T("   CU")</f>
        <v xml:space="preserve">   CU</v>
      </c>
      <c r="B7345" t="str">
        <f>T("   Cuba")</f>
        <v xml:space="preserve">   Cuba</v>
      </c>
      <c r="C7345">
        <v>950000</v>
      </c>
      <c r="D7345">
        <v>900</v>
      </c>
    </row>
    <row r="7346" spans="1:4" x14ac:dyDescent="0.25">
      <c r="A7346" t="str">
        <f>T("   DE")</f>
        <v xml:space="preserve">   DE</v>
      </c>
      <c r="B7346" t="str">
        <f>T("   Allemagne")</f>
        <v xml:space="preserve">   Allemagne</v>
      </c>
      <c r="C7346">
        <v>3763787</v>
      </c>
      <c r="D7346">
        <v>4950</v>
      </c>
    </row>
    <row r="7347" spans="1:4" x14ac:dyDescent="0.25">
      <c r="A7347" t="str">
        <f>T("   DJ")</f>
        <v xml:space="preserve">   DJ</v>
      </c>
      <c r="B7347" t="str">
        <f>T("   Djibouti")</f>
        <v xml:space="preserve">   Djibouti</v>
      </c>
      <c r="C7347">
        <v>850000</v>
      </c>
      <c r="D7347">
        <v>500</v>
      </c>
    </row>
    <row r="7348" spans="1:4" x14ac:dyDescent="0.25">
      <c r="A7348" t="str">
        <f>T("   DK")</f>
        <v xml:space="preserve">   DK</v>
      </c>
      <c r="B7348" t="str">
        <f>T("   Danemark")</f>
        <v xml:space="preserve">   Danemark</v>
      </c>
      <c r="C7348">
        <v>7068513</v>
      </c>
      <c r="D7348">
        <v>5700</v>
      </c>
    </row>
    <row r="7349" spans="1:4" x14ac:dyDescent="0.25">
      <c r="A7349" t="str">
        <f>T("   ET")</f>
        <v xml:space="preserve">   ET</v>
      </c>
      <c r="B7349" t="str">
        <f>T("   Ethiopie")</f>
        <v xml:space="preserve">   Ethiopie</v>
      </c>
      <c r="C7349">
        <v>2655960</v>
      </c>
      <c r="D7349">
        <v>3900</v>
      </c>
    </row>
    <row r="7350" spans="1:4" x14ac:dyDescent="0.25">
      <c r="A7350" t="str">
        <f>T("   FR")</f>
        <v xml:space="preserve">   FR</v>
      </c>
      <c r="B7350" t="str">
        <f>T("   France")</f>
        <v xml:space="preserve">   France</v>
      </c>
      <c r="C7350">
        <v>37128962</v>
      </c>
      <c r="D7350">
        <v>49877.5</v>
      </c>
    </row>
    <row r="7351" spans="1:4" x14ac:dyDescent="0.25">
      <c r="A7351" t="str">
        <f>T("   GA")</f>
        <v xml:space="preserve">   GA</v>
      </c>
      <c r="B7351" t="str">
        <f>T("   Gabon")</f>
        <v xml:space="preserve">   Gabon</v>
      </c>
      <c r="C7351">
        <v>2400000</v>
      </c>
      <c r="D7351">
        <v>2250</v>
      </c>
    </row>
    <row r="7352" spans="1:4" x14ac:dyDescent="0.25">
      <c r="A7352" t="str">
        <f>T("   GB")</f>
        <v xml:space="preserve">   GB</v>
      </c>
      <c r="B7352" t="str">
        <f>T("   Royaume-Uni")</f>
        <v xml:space="preserve">   Royaume-Uni</v>
      </c>
      <c r="C7352">
        <v>855314</v>
      </c>
      <c r="D7352">
        <v>2167</v>
      </c>
    </row>
    <row r="7353" spans="1:4" x14ac:dyDescent="0.25">
      <c r="A7353" t="str">
        <f>T("   GN")</f>
        <v xml:space="preserve">   GN</v>
      </c>
      <c r="B7353" t="str">
        <f>T("   Guinée")</f>
        <v xml:space="preserve">   Guinée</v>
      </c>
      <c r="C7353">
        <v>600000</v>
      </c>
      <c r="D7353">
        <v>550</v>
      </c>
    </row>
    <row r="7354" spans="1:4" x14ac:dyDescent="0.25">
      <c r="A7354" t="str">
        <f>T("   HK")</f>
        <v xml:space="preserve">   HK</v>
      </c>
      <c r="B7354" t="str">
        <f>T("   Hong-Kong")</f>
        <v xml:space="preserve">   Hong-Kong</v>
      </c>
      <c r="C7354">
        <v>21200000</v>
      </c>
      <c r="D7354">
        <v>25100</v>
      </c>
    </row>
    <row r="7355" spans="1:4" x14ac:dyDescent="0.25">
      <c r="A7355" t="str">
        <f>T("   IT")</f>
        <v xml:space="preserve">   IT</v>
      </c>
      <c r="B7355" t="str">
        <f>T("   Italie")</f>
        <v xml:space="preserve">   Italie</v>
      </c>
      <c r="C7355">
        <v>543576</v>
      </c>
      <c r="D7355">
        <v>1550</v>
      </c>
    </row>
    <row r="7356" spans="1:4" x14ac:dyDescent="0.25">
      <c r="A7356" t="str">
        <f>T("   JP")</f>
        <v xml:space="preserve">   JP</v>
      </c>
      <c r="B7356" t="str">
        <f>T("   Japon")</f>
        <v xml:space="preserve">   Japon</v>
      </c>
      <c r="C7356">
        <v>3650000</v>
      </c>
      <c r="D7356">
        <v>4035</v>
      </c>
    </row>
    <row r="7357" spans="1:4" x14ac:dyDescent="0.25">
      <c r="A7357" t="str">
        <f>T("   MA")</f>
        <v xml:space="preserve">   MA</v>
      </c>
      <c r="B7357" t="str">
        <f>T("   Maroc")</f>
        <v xml:space="preserve">   Maroc</v>
      </c>
      <c r="C7357">
        <v>1550000</v>
      </c>
      <c r="D7357">
        <v>1150</v>
      </c>
    </row>
    <row r="7358" spans="1:4" x14ac:dyDescent="0.25">
      <c r="A7358" t="str">
        <f>T("   MQ")</f>
        <v xml:space="preserve">   MQ</v>
      </c>
      <c r="B7358" t="str">
        <f>T("   Martinique")</f>
        <v xml:space="preserve">   Martinique</v>
      </c>
      <c r="C7358">
        <v>900000</v>
      </c>
      <c r="D7358">
        <v>600</v>
      </c>
    </row>
    <row r="7359" spans="1:4" x14ac:dyDescent="0.25">
      <c r="A7359" t="str">
        <f>T("   NA")</f>
        <v xml:space="preserve">   NA</v>
      </c>
      <c r="B7359" t="str">
        <f>T("   Namibie")</f>
        <v xml:space="preserve">   Namibie</v>
      </c>
      <c r="C7359">
        <v>950000</v>
      </c>
      <c r="D7359">
        <v>2500</v>
      </c>
    </row>
    <row r="7360" spans="1:4" x14ac:dyDescent="0.25">
      <c r="A7360" t="str">
        <f>T("   NL")</f>
        <v xml:space="preserve">   NL</v>
      </c>
      <c r="B7360" t="str">
        <f>T("   Pays-bas")</f>
        <v xml:space="preserve">   Pays-bas</v>
      </c>
      <c r="C7360">
        <v>1600000</v>
      </c>
      <c r="D7360">
        <v>1650</v>
      </c>
    </row>
    <row r="7361" spans="1:4" x14ac:dyDescent="0.25">
      <c r="A7361" t="str">
        <f>T("   RU")</f>
        <v xml:space="preserve">   RU</v>
      </c>
      <c r="B7361" t="str">
        <f>T("   Russie, Fédération de")</f>
        <v xml:space="preserve">   Russie, Fédération de</v>
      </c>
      <c r="C7361">
        <v>800000</v>
      </c>
      <c r="D7361">
        <v>900</v>
      </c>
    </row>
    <row r="7362" spans="1:4" x14ac:dyDescent="0.25">
      <c r="A7362" t="str">
        <f>T("   RW")</f>
        <v xml:space="preserve">   RW</v>
      </c>
      <c r="B7362" t="str">
        <f>T("   Rwanda")</f>
        <v xml:space="preserve">   Rwanda</v>
      </c>
      <c r="C7362">
        <v>800000</v>
      </c>
      <c r="D7362">
        <v>450</v>
      </c>
    </row>
    <row r="7363" spans="1:4" x14ac:dyDescent="0.25">
      <c r="A7363" t="str">
        <f>T("   SA")</f>
        <v xml:space="preserve">   SA</v>
      </c>
      <c r="B7363" t="str">
        <f>T("   Arabie Saoudite")</f>
        <v xml:space="preserve">   Arabie Saoudite</v>
      </c>
      <c r="C7363">
        <v>983227</v>
      </c>
      <c r="D7363">
        <v>3357</v>
      </c>
    </row>
    <row r="7364" spans="1:4" x14ac:dyDescent="0.25">
      <c r="A7364" t="str">
        <f>T("   SE")</f>
        <v xml:space="preserve">   SE</v>
      </c>
      <c r="B7364" t="str">
        <f>T("   Suède")</f>
        <v xml:space="preserve">   Suède</v>
      </c>
      <c r="C7364">
        <v>400000</v>
      </c>
      <c r="D7364">
        <v>107</v>
      </c>
    </row>
    <row r="7365" spans="1:4" x14ac:dyDescent="0.25">
      <c r="A7365" t="str">
        <f>T("   SN")</f>
        <v xml:space="preserve">   SN</v>
      </c>
      <c r="B7365" t="str">
        <f>T("   Sénégal")</f>
        <v xml:space="preserve">   Sénégal</v>
      </c>
      <c r="C7365">
        <v>3500000</v>
      </c>
      <c r="D7365">
        <v>3280</v>
      </c>
    </row>
    <row r="7366" spans="1:4" x14ac:dyDescent="0.25">
      <c r="A7366" t="str">
        <f>T("   TG")</f>
        <v xml:space="preserve">   TG</v>
      </c>
      <c r="B7366" t="str">
        <f>T("   Togo")</f>
        <v xml:space="preserve">   Togo</v>
      </c>
      <c r="C7366">
        <v>2150000</v>
      </c>
      <c r="D7366">
        <v>200</v>
      </c>
    </row>
    <row r="7367" spans="1:4" x14ac:dyDescent="0.25">
      <c r="A7367" t="str">
        <f>T("   TH")</f>
        <v xml:space="preserve">   TH</v>
      </c>
      <c r="B7367" t="str">
        <f>T("   Thaïlande")</f>
        <v xml:space="preserve">   Thaïlande</v>
      </c>
      <c r="C7367">
        <v>1521304</v>
      </c>
      <c r="D7367">
        <v>3740</v>
      </c>
    </row>
    <row r="7368" spans="1:4" x14ac:dyDescent="0.25">
      <c r="A7368" t="str">
        <f>T("   US")</f>
        <v xml:space="preserve">   US</v>
      </c>
      <c r="B7368" t="str">
        <f>T("   Etats-Unis")</f>
        <v xml:space="preserve">   Etats-Unis</v>
      </c>
      <c r="C7368">
        <v>6038441</v>
      </c>
      <c r="D7368">
        <v>4623</v>
      </c>
    </row>
    <row r="7369" spans="1:4" x14ac:dyDescent="0.25">
      <c r="A7369" t="str">
        <f>T("   VN")</f>
        <v xml:space="preserve">   VN</v>
      </c>
      <c r="B7369" t="str">
        <f>T("   Vietnam")</f>
        <v xml:space="preserve">   Vietnam</v>
      </c>
      <c r="C7369">
        <v>1200000</v>
      </c>
      <c r="D7369">
        <v>900</v>
      </c>
    </row>
    <row r="7370" spans="1:4" x14ac:dyDescent="0.25">
      <c r="A7370" t="str">
        <f>T("   ZA")</f>
        <v xml:space="preserve">   ZA</v>
      </c>
      <c r="B7370" t="str">
        <f>T("   Afrique du Sud")</f>
        <v xml:space="preserve">   Afrique du Sud</v>
      </c>
      <c r="C7370">
        <v>1306440</v>
      </c>
      <c r="D7370">
        <v>893</v>
      </c>
    </row>
    <row r="7371" spans="1:4" x14ac:dyDescent="0.25">
      <c r="A7371" t="str">
        <f>T("620630")</f>
        <v>620630</v>
      </c>
      <c r="B7371" t="str">
        <f>T("Chemisiers, blouses, blouses-chemisiers et chemisettes, de coton, pour femmes ou fillettes (autres qu'en bonneterie et sauf gilets de corps et chemises de jour)")</f>
        <v>Chemisiers, blouses, blouses-chemisiers et chemisettes, de coton, pour femmes ou fillettes (autres qu'en bonneterie et sauf gilets de corps et chemises de jour)</v>
      </c>
    </row>
    <row r="7372" spans="1:4" x14ac:dyDescent="0.25">
      <c r="A7372" t="str">
        <f>T("   ZZZ_Monde")</f>
        <v xml:space="preserve">   ZZZ_Monde</v>
      </c>
      <c r="B7372" t="str">
        <f>T("   ZZZ_Monde")</f>
        <v xml:space="preserve">   ZZZ_Monde</v>
      </c>
      <c r="C7372">
        <v>62316</v>
      </c>
      <c r="D7372">
        <v>54</v>
      </c>
    </row>
    <row r="7373" spans="1:4" x14ac:dyDescent="0.25">
      <c r="A7373" t="str">
        <f>T("   CA")</f>
        <v xml:space="preserve">   CA</v>
      </c>
      <c r="B7373" t="str">
        <f>T("   Canada")</f>
        <v xml:space="preserve">   Canada</v>
      </c>
      <c r="C7373">
        <v>3936</v>
      </c>
      <c r="D7373">
        <v>3</v>
      </c>
    </row>
    <row r="7374" spans="1:4" x14ac:dyDescent="0.25">
      <c r="A7374" t="str">
        <f>T("   ES")</f>
        <v xml:space="preserve">   ES</v>
      </c>
      <c r="B7374" t="str">
        <f>T("   Espagne")</f>
        <v xml:space="preserve">   Espagne</v>
      </c>
      <c r="C7374">
        <v>58380</v>
      </c>
      <c r="D7374">
        <v>51</v>
      </c>
    </row>
    <row r="7375" spans="1:4" x14ac:dyDescent="0.25">
      <c r="A7375" t="str">
        <f>T("620690")</f>
        <v>620690</v>
      </c>
      <c r="B7375" t="str">
        <f>T("Chemisiers, blouses, blouses-chemisiers et chemisettes, de matières textiles, pour femmes ou fillettes (autres que de laine, poils fins, coton, fibres synthétiques ou artificielles, soie et déchets de soie, autres qu'en bonneterie et sauf gilets de corps")</f>
        <v>Chemisiers, blouses, blouses-chemisiers et chemisettes, de matières textiles, pour femmes ou fillettes (autres que de laine, poils fins, coton, fibres synthétiques ou artificielles, soie et déchets de soie, autres qu'en bonneterie et sauf gilets de corps</v>
      </c>
    </row>
    <row r="7376" spans="1:4" x14ac:dyDescent="0.25">
      <c r="A7376" t="str">
        <f>T("   ZZZ_Monde")</f>
        <v xml:space="preserve">   ZZZ_Monde</v>
      </c>
      <c r="B7376" t="str">
        <f>T("   ZZZ_Monde")</f>
        <v xml:space="preserve">   ZZZ_Monde</v>
      </c>
      <c r="C7376">
        <v>25908139</v>
      </c>
      <c r="D7376">
        <v>52131</v>
      </c>
    </row>
    <row r="7377" spans="1:4" x14ac:dyDescent="0.25">
      <c r="A7377" t="str">
        <f>T("   CN")</f>
        <v xml:space="preserve">   CN</v>
      </c>
      <c r="B7377" t="str">
        <f>T("   Chine")</f>
        <v xml:space="preserve">   Chine</v>
      </c>
      <c r="C7377">
        <v>8271992</v>
      </c>
      <c r="D7377">
        <v>22265</v>
      </c>
    </row>
    <row r="7378" spans="1:4" x14ac:dyDescent="0.25">
      <c r="A7378" t="str">
        <f>T("   FR")</f>
        <v xml:space="preserve">   FR</v>
      </c>
      <c r="B7378" t="str">
        <f>T("   France")</f>
        <v xml:space="preserve">   France</v>
      </c>
      <c r="C7378">
        <v>2119407</v>
      </c>
      <c r="D7378">
        <v>3302</v>
      </c>
    </row>
    <row r="7379" spans="1:4" x14ac:dyDescent="0.25">
      <c r="A7379" t="str">
        <f>T("   NL")</f>
        <v xml:space="preserve">   NL</v>
      </c>
      <c r="B7379" t="str">
        <f>T("   Pays-bas")</f>
        <v xml:space="preserve">   Pays-bas</v>
      </c>
      <c r="C7379">
        <v>4426562</v>
      </c>
      <c r="D7379">
        <v>44</v>
      </c>
    </row>
    <row r="7380" spans="1:4" x14ac:dyDescent="0.25">
      <c r="A7380" t="str">
        <f>T("   PL")</f>
        <v xml:space="preserve">   PL</v>
      </c>
      <c r="B7380" t="str">
        <f>T("   Pologne")</f>
        <v xml:space="preserve">   Pologne</v>
      </c>
      <c r="C7380">
        <v>2525446</v>
      </c>
      <c r="D7380">
        <v>4350</v>
      </c>
    </row>
    <row r="7381" spans="1:4" x14ac:dyDescent="0.25">
      <c r="A7381" t="str">
        <f>T("   SE")</f>
        <v xml:space="preserve">   SE</v>
      </c>
      <c r="B7381" t="str">
        <f>T("   Suède")</f>
        <v xml:space="preserve">   Suède</v>
      </c>
      <c r="C7381">
        <v>200000</v>
      </c>
      <c r="D7381">
        <v>420</v>
      </c>
    </row>
    <row r="7382" spans="1:4" x14ac:dyDescent="0.25">
      <c r="A7382" t="str">
        <f>T("   TG")</f>
        <v xml:space="preserve">   TG</v>
      </c>
      <c r="B7382" t="str">
        <f>T("   Togo")</f>
        <v xml:space="preserve">   Togo</v>
      </c>
      <c r="C7382">
        <v>8364732</v>
      </c>
      <c r="D7382">
        <v>21750</v>
      </c>
    </row>
    <row r="7383" spans="1:4" x14ac:dyDescent="0.25">
      <c r="A7383" t="str">
        <f>T("620711")</f>
        <v>620711</v>
      </c>
      <c r="B7383" t="str">
        <f>T("SLIPS ET CALETHONS, DE COTON, POUR HOMMES OU GARÇONNETS (AUTRES QU'EN BONNETERIE)")</f>
        <v>SLIPS ET CALETHONS, DE COTON, POUR HOMMES OU GARÇONNETS (AUTRES QU'EN BONNETERIE)</v>
      </c>
    </row>
    <row r="7384" spans="1:4" x14ac:dyDescent="0.25">
      <c r="A7384" t="str">
        <f>T("   ZZZ_Monde")</f>
        <v xml:space="preserve">   ZZZ_Monde</v>
      </c>
      <c r="B7384" t="str">
        <f>T("   ZZZ_Monde")</f>
        <v xml:space="preserve">   ZZZ_Monde</v>
      </c>
      <c r="C7384">
        <v>4795723</v>
      </c>
      <c r="D7384">
        <v>838</v>
      </c>
    </row>
    <row r="7385" spans="1:4" x14ac:dyDescent="0.25">
      <c r="A7385" t="str">
        <f>T("   FR")</f>
        <v xml:space="preserve">   FR</v>
      </c>
      <c r="B7385" t="str">
        <f>T("   France")</f>
        <v xml:space="preserve">   France</v>
      </c>
      <c r="C7385">
        <v>4795723</v>
      </c>
      <c r="D7385">
        <v>838</v>
      </c>
    </row>
    <row r="7386" spans="1:4" x14ac:dyDescent="0.25">
      <c r="A7386" t="str">
        <f>T("620719")</f>
        <v>620719</v>
      </c>
      <c r="B7386" t="str">
        <f>T("SLIPS ET CALETHONS, DE MATIÈRES TEXTILES, POUR HOMMES OU GARÇONNETS (AUTRES QUE DE COTON ET AUTRES QU'EN BONNETERIE)")</f>
        <v>SLIPS ET CALETHONS, DE MATIÈRES TEXTILES, POUR HOMMES OU GARÇONNETS (AUTRES QUE DE COTON ET AUTRES QU'EN BONNETERIE)</v>
      </c>
    </row>
    <row r="7387" spans="1:4" x14ac:dyDescent="0.25">
      <c r="A7387" t="str">
        <f>T("   ZZZ_Monde")</f>
        <v xml:space="preserve">   ZZZ_Monde</v>
      </c>
      <c r="B7387" t="str">
        <f>T("   ZZZ_Monde")</f>
        <v xml:space="preserve">   ZZZ_Monde</v>
      </c>
      <c r="C7387">
        <v>7255928</v>
      </c>
      <c r="D7387">
        <v>2996</v>
      </c>
    </row>
    <row r="7388" spans="1:4" x14ac:dyDescent="0.25">
      <c r="A7388" t="str">
        <f>T("   CN")</f>
        <v xml:space="preserve">   CN</v>
      </c>
      <c r="B7388" t="str">
        <f>T("   Chine")</f>
        <v xml:space="preserve">   Chine</v>
      </c>
      <c r="C7388">
        <v>2197820</v>
      </c>
      <c r="D7388">
        <v>2637</v>
      </c>
    </row>
    <row r="7389" spans="1:4" x14ac:dyDescent="0.25">
      <c r="A7389" t="str">
        <f>T("   FR")</f>
        <v xml:space="preserve">   FR</v>
      </c>
      <c r="B7389" t="str">
        <f>T("   France")</f>
        <v xml:space="preserve">   France</v>
      </c>
      <c r="C7389">
        <v>5058108</v>
      </c>
      <c r="D7389">
        <v>359</v>
      </c>
    </row>
    <row r="7390" spans="1:4" x14ac:dyDescent="0.25">
      <c r="A7390" t="str">
        <f>T("620729")</f>
        <v>620729</v>
      </c>
      <c r="B7390" t="str">
        <f>T("CHEMISES DE NUIT ET PYJAMAS, DE MATIÈRES TEXTILES, POUR HOMMES OU GARÇONNETS (AUTRES QUE DE COTON, FIBRES SYNTHÉTIQUES OU ARTIFICIELLES, AUTRES QU'EN BONNETERIE ET SAUF GILETS DE CORPS ET SLIPS ET CALETHONS)")</f>
        <v>CHEMISES DE NUIT ET PYJAMAS, DE MATIÈRES TEXTILES, POUR HOMMES OU GARÇONNETS (AUTRES QUE DE COTON, FIBRES SYNTHÉTIQUES OU ARTIFICIELLES, AUTRES QU'EN BONNETERIE ET SAUF GILETS DE CORPS ET SLIPS ET CALETHONS)</v>
      </c>
    </row>
    <row r="7391" spans="1:4" x14ac:dyDescent="0.25">
      <c r="A7391" t="str">
        <f>T("   ZZZ_Monde")</f>
        <v xml:space="preserve">   ZZZ_Monde</v>
      </c>
      <c r="B7391" t="str">
        <f>T("   ZZZ_Monde")</f>
        <v xml:space="preserve">   ZZZ_Monde</v>
      </c>
      <c r="C7391">
        <v>239747</v>
      </c>
      <c r="D7391">
        <v>38</v>
      </c>
    </row>
    <row r="7392" spans="1:4" x14ac:dyDescent="0.25">
      <c r="A7392" t="str">
        <f>T("   CA")</f>
        <v xml:space="preserve">   CA</v>
      </c>
      <c r="B7392" t="str">
        <f>T("   Canada")</f>
        <v xml:space="preserve">   Canada</v>
      </c>
      <c r="C7392">
        <v>213508</v>
      </c>
      <c r="D7392">
        <v>5</v>
      </c>
    </row>
    <row r="7393" spans="1:4" x14ac:dyDescent="0.25">
      <c r="A7393" t="str">
        <f>T("   FR")</f>
        <v xml:space="preserve">   FR</v>
      </c>
      <c r="B7393" t="str">
        <f>T("   France")</f>
        <v xml:space="preserve">   France</v>
      </c>
      <c r="C7393">
        <v>26239</v>
      </c>
      <c r="D7393">
        <v>33</v>
      </c>
    </row>
    <row r="7394" spans="1:4" x14ac:dyDescent="0.25">
      <c r="A7394" t="str">
        <f>T("620799")</f>
        <v>620799</v>
      </c>
      <c r="B7394" t="str">
        <f>T("GILETS DE CORPS, PEIGNOIRS DE BAIN, ROBES DE CHAMBRE ET ARTICLES SIMIL., DE MATIÈRES TEXTILES, POUR HOMMES OU GARÇONNETS (AUTRES QUE DE COTON ET AUTRES QU'EN BONNETERIE ET SAUF SLIPS ET CALEÇONS, CHEMISES DE NUIT ET PYJAMAS)")</f>
        <v>GILETS DE CORPS, PEIGNOIRS DE BAIN, ROBES DE CHAMBRE ET ARTICLES SIMIL., DE MATIÈRES TEXTILES, POUR HOMMES OU GARÇONNETS (AUTRES QUE DE COTON ET AUTRES QU'EN BONNETERIE ET SAUF SLIPS ET CALEÇONS, CHEMISES DE NUIT ET PYJAMAS)</v>
      </c>
    </row>
    <row r="7395" spans="1:4" x14ac:dyDescent="0.25">
      <c r="A7395" t="str">
        <f>T("   ZZZ_Monde")</f>
        <v xml:space="preserve">   ZZZ_Monde</v>
      </c>
      <c r="B7395" t="str">
        <f>T("   ZZZ_Monde")</f>
        <v xml:space="preserve">   ZZZ_Monde</v>
      </c>
      <c r="C7395">
        <v>438126</v>
      </c>
      <c r="D7395">
        <v>600</v>
      </c>
    </row>
    <row r="7396" spans="1:4" x14ac:dyDescent="0.25">
      <c r="A7396" t="str">
        <f>T("   CN")</f>
        <v xml:space="preserve">   CN</v>
      </c>
      <c r="B7396" t="str">
        <f>T("   Chine")</f>
        <v xml:space="preserve">   Chine</v>
      </c>
      <c r="C7396">
        <v>438126</v>
      </c>
      <c r="D7396">
        <v>600</v>
      </c>
    </row>
    <row r="7397" spans="1:4" x14ac:dyDescent="0.25">
      <c r="A7397" t="str">
        <f>T("620811")</f>
        <v>620811</v>
      </c>
      <c r="B7397" t="str">
        <f>T("Combinaisons ou fonds de robes et jupons, de fibres synthétiques ou artificielles, pour femmes ou fillettes (autres qu'en bonneterie et sauf gilets de corps et articles simil.)")</f>
        <v>Combinaisons ou fonds de robes et jupons, de fibres synthétiques ou artificielles, pour femmes ou fillettes (autres qu'en bonneterie et sauf gilets de corps et articles simil.)</v>
      </c>
    </row>
    <row r="7398" spans="1:4" x14ac:dyDescent="0.25">
      <c r="A7398" t="str">
        <f>T("   ZZZ_Monde")</f>
        <v xml:space="preserve">   ZZZ_Monde</v>
      </c>
      <c r="B7398" t="str">
        <f>T("   ZZZ_Monde")</f>
        <v xml:space="preserve">   ZZZ_Monde</v>
      </c>
      <c r="C7398">
        <v>1550033</v>
      </c>
      <c r="D7398">
        <v>400</v>
      </c>
    </row>
    <row r="7399" spans="1:4" x14ac:dyDescent="0.25">
      <c r="A7399" t="str">
        <f>T("   FR")</f>
        <v xml:space="preserve">   FR</v>
      </c>
      <c r="B7399" t="str">
        <f>T("   France")</f>
        <v xml:space="preserve">   France</v>
      </c>
      <c r="C7399">
        <v>1550033</v>
      </c>
      <c r="D7399">
        <v>400</v>
      </c>
    </row>
    <row r="7400" spans="1:4" x14ac:dyDescent="0.25">
      <c r="A7400" t="str">
        <f>T("620822")</f>
        <v>620822</v>
      </c>
      <c r="B7400" t="str">
        <f>T("Chemises de nuit et pyjamas, de fibres synthétiques ou artificielles, pour femmes ou fillettes (autres qu'en bonneterie et sauf gilets de corps, chemises de jour et déshabillés)")</f>
        <v>Chemises de nuit et pyjamas, de fibres synthétiques ou artificielles, pour femmes ou fillettes (autres qu'en bonneterie et sauf gilets de corps, chemises de jour et déshabillés)</v>
      </c>
    </row>
    <row r="7401" spans="1:4" x14ac:dyDescent="0.25">
      <c r="A7401" t="str">
        <f>T("   ZZZ_Monde")</f>
        <v xml:space="preserve">   ZZZ_Monde</v>
      </c>
      <c r="B7401" t="str">
        <f>T("   ZZZ_Monde")</f>
        <v xml:space="preserve">   ZZZ_Monde</v>
      </c>
      <c r="C7401">
        <v>465731</v>
      </c>
      <c r="D7401">
        <v>90</v>
      </c>
    </row>
    <row r="7402" spans="1:4" x14ac:dyDescent="0.25">
      <c r="A7402" t="str">
        <f>T("   FR")</f>
        <v xml:space="preserve">   FR</v>
      </c>
      <c r="B7402" t="str">
        <f>T("   France")</f>
        <v xml:space="preserve">   France</v>
      </c>
      <c r="C7402">
        <v>465731</v>
      </c>
      <c r="D7402">
        <v>90</v>
      </c>
    </row>
    <row r="7403" spans="1:4" x14ac:dyDescent="0.25">
      <c r="A7403" t="str">
        <f>T("620829")</f>
        <v>620829</v>
      </c>
      <c r="B7403" t="str">
        <f>T("Chemises de nuit et pyjamas, de matières textiles, pour femmes ou fillettes (autres que de coton, fibres synthétiques ou artificielles, autres qu'en bonneterie et sauf gilets de corps, chemises de jour et déshabillés)")</f>
        <v>Chemises de nuit et pyjamas, de matières textiles, pour femmes ou fillettes (autres que de coton, fibres synthétiques ou artificielles, autres qu'en bonneterie et sauf gilets de corps, chemises de jour et déshabillés)</v>
      </c>
    </row>
    <row r="7404" spans="1:4" x14ac:dyDescent="0.25">
      <c r="A7404" t="str">
        <f>T("   ZZZ_Monde")</f>
        <v xml:space="preserve">   ZZZ_Monde</v>
      </c>
      <c r="B7404" t="str">
        <f>T("   ZZZ_Monde")</f>
        <v xml:space="preserve">   ZZZ_Monde</v>
      </c>
      <c r="C7404">
        <v>32769</v>
      </c>
      <c r="D7404">
        <v>35</v>
      </c>
    </row>
    <row r="7405" spans="1:4" x14ac:dyDescent="0.25">
      <c r="A7405" t="str">
        <f>T("   TG")</f>
        <v xml:space="preserve">   TG</v>
      </c>
      <c r="B7405" t="str">
        <f>T("   Togo")</f>
        <v xml:space="preserve">   Togo</v>
      </c>
      <c r="C7405">
        <v>32769</v>
      </c>
      <c r="D7405">
        <v>35</v>
      </c>
    </row>
    <row r="7406" spans="1:4" x14ac:dyDescent="0.25">
      <c r="A7406" t="str">
        <f>T("620899")</f>
        <v>620899</v>
      </c>
      <c r="B7406" t="str">
        <f>T("Gilets de corps, chemises de jour, slips, déshabillés, peignoirs de bain, robes de chambre et articles simil., de matières textiles, pour femmes ou fillettes (autres que de coton, fibres synthétiques ou artificielles, autres qu'en bonneterie et sauf combi")</f>
        <v>Gilets de corps, chemises de jour, slips, déshabillés, peignoirs de bain, robes de chambre et articles simil., de matières textiles, pour femmes ou fillettes (autres que de coton, fibres synthétiques ou artificielles, autres qu'en bonneterie et sauf combi</v>
      </c>
    </row>
    <row r="7407" spans="1:4" x14ac:dyDescent="0.25">
      <c r="A7407" t="str">
        <f>T("   ZZZ_Monde")</f>
        <v xml:space="preserve">   ZZZ_Monde</v>
      </c>
      <c r="B7407" t="str">
        <f>T("   ZZZ_Monde")</f>
        <v xml:space="preserve">   ZZZ_Monde</v>
      </c>
      <c r="C7407">
        <v>4179249</v>
      </c>
      <c r="D7407">
        <v>11362</v>
      </c>
    </row>
    <row r="7408" spans="1:4" x14ac:dyDescent="0.25">
      <c r="A7408" t="str">
        <f>T("   CN")</f>
        <v xml:space="preserve">   CN</v>
      </c>
      <c r="B7408" t="str">
        <f>T("   Chine")</f>
        <v xml:space="preserve">   Chine</v>
      </c>
      <c r="C7408">
        <v>164573</v>
      </c>
      <c r="D7408">
        <v>1112</v>
      </c>
    </row>
    <row r="7409" spans="1:4" x14ac:dyDescent="0.25">
      <c r="A7409" t="str">
        <f>T("   FR")</f>
        <v xml:space="preserve">   FR</v>
      </c>
      <c r="B7409" t="str">
        <f>T("   France")</f>
        <v xml:space="preserve">   France</v>
      </c>
      <c r="C7409">
        <v>3947567</v>
      </c>
      <c r="D7409">
        <v>10000</v>
      </c>
    </row>
    <row r="7410" spans="1:4" x14ac:dyDescent="0.25">
      <c r="A7410" t="str">
        <f>T("   LB")</f>
        <v xml:space="preserve">   LB</v>
      </c>
      <c r="B7410" t="str">
        <f>T("   Liban")</f>
        <v xml:space="preserve">   Liban</v>
      </c>
      <c r="C7410">
        <v>67109</v>
      </c>
      <c r="D7410">
        <v>250</v>
      </c>
    </row>
    <row r="7411" spans="1:4" x14ac:dyDescent="0.25">
      <c r="A7411" t="str">
        <f>T("620920")</f>
        <v>620920</v>
      </c>
      <c r="B7411" t="str">
        <f>T("Vêtements et accessoires du vêtement, de coton, pour bébés (autres qu'en bonneterie et sauf bonnets)")</f>
        <v>Vêtements et accessoires du vêtement, de coton, pour bébés (autres qu'en bonneterie et sauf bonnets)</v>
      </c>
    </row>
    <row r="7412" spans="1:4" x14ac:dyDescent="0.25">
      <c r="A7412" t="str">
        <f>T("   ZZZ_Monde")</f>
        <v xml:space="preserve">   ZZZ_Monde</v>
      </c>
      <c r="B7412" t="str">
        <f>T("   ZZZ_Monde")</f>
        <v xml:space="preserve">   ZZZ_Monde</v>
      </c>
      <c r="C7412">
        <v>2601404</v>
      </c>
      <c r="D7412">
        <v>348</v>
      </c>
    </row>
    <row r="7413" spans="1:4" x14ac:dyDescent="0.25">
      <c r="A7413" t="str">
        <f>T("   BE")</f>
        <v xml:space="preserve">   BE</v>
      </c>
      <c r="B7413" t="str">
        <f>T("   Belgique")</f>
        <v xml:space="preserve">   Belgique</v>
      </c>
      <c r="C7413">
        <v>2089233</v>
      </c>
      <c r="D7413">
        <v>136</v>
      </c>
    </row>
    <row r="7414" spans="1:4" x14ac:dyDescent="0.25">
      <c r="A7414" t="str">
        <f>T("   CN")</f>
        <v xml:space="preserve">   CN</v>
      </c>
      <c r="B7414" t="str">
        <f>T("   Chine")</f>
        <v xml:space="preserve">   Chine</v>
      </c>
      <c r="C7414">
        <v>79366</v>
      </c>
      <c r="D7414">
        <v>112</v>
      </c>
    </row>
    <row r="7415" spans="1:4" x14ac:dyDescent="0.25">
      <c r="A7415" t="str">
        <f>T("   IT")</f>
        <v xml:space="preserve">   IT</v>
      </c>
      <c r="B7415" t="str">
        <f>T("   Italie")</f>
        <v xml:space="preserve">   Italie</v>
      </c>
      <c r="C7415">
        <v>432805</v>
      </c>
      <c r="D7415">
        <v>100</v>
      </c>
    </row>
    <row r="7416" spans="1:4" x14ac:dyDescent="0.25">
      <c r="A7416" t="str">
        <f>T("620930")</f>
        <v>620930</v>
      </c>
      <c r="B7416" t="str">
        <f>T("Vêtements et accessoires du vêtement, de fibres synthétiques, pour bébés (autres qu'en bonneterie et sauf bonnets)")</f>
        <v>Vêtements et accessoires du vêtement, de fibres synthétiques, pour bébés (autres qu'en bonneterie et sauf bonnets)</v>
      </c>
    </row>
    <row r="7417" spans="1:4" x14ac:dyDescent="0.25">
      <c r="A7417" t="str">
        <f>T("   ZZZ_Monde")</f>
        <v xml:space="preserve">   ZZZ_Monde</v>
      </c>
      <c r="B7417" t="str">
        <f>T("   ZZZ_Monde")</f>
        <v xml:space="preserve">   ZZZ_Monde</v>
      </c>
      <c r="C7417">
        <v>4735253</v>
      </c>
      <c r="D7417">
        <v>31360</v>
      </c>
    </row>
    <row r="7418" spans="1:4" x14ac:dyDescent="0.25">
      <c r="A7418" t="str">
        <f>T("   CN")</f>
        <v xml:space="preserve">   CN</v>
      </c>
      <c r="B7418" t="str">
        <f>T("   Chine")</f>
        <v xml:space="preserve">   Chine</v>
      </c>
      <c r="C7418">
        <v>4735253</v>
      </c>
      <c r="D7418">
        <v>31360</v>
      </c>
    </row>
    <row r="7419" spans="1:4" x14ac:dyDescent="0.25">
      <c r="A7419" t="str">
        <f>T("620990")</f>
        <v>620990</v>
      </c>
      <c r="B7419" t="str">
        <f>T("VÊTEMENTS ET ACCESSOIRES DU VÊTEMENT, DE MATIÈRES TEXTILES, POUR BÉBÉS (AUTRES QUE DE COTON, FIBRES SYNTHÉTIQUES, AUTRES QU'EN BONNETERIE ET SAUF BONNETS)")</f>
        <v>VÊTEMENTS ET ACCESSOIRES DU VÊTEMENT, DE MATIÈRES TEXTILES, POUR BÉBÉS (AUTRES QUE DE COTON, FIBRES SYNTHÉTIQUES, AUTRES QU'EN BONNETERIE ET SAUF BONNETS)</v>
      </c>
    </row>
    <row r="7420" spans="1:4" x14ac:dyDescent="0.25">
      <c r="A7420" t="str">
        <f>T("   ZZZ_Monde")</f>
        <v xml:space="preserve">   ZZZ_Monde</v>
      </c>
      <c r="B7420" t="str">
        <f>T("   ZZZ_Monde")</f>
        <v xml:space="preserve">   ZZZ_Monde</v>
      </c>
      <c r="C7420">
        <v>22722780</v>
      </c>
      <c r="D7420">
        <v>69150</v>
      </c>
    </row>
    <row r="7421" spans="1:4" x14ac:dyDescent="0.25">
      <c r="A7421" t="str">
        <f>T("   AE")</f>
        <v xml:space="preserve">   AE</v>
      </c>
      <c r="B7421" t="str">
        <f>T("   Emirats Arabes Unis")</f>
        <v xml:space="preserve">   Emirats Arabes Unis</v>
      </c>
      <c r="C7421">
        <v>390670</v>
      </c>
      <c r="D7421">
        <v>5543</v>
      </c>
    </row>
    <row r="7422" spans="1:4" x14ac:dyDescent="0.25">
      <c r="A7422" t="str">
        <f>T("   CN")</f>
        <v xml:space="preserve">   CN</v>
      </c>
      <c r="B7422" t="str">
        <f>T("   Chine")</f>
        <v xml:space="preserve">   Chine</v>
      </c>
      <c r="C7422">
        <v>15550654</v>
      </c>
      <c r="D7422">
        <v>30678</v>
      </c>
    </row>
    <row r="7423" spans="1:4" x14ac:dyDescent="0.25">
      <c r="A7423" t="str">
        <f>T("   FR")</f>
        <v xml:space="preserve">   FR</v>
      </c>
      <c r="B7423" t="str">
        <f>T("   France")</f>
        <v xml:space="preserve">   France</v>
      </c>
      <c r="C7423">
        <v>200000</v>
      </c>
      <c r="D7423">
        <v>220</v>
      </c>
    </row>
    <row r="7424" spans="1:4" x14ac:dyDescent="0.25">
      <c r="A7424" t="str">
        <f>T("   TG")</f>
        <v xml:space="preserve">   TG</v>
      </c>
      <c r="B7424" t="str">
        <f>T("   Togo")</f>
        <v xml:space="preserve">   Togo</v>
      </c>
      <c r="C7424">
        <v>6581456</v>
      </c>
      <c r="D7424">
        <v>32709</v>
      </c>
    </row>
    <row r="7425" spans="1:4" x14ac:dyDescent="0.25">
      <c r="A7425" t="str">
        <f>T("621010")</f>
        <v>621010</v>
      </c>
      <c r="B7425" t="str">
        <f>T("Vêtements en feutres ou non-tissés, même imprégnés, enduits, recouverts ou stratifiés (sauf vêtements pour bébés et sauf accessoires du vêtement)")</f>
        <v>Vêtements en feutres ou non-tissés, même imprégnés, enduits, recouverts ou stratifiés (sauf vêtements pour bébés et sauf accessoires du vêtement)</v>
      </c>
    </row>
    <row r="7426" spans="1:4" x14ac:dyDescent="0.25">
      <c r="A7426" t="str">
        <f>T("   ZZZ_Monde")</f>
        <v xml:space="preserve">   ZZZ_Monde</v>
      </c>
      <c r="B7426" t="str">
        <f>T("   ZZZ_Monde")</f>
        <v xml:space="preserve">   ZZZ_Monde</v>
      </c>
      <c r="C7426">
        <v>9155890</v>
      </c>
      <c r="D7426">
        <v>319</v>
      </c>
    </row>
    <row r="7427" spans="1:4" x14ac:dyDescent="0.25">
      <c r="A7427" t="str">
        <f>T("   FR")</f>
        <v xml:space="preserve">   FR</v>
      </c>
      <c r="B7427" t="str">
        <f>T("   France")</f>
        <v xml:space="preserve">   France</v>
      </c>
      <c r="C7427">
        <v>9155890</v>
      </c>
      <c r="D7427">
        <v>319</v>
      </c>
    </row>
    <row r="7428" spans="1:4" x14ac:dyDescent="0.25">
      <c r="A7428" t="str">
        <f>T("621020")</f>
        <v>621020</v>
      </c>
      <c r="B7428" t="str">
        <f>T("Vêtements des types du n° 6201.11 à 6201.19 [manteaux, cabans, capes et articles simil.], caoutchoutés ou imprégnés, enduits ou recouverts de matière plastique ou d'autres substances")</f>
        <v>Vêtements des types du n° 6201.11 à 6201.19 [manteaux, cabans, capes et articles simil.], caoutchoutés ou imprégnés, enduits ou recouverts de matière plastique ou d'autres substances</v>
      </c>
    </row>
    <row r="7429" spans="1:4" x14ac:dyDescent="0.25">
      <c r="A7429" t="str">
        <f>T("   ZZZ_Monde")</f>
        <v xml:space="preserve">   ZZZ_Monde</v>
      </c>
      <c r="B7429" t="str">
        <f>T("   ZZZ_Monde")</f>
        <v xml:space="preserve">   ZZZ_Monde</v>
      </c>
      <c r="C7429">
        <v>3520552</v>
      </c>
      <c r="D7429">
        <v>981</v>
      </c>
    </row>
    <row r="7430" spans="1:4" x14ac:dyDescent="0.25">
      <c r="A7430" t="str">
        <f>T("   FR")</f>
        <v xml:space="preserve">   FR</v>
      </c>
      <c r="B7430" t="str">
        <f>T("   France")</f>
        <v xml:space="preserve">   France</v>
      </c>
      <c r="C7430">
        <v>1973617</v>
      </c>
      <c r="D7430">
        <v>633</v>
      </c>
    </row>
    <row r="7431" spans="1:4" x14ac:dyDescent="0.25">
      <c r="A7431" t="str">
        <f>T("   IT")</f>
        <v xml:space="preserve">   IT</v>
      </c>
      <c r="B7431" t="str">
        <f>T("   Italie")</f>
        <v xml:space="preserve">   Italie</v>
      </c>
      <c r="C7431">
        <v>146935</v>
      </c>
      <c r="D7431">
        <v>71</v>
      </c>
    </row>
    <row r="7432" spans="1:4" x14ac:dyDescent="0.25">
      <c r="A7432" t="str">
        <f>T("   MA")</f>
        <v xml:space="preserve">   MA</v>
      </c>
      <c r="B7432" t="str">
        <f>T("   Maroc")</f>
        <v xml:space="preserve">   Maroc</v>
      </c>
      <c r="C7432">
        <v>600000</v>
      </c>
      <c r="D7432">
        <v>110</v>
      </c>
    </row>
    <row r="7433" spans="1:4" x14ac:dyDescent="0.25">
      <c r="A7433" t="str">
        <f>T("   MZ")</f>
        <v xml:space="preserve">   MZ</v>
      </c>
      <c r="B7433" t="str">
        <f>T("   Mozambique")</f>
        <v xml:space="preserve">   Mozambique</v>
      </c>
      <c r="C7433">
        <v>800000</v>
      </c>
      <c r="D7433">
        <v>167</v>
      </c>
    </row>
    <row r="7434" spans="1:4" x14ac:dyDescent="0.25">
      <c r="A7434" t="str">
        <f>T("621030")</f>
        <v>621030</v>
      </c>
      <c r="B7434" t="str">
        <f>T("Vêtements des types du n° 6202.11 à 6202.19 [manteaux, cabans, capes et articles simil.], caoutchoutés ou imprégnés, enduits ou recouverts de matière plastique ou d'autres substances")</f>
        <v>Vêtements des types du n° 6202.11 à 6202.19 [manteaux, cabans, capes et articles simil.], caoutchoutés ou imprégnés, enduits ou recouverts de matière plastique ou d'autres substances</v>
      </c>
    </row>
    <row r="7435" spans="1:4" x14ac:dyDescent="0.25">
      <c r="A7435" t="str">
        <f>T("   ZZZ_Monde")</f>
        <v xml:space="preserve">   ZZZ_Monde</v>
      </c>
      <c r="B7435" t="str">
        <f>T("   ZZZ_Monde")</f>
        <v xml:space="preserve">   ZZZ_Monde</v>
      </c>
      <c r="C7435">
        <v>6129336</v>
      </c>
      <c r="D7435">
        <v>19610</v>
      </c>
    </row>
    <row r="7436" spans="1:4" x14ac:dyDescent="0.25">
      <c r="A7436" t="str">
        <f>T("   FR")</f>
        <v xml:space="preserve">   FR</v>
      </c>
      <c r="B7436" t="str">
        <f>T("   France")</f>
        <v xml:space="preserve">   France</v>
      </c>
      <c r="C7436">
        <v>4106112</v>
      </c>
      <c r="D7436">
        <v>110</v>
      </c>
    </row>
    <row r="7437" spans="1:4" x14ac:dyDescent="0.25">
      <c r="A7437" t="str">
        <f>T("   IT")</f>
        <v xml:space="preserve">   IT</v>
      </c>
      <c r="B7437" t="str">
        <f>T("   Italie")</f>
        <v xml:space="preserve">   Italie</v>
      </c>
      <c r="C7437">
        <v>207224</v>
      </c>
      <c r="D7437">
        <v>500</v>
      </c>
    </row>
    <row r="7438" spans="1:4" x14ac:dyDescent="0.25">
      <c r="A7438" t="str">
        <f>T("   Z2")</f>
        <v xml:space="preserve">   Z2</v>
      </c>
      <c r="B7438" t="str">
        <f>T("   Pays non défini")</f>
        <v xml:space="preserve">   Pays non défini</v>
      </c>
      <c r="C7438">
        <v>1816000</v>
      </c>
      <c r="D7438">
        <v>19000</v>
      </c>
    </row>
    <row r="7439" spans="1:4" x14ac:dyDescent="0.25">
      <c r="A7439" t="str">
        <f>T("621040")</f>
        <v>621040</v>
      </c>
      <c r="B7439" t="str">
        <f>T("Vêtements de tissus, autres qu'en bonneterie, caoutchoutés ou imprégnés, enduits ou recouverts de matière plastique ou d'autres substances, pour hommes ou garçonnets (autres que vêtements des types du n° 6201.11 à 6201.19 [manteaux, cabans, capes et artic")</f>
        <v>Vêtements de tissus, autres qu'en bonneterie, caoutchoutés ou imprégnés, enduits ou recouverts de matière plastique ou d'autres substances, pour hommes ou garçonnets (autres que vêtements des types du n° 6201.11 à 6201.19 [manteaux, cabans, capes et artic</v>
      </c>
    </row>
    <row r="7440" spans="1:4" x14ac:dyDescent="0.25">
      <c r="A7440" t="str">
        <f>T("   ZZZ_Monde")</f>
        <v xml:space="preserve">   ZZZ_Monde</v>
      </c>
      <c r="B7440" t="str">
        <f>T("   ZZZ_Monde")</f>
        <v xml:space="preserve">   ZZZ_Monde</v>
      </c>
      <c r="C7440">
        <v>105121646</v>
      </c>
      <c r="D7440">
        <v>145656.6</v>
      </c>
    </row>
    <row r="7441" spans="1:4" x14ac:dyDescent="0.25">
      <c r="A7441" t="str">
        <f>T("   AU")</f>
        <v xml:space="preserve">   AU</v>
      </c>
      <c r="B7441" t="str">
        <f>T("   Australie")</f>
        <v xml:space="preserve">   Australie</v>
      </c>
      <c r="C7441">
        <v>2709115</v>
      </c>
      <c r="D7441">
        <v>4928</v>
      </c>
    </row>
    <row r="7442" spans="1:4" x14ac:dyDescent="0.25">
      <c r="A7442" t="str">
        <f>T("   BE")</f>
        <v xml:space="preserve">   BE</v>
      </c>
      <c r="B7442" t="str">
        <f>T("   Belgique")</f>
        <v xml:space="preserve">   Belgique</v>
      </c>
      <c r="C7442">
        <v>82683</v>
      </c>
      <c r="D7442">
        <v>102</v>
      </c>
    </row>
    <row r="7443" spans="1:4" x14ac:dyDescent="0.25">
      <c r="A7443" t="str">
        <f>T("   CI")</f>
        <v xml:space="preserve">   CI</v>
      </c>
      <c r="B7443" t="str">
        <f>T("   Côte d'Ivoire")</f>
        <v xml:space="preserve">   Côte d'Ivoire</v>
      </c>
      <c r="C7443">
        <v>131192</v>
      </c>
      <c r="D7443">
        <v>200</v>
      </c>
    </row>
    <row r="7444" spans="1:4" x14ac:dyDescent="0.25">
      <c r="A7444" t="str">
        <f>T("   CN")</f>
        <v xml:space="preserve">   CN</v>
      </c>
      <c r="B7444" t="str">
        <f>T("   Chine")</f>
        <v xml:space="preserve">   Chine</v>
      </c>
      <c r="C7444">
        <v>26115113</v>
      </c>
      <c r="D7444">
        <v>45792</v>
      </c>
    </row>
    <row r="7445" spans="1:4" x14ac:dyDescent="0.25">
      <c r="A7445" t="str">
        <f>T("   DE")</f>
        <v xml:space="preserve">   DE</v>
      </c>
      <c r="B7445" t="str">
        <f>T("   Allemagne")</f>
        <v xml:space="preserve">   Allemagne</v>
      </c>
      <c r="C7445">
        <v>2218948</v>
      </c>
      <c r="D7445">
        <v>819</v>
      </c>
    </row>
    <row r="7446" spans="1:4" x14ac:dyDescent="0.25">
      <c r="A7446" t="str">
        <f>T("   ES")</f>
        <v xml:space="preserve">   ES</v>
      </c>
      <c r="B7446" t="str">
        <f>T("   Espagne")</f>
        <v xml:space="preserve">   Espagne</v>
      </c>
      <c r="C7446">
        <v>8324052</v>
      </c>
      <c r="D7446">
        <v>26103</v>
      </c>
    </row>
    <row r="7447" spans="1:4" x14ac:dyDescent="0.25">
      <c r="A7447" t="str">
        <f>T("   FR")</f>
        <v xml:space="preserve">   FR</v>
      </c>
      <c r="B7447" t="str">
        <f>T("   France")</f>
        <v xml:space="preserve">   France</v>
      </c>
      <c r="C7447">
        <v>19185835</v>
      </c>
      <c r="D7447">
        <v>18634.8</v>
      </c>
    </row>
    <row r="7448" spans="1:4" x14ac:dyDescent="0.25">
      <c r="A7448" t="str">
        <f>T("   GB")</f>
        <v xml:space="preserve">   GB</v>
      </c>
      <c r="B7448" t="str">
        <f>T("   Royaume-Uni")</f>
        <v xml:space="preserve">   Royaume-Uni</v>
      </c>
      <c r="C7448">
        <v>19566262</v>
      </c>
      <c r="D7448">
        <v>9561</v>
      </c>
    </row>
    <row r="7449" spans="1:4" x14ac:dyDescent="0.25">
      <c r="A7449" t="str">
        <f>T("   IT")</f>
        <v xml:space="preserve">   IT</v>
      </c>
      <c r="B7449" t="str">
        <f>T("   Italie")</f>
        <v xml:space="preserve">   Italie</v>
      </c>
      <c r="C7449">
        <v>6137637</v>
      </c>
      <c r="D7449">
        <v>14154</v>
      </c>
    </row>
    <row r="7450" spans="1:4" x14ac:dyDescent="0.25">
      <c r="A7450" t="str">
        <f>T("   KI")</f>
        <v xml:space="preserve">   KI</v>
      </c>
      <c r="B7450" t="str">
        <f>T("   Kiribati")</f>
        <v xml:space="preserve">   Kiribati</v>
      </c>
      <c r="C7450">
        <v>600000</v>
      </c>
      <c r="D7450">
        <v>122</v>
      </c>
    </row>
    <row r="7451" spans="1:4" x14ac:dyDescent="0.25">
      <c r="A7451" t="str">
        <f>T("   LB")</f>
        <v xml:space="preserve">   LB</v>
      </c>
      <c r="B7451" t="str">
        <f>T("   Liban")</f>
        <v xml:space="preserve">   Liban</v>
      </c>
      <c r="C7451">
        <v>7254231</v>
      </c>
      <c r="D7451">
        <v>334</v>
      </c>
    </row>
    <row r="7452" spans="1:4" x14ac:dyDescent="0.25">
      <c r="A7452" t="str">
        <f>T("   MG")</f>
        <v xml:space="preserve">   MG</v>
      </c>
      <c r="B7452" t="str">
        <f>T("   Madagascar")</f>
        <v xml:space="preserve">   Madagascar</v>
      </c>
      <c r="C7452">
        <v>349627</v>
      </c>
      <c r="D7452">
        <v>227</v>
      </c>
    </row>
    <row r="7453" spans="1:4" x14ac:dyDescent="0.25">
      <c r="A7453" t="str">
        <f>T("   MR")</f>
        <v xml:space="preserve">   MR</v>
      </c>
      <c r="B7453" t="str">
        <f>T("   Mauritanie")</f>
        <v xml:space="preserve">   Mauritanie</v>
      </c>
      <c r="C7453">
        <v>2019045</v>
      </c>
      <c r="D7453">
        <v>2031</v>
      </c>
    </row>
    <row r="7454" spans="1:4" x14ac:dyDescent="0.25">
      <c r="A7454" t="str">
        <f>T("   NG")</f>
        <v xml:space="preserve">   NG</v>
      </c>
      <c r="B7454" t="str">
        <f>T("   Nigéria")</f>
        <v xml:space="preserve">   Nigéria</v>
      </c>
      <c r="C7454">
        <v>1019730</v>
      </c>
      <c r="D7454">
        <v>175</v>
      </c>
    </row>
    <row r="7455" spans="1:4" x14ac:dyDescent="0.25">
      <c r="A7455" t="str">
        <f>T("   NL")</f>
        <v xml:space="preserve">   NL</v>
      </c>
      <c r="B7455" t="str">
        <f>T("   Pays-bas")</f>
        <v xml:space="preserve">   Pays-bas</v>
      </c>
      <c r="C7455">
        <v>1200000</v>
      </c>
      <c r="D7455">
        <v>561.5</v>
      </c>
    </row>
    <row r="7456" spans="1:4" x14ac:dyDescent="0.25">
      <c r="A7456" t="str">
        <f>T("   SA")</f>
        <v xml:space="preserve">   SA</v>
      </c>
      <c r="B7456" t="str">
        <f>T("   Arabie Saoudite")</f>
        <v xml:space="preserve">   Arabie Saoudite</v>
      </c>
      <c r="C7456">
        <v>55000</v>
      </c>
      <c r="D7456">
        <v>3850</v>
      </c>
    </row>
    <row r="7457" spans="1:4" x14ac:dyDescent="0.25">
      <c r="A7457" t="str">
        <f>T("   US")</f>
        <v xml:space="preserve">   US</v>
      </c>
      <c r="B7457" t="str">
        <f>T("   Etats-Unis")</f>
        <v xml:space="preserve">   Etats-Unis</v>
      </c>
      <c r="C7457">
        <v>8153176</v>
      </c>
      <c r="D7457">
        <v>18062.3</v>
      </c>
    </row>
    <row r="7458" spans="1:4" x14ac:dyDescent="0.25">
      <c r="A7458" t="str">
        <f>T("621050")</f>
        <v>621050</v>
      </c>
      <c r="B7458" t="str">
        <f>T("Vêtements de tissus, autres qu'en bonneterie, caoutchoutés ou imprégnés, enduits ou recouverts de matière plastique ou d'autres substances, pour femmes ou fillettes (autres que vêtements des types du n° 6202.11 à 6202.19 [manteaux, cabans, capes et articl")</f>
        <v>Vêtements de tissus, autres qu'en bonneterie, caoutchoutés ou imprégnés, enduits ou recouverts de matière plastique ou d'autres substances, pour femmes ou fillettes (autres que vêtements des types du n° 6202.11 à 6202.19 [manteaux, cabans, capes et articl</v>
      </c>
    </row>
    <row r="7459" spans="1:4" x14ac:dyDescent="0.25">
      <c r="A7459" t="str">
        <f>T("   ZZZ_Monde")</f>
        <v xml:space="preserve">   ZZZ_Monde</v>
      </c>
      <c r="B7459" t="str">
        <f>T("   ZZZ_Monde")</f>
        <v xml:space="preserve">   ZZZ_Monde</v>
      </c>
      <c r="C7459">
        <v>21330076</v>
      </c>
      <c r="D7459">
        <v>19454</v>
      </c>
    </row>
    <row r="7460" spans="1:4" x14ac:dyDescent="0.25">
      <c r="A7460" t="str">
        <f>T("   CN")</f>
        <v xml:space="preserve">   CN</v>
      </c>
      <c r="B7460" t="str">
        <f>T("   Chine")</f>
        <v xml:space="preserve">   Chine</v>
      </c>
      <c r="C7460">
        <v>6655195</v>
      </c>
      <c r="D7460">
        <v>12022</v>
      </c>
    </row>
    <row r="7461" spans="1:4" x14ac:dyDescent="0.25">
      <c r="A7461" t="str">
        <f>T("   FR")</f>
        <v xml:space="preserve">   FR</v>
      </c>
      <c r="B7461" t="str">
        <f>T("   France")</f>
        <v xml:space="preserve">   France</v>
      </c>
      <c r="C7461">
        <v>13667808</v>
      </c>
      <c r="D7461">
        <v>6080</v>
      </c>
    </row>
    <row r="7462" spans="1:4" x14ac:dyDescent="0.25">
      <c r="A7462" t="str">
        <f>T("   SN")</f>
        <v xml:space="preserve">   SN</v>
      </c>
      <c r="B7462" t="str">
        <f>T("   Sénégal")</f>
        <v xml:space="preserve">   Sénégal</v>
      </c>
      <c r="C7462">
        <v>250000</v>
      </c>
      <c r="D7462">
        <v>174</v>
      </c>
    </row>
    <row r="7463" spans="1:4" x14ac:dyDescent="0.25">
      <c r="A7463" t="str">
        <f>T("   TG")</f>
        <v xml:space="preserve">   TG</v>
      </c>
      <c r="B7463" t="str">
        <f>T("   Togo")</f>
        <v xml:space="preserve">   Togo</v>
      </c>
      <c r="C7463">
        <v>557073</v>
      </c>
      <c r="D7463">
        <v>1012</v>
      </c>
    </row>
    <row r="7464" spans="1:4" x14ac:dyDescent="0.25">
      <c r="A7464" t="str">
        <f>T("   ZA")</f>
        <v xml:space="preserve">   ZA</v>
      </c>
      <c r="B7464" t="str">
        <f>T("   Afrique du Sud")</f>
        <v xml:space="preserve">   Afrique du Sud</v>
      </c>
      <c r="C7464">
        <v>200000</v>
      </c>
      <c r="D7464">
        <v>166</v>
      </c>
    </row>
    <row r="7465" spans="1:4" x14ac:dyDescent="0.25">
      <c r="A7465" t="str">
        <f>T("621112")</f>
        <v>621112</v>
      </c>
      <c r="B7465" t="str">
        <f>T("Maillots, culottes et slips de bain, pour femmes ou fillettes (autres qu'en bonneterie)")</f>
        <v>Maillots, culottes et slips de bain, pour femmes ou fillettes (autres qu'en bonneterie)</v>
      </c>
    </row>
    <row r="7466" spans="1:4" x14ac:dyDescent="0.25">
      <c r="A7466" t="str">
        <f>T("   ZZZ_Monde")</f>
        <v xml:space="preserve">   ZZZ_Monde</v>
      </c>
      <c r="B7466" t="str">
        <f>T("   ZZZ_Monde")</f>
        <v xml:space="preserve">   ZZZ_Monde</v>
      </c>
      <c r="C7466">
        <v>14032952</v>
      </c>
      <c r="D7466">
        <v>2396</v>
      </c>
    </row>
    <row r="7467" spans="1:4" x14ac:dyDescent="0.25">
      <c r="A7467" t="str">
        <f>T("   FR")</f>
        <v xml:space="preserve">   FR</v>
      </c>
      <c r="B7467" t="str">
        <f>T("   France")</f>
        <v xml:space="preserve">   France</v>
      </c>
      <c r="C7467">
        <v>14032952</v>
      </c>
      <c r="D7467">
        <v>2396</v>
      </c>
    </row>
    <row r="7468" spans="1:4" x14ac:dyDescent="0.25">
      <c r="A7468" t="str">
        <f>T("621131")</f>
        <v>621131</v>
      </c>
      <c r="B7468" t="str">
        <f>T("Survêtements de sport 'trainings' et autres vêtements n.d.a., de laine ou poils fins, pour hommes ou garçonnets (autres qu'en bonneterie)")</f>
        <v>Survêtements de sport 'trainings' et autres vêtements n.d.a., de laine ou poils fins, pour hommes ou garçonnets (autres qu'en bonneterie)</v>
      </c>
    </row>
    <row r="7469" spans="1:4" x14ac:dyDescent="0.25">
      <c r="A7469" t="str">
        <f>T("   ZZZ_Monde")</f>
        <v xml:space="preserve">   ZZZ_Monde</v>
      </c>
      <c r="B7469" t="str">
        <f>T("   ZZZ_Monde")</f>
        <v xml:space="preserve">   ZZZ_Monde</v>
      </c>
      <c r="C7469">
        <v>1500000</v>
      </c>
      <c r="D7469">
        <v>1061</v>
      </c>
    </row>
    <row r="7470" spans="1:4" x14ac:dyDescent="0.25">
      <c r="A7470" t="str">
        <f>T("   GB")</f>
        <v xml:space="preserve">   GB</v>
      </c>
      <c r="B7470" t="str">
        <f>T("   Royaume-Uni")</f>
        <v xml:space="preserve">   Royaume-Uni</v>
      </c>
      <c r="C7470">
        <v>1500000</v>
      </c>
      <c r="D7470">
        <v>1061</v>
      </c>
    </row>
    <row r="7471" spans="1:4" x14ac:dyDescent="0.25">
      <c r="A7471" t="str">
        <f>T("621132")</f>
        <v>621132</v>
      </c>
      <c r="B7471" t="str">
        <f>T("Survêtements de sport 'trainings' et autres vêtements n.d.a., de coton, pour hommes ou garçonnets (autres qu'en bonneterie)")</f>
        <v>Survêtements de sport 'trainings' et autres vêtements n.d.a., de coton, pour hommes ou garçonnets (autres qu'en bonneterie)</v>
      </c>
    </row>
    <row r="7472" spans="1:4" x14ac:dyDescent="0.25">
      <c r="A7472" t="str">
        <f>T("   ZZZ_Monde")</f>
        <v xml:space="preserve">   ZZZ_Monde</v>
      </c>
      <c r="B7472" t="str">
        <f>T("   ZZZ_Monde")</f>
        <v xml:space="preserve">   ZZZ_Monde</v>
      </c>
      <c r="C7472">
        <v>3861791</v>
      </c>
      <c r="D7472">
        <v>2387</v>
      </c>
    </row>
    <row r="7473" spans="1:4" x14ac:dyDescent="0.25">
      <c r="A7473" t="str">
        <f>T("   CN")</f>
        <v xml:space="preserve">   CN</v>
      </c>
      <c r="B7473" t="str">
        <f>T("   Chine")</f>
        <v xml:space="preserve">   Chine</v>
      </c>
      <c r="C7473">
        <v>3811791</v>
      </c>
      <c r="D7473">
        <v>2087</v>
      </c>
    </row>
    <row r="7474" spans="1:4" x14ac:dyDescent="0.25">
      <c r="A7474" t="str">
        <f>T("   NL")</f>
        <v xml:space="preserve">   NL</v>
      </c>
      <c r="B7474" t="str">
        <f>T("   Pays-bas")</f>
        <v xml:space="preserve">   Pays-bas</v>
      </c>
      <c r="C7474">
        <v>50000</v>
      </c>
      <c r="D7474">
        <v>300</v>
      </c>
    </row>
    <row r="7475" spans="1:4" x14ac:dyDescent="0.25">
      <c r="A7475" t="str">
        <f>T("621133")</f>
        <v>621133</v>
      </c>
      <c r="B7475" t="str">
        <f>T("Survêtements de sport 'trainings' et autres vêtements n.d.a., de fibres synthétiques ou artificielles, pour hommes ou garçonnets (autres qu'en bonneterie)")</f>
        <v>Survêtements de sport 'trainings' et autres vêtements n.d.a., de fibres synthétiques ou artificielles, pour hommes ou garçonnets (autres qu'en bonneterie)</v>
      </c>
    </row>
    <row r="7476" spans="1:4" x14ac:dyDescent="0.25">
      <c r="A7476" t="str">
        <f>T("   ZZZ_Monde")</f>
        <v xml:space="preserve">   ZZZ_Monde</v>
      </c>
      <c r="B7476" t="str">
        <f>T("   ZZZ_Monde")</f>
        <v xml:space="preserve">   ZZZ_Monde</v>
      </c>
      <c r="C7476">
        <v>5659102</v>
      </c>
      <c r="D7476">
        <v>724</v>
      </c>
    </row>
    <row r="7477" spans="1:4" x14ac:dyDescent="0.25">
      <c r="A7477" t="str">
        <f>T("   AE")</f>
        <v xml:space="preserve">   AE</v>
      </c>
      <c r="B7477" t="str">
        <f>T("   Emirats Arabes Unis")</f>
        <v xml:space="preserve">   Emirats Arabes Unis</v>
      </c>
      <c r="C7477">
        <v>1637785</v>
      </c>
      <c r="D7477">
        <v>311</v>
      </c>
    </row>
    <row r="7478" spans="1:4" x14ac:dyDescent="0.25">
      <c r="A7478" t="str">
        <f>T("   FR")</f>
        <v xml:space="preserve">   FR</v>
      </c>
      <c r="B7478" t="str">
        <f>T("   France")</f>
        <v xml:space="preserve">   France</v>
      </c>
      <c r="C7478">
        <v>4021317</v>
      </c>
      <c r="D7478">
        <v>413</v>
      </c>
    </row>
    <row r="7479" spans="1:4" x14ac:dyDescent="0.25">
      <c r="A7479" t="str">
        <f>T("621139")</f>
        <v>621139</v>
      </c>
      <c r="B7479" t="str">
        <f>T("Survêtements de sport 'trainings' et autres vêtements n.d.a., de matières textiles, pour hommes ou garçonnets (autres que de laine, poils fins, coton, fibres synthétiques ou artificielles, autres qu'en bonneterie)")</f>
        <v>Survêtements de sport 'trainings' et autres vêtements n.d.a., de matières textiles, pour hommes ou garçonnets (autres que de laine, poils fins, coton, fibres synthétiques ou artificielles, autres qu'en bonneterie)</v>
      </c>
    </row>
    <row r="7480" spans="1:4" x14ac:dyDescent="0.25">
      <c r="A7480" t="str">
        <f>T("   ZZZ_Monde")</f>
        <v xml:space="preserve">   ZZZ_Monde</v>
      </c>
      <c r="B7480" t="str">
        <f>T("   ZZZ_Monde")</f>
        <v xml:space="preserve">   ZZZ_Monde</v>
      </c>
      <c r="C7480">
        <v>12503187</v>
      </c>
      <c r="D7480">
        <v>19813</v>
      </c>
    </row>
    <row r="7481" spans="1:4" x14ac:dyDescent="0.25">
      <c r="A7481" t="str">
        <f>T("   BE")</f>
        <v xml:space="preserve">   BE</v>
      </c>
      <c r="B7481" t="str">
        <f>T("   Belgique")</f>
        <v xml:space="preserve">   Belgique</v>
      </c>
      <c r="C7481">
        <v>53133</v>
      </c>
      <c r="D7481">
        <v>8</v>
      </c>
    </row>
    <row r="7482" spans="1:4" x14ac:dyDescent="0.25">
      <c r="A7482" t="str">
        <f>T("   CN")</f>
        <v xml:space="preserve">   CN</v>
      </c>
      <c r="B7482" t="str">
        <f>T("   Chine")</f>
        <v xml:space="preserve">   Chine</v>
      </c>
      <c r="C7482">
        <v>6095156</v>
      </c>
      <c r="D7482">
        <v>10189</v>
      </c>
    </row>
    <row r="7483" spans="1:4" x14ac:dyDescent="0.25">
      <c r="A7483" t="str">
        <f>T("   FR")</f>
        <v xml:space="preserve">   FR</v>
      </c>
      <c r="B7483" t="str">
        <f>T("   France")</f>
        <v xml:space="preserve">   France</v>
      </c>
      <c r="C7483">
        <v>369305</v>
      </c>
      <c r="D7483">
        <v>2500</v>
      </c>
    </row>
    <row r="7484" spans="1:4" x14ac:dyDescent="0.25">
      <c r="A7484" t="str">
        <f>T("   GB")</f>
        <v xml:space="preserve">   GB</v>
      </c>
      <c r="B7484" t="str">
        <f>T("   Royaume-Uni")</f>
        <v xml:space="preserve">   Royaume-Uni</v>
      </c>
      <c r="C7484">
        <v>394846</v>
      </c>
      <c r="D7484">
        <v>11</v>
      </c>
    </row>
    <row r="7485" spans="1:4" x14ac:dyDescent="0.25">
      <c r="A7485" t="str">
        <f>T("   IT")</f>
        <v xml:space="preserve">   IT</v>
      </c>
      <c r="B7485" t="str">
        <f>T("   Italie")</f>
        <v xml:space="preserve">   Italie</v>
      </c>
      <c r="C7485">
        <v>5590747</v>
      </c>
      <c r="D7485">
        <v>7105</v>
      </c>
    </row>
    <row r="7486" spans="1:4" x14ac:dyDescent="0.25">
      <c r="A7486" t="str">
        <f>T("621142")</f>
        <v>621142</v>
      </c>
      <c r="B7486" t="str">
        <f>T("Survêtements de sport 'trainings' et autres vêtements n.d.a., de coton, pour femmes ou fillettes (autres qu'en bonneterie)")</f>
        <v>Survêtements de sport 'trainings' et autres vêtements n.d.a., de coton, pour femmes ou fillettes (autres qu'en bonneterie)</v>
      </c>
    </row>
    <row r="7487" spans="1:4" x14ac:dyDescent="0.25">
      <c r="A7487" t="str">
        <f>T("   ZZZ_Monde")</f>
        <v xml:space="preserve">   ZZZ_Monde</v>
      </c>
      <c r="B7487" t="str">
        <f>T("   ZZZ_Monde")</f>
        <v xml:space="preserve">   ZZZ_Monde</v>
      </c>
      <c r="C7487">
        <v>11914814</v>
      </c>
      <c r="D7487">
        <v>2768</v>
      </c>
    </row>
    <row r="7488" spans="1:4" x14ac:dyDescent="0.25">
      <c r="A7488" t="str">
        <f>T("   FR")</f>
        <v xml:space="preserve">   FR</v>
      </c>
      <c r="B7488" t="str">
        <f>T("   France")</f>
        <v xml:space="preserve">   France</v>
      </c>
      <c r="C7488">
        <v>11808243</v>
      </c>
      <c r="D7488">
        <v>2761</v>
      </c>
    </row>
    <row r="7489" spans="1:4" x14ac:dyDescent="0.25">
      <c r="A7489" t="str">
        <f>T("   US")</f>
        <v xml:space="preserve">   US</v>
      </c>
      <c r="B7489" t="str">
        <f>T("   Etats-Unis")</f>
        <v xml:space="preserve">   Etats-Unis</v>
      </c>
      <c r="C7489">
        <v>106571</v>
      </c>
      <c r="D7489">
        <v>7</v>
      </c>
    </row>
    <row r="7490" spans="1:4" x14ac:dyDescent="0.25">
      <c r="A7490" t="str">
        <f>T("621143")</f>
        <v>621143</v>
      </c>
      <c r="B7490" t="str">
        <f>T("Survêtements de sport 'trainings' et autres vêtements n.d.a., de fibres synthétiques ou artificielles, pour femmes ou fillettes (autres qu'en bonneterie)")</f>
        <v>Survêtements de sport 'trainings' et autres vêtements n.d.a., de fibres synthétiques ou artificielles, pour femmes ou fillettes (autres qu'en bonneterie)</v>
      </c>
    </row>
    <row r="7491" spans="1:4" x14ac:dyDescent="0.25">
      <c r="A7491" t="str">
        <f>T("   ZZZ_Monde")</f>
        <v xml:space="preserve">   ZZZ_Monde</v>
      </c>
      <c r="B7491" t="str">
        <f>T("   ZZZ_Monde")</f>
        <v xml:space="preserve">   ZZZ_Monde</v>
      </c>
      <c r="C7491">
        <v>19945864</v>
      </c>
      <c r="D7491">
        <v>51363</v>
      </c>
    </row>
    <row r="7492" spans="1:4" x14ac:dyDescent="0.25">
      <c r="A7492" t="str">
        <f>T("   CN")</f>
        <v xml:space="preserve">   CN</v>
      </c>
      <c r="B7492" t="str">
        <f>T("   Chine")</f>
        <v xml:space="preserve">   Chine</v>
      </c>
      <c r="C7492">
        <v>19945864</v>
      </c>
      <c r="D7492">
        <v>51363</v>
      </c>
    </row>
    <row r="7493" spans="1:4" x14ac:dyDescent="0.25">
      <c r="A7493" t="str">
        <f>T("621149")</f>
        <v>621149</v>
      </c>
      <c r="B7493" t="str">
        <f>T("Survêtements de sport 'trainings' et autres vêtements n.d.a., de matières textiles, pour femmes ou fillettes (autres que de laine, poils fins, coton, fibres synthétiques ou artificielles, autres qu'en bonneterie)")</f>
        <v>Survêtements de sport 'trainings' et autres vêtements n.d.a., de matières textiles, pour femmes ou fillettes (autres que de laine, poils fins, coton, fibres synthétiques ou artificielles, autres qu'en bonneterie)</v>
      </c>
    </row>
    <row r="7494" spans="1:4" x14ac:dyDescent="0.25">
      <c r="A7494" t="str">
        <f>T("   ZZZ_Monde")</f>
        <v xml:space="preserve">   ZZZ_Monde</v>
      </c>
      <c r="B7494" t="str">
        <f>T("   ZZZ_Monde")</f>
        <v xml:space="preserve">   ZZZ_Monde</v>
      </c>
      <c r="C7494">
        <v>1198375</v>
      </c>
      <c r="D7494">
        <v>3000</v>
      </c>
    </row>
    <row r="7495" spans="1:4" x14ac:dyDescent="0.25">
      <c r="A7495" t="str">
        <f>T("   CN")</f>
        <v xml:space="preserve">   CN</v>
      </c>
      <c r="B7495" t="str">
        <f>T("   Chine")</f>
        <v xml:space="preserve">   Chine</v>
      </c>
      <c r="C7495">
        <v>1198375</v>
      </c>
      <c r="D7495">
        <v>3000</v>
      </c>
    </row>
    <row r="7496" spans="1:4" x14ac:dyDescent="0.25">
      <c r="A7496" t="str">
        <f>T("621210")</f>
        <v>621210</v>
      </c>
      <c r="B7496" t="str">
        <f>T("Soutiens-gorge et bustiers en tous types de matières textiles, même élastiques et même en bonneterie")</f>
        <v>Soutiens-gorge et bustiers en tous types de matières textiles, même élastiques et même en bonneterie</v>
      </c>
    </row>
    <row r="7497" spans="1:4" x14ac:dyDescent="0.25">
      <c r="A7497" t="str">
        <f>T("   ZZZ_Monde")</f>
        <v xml:space="preserve">   ZZZ_Monde</v>
      </c>
      <c r="B7497" t="str">
        <f>T("   ZZZ_Monde")</f>
        <v xml:space="preserve">   ZZZ_Monde</v>
      </c>
      <c r="C7497">
        <v>439392</v>
      </c>
      <c r="D7497">
        <v>1922</v>
      </c>
    </row>
    <row r="7498" spans="1:4" x14ac:dyDescent="0.25">
      <c r="A7498" t="str">
        <f>T("   CN")</f>
        <v xml:space="preserve">   CN</v>
      </c>
      <c r="B7498" t="str">
        <f>T("   Chine")</f>
        <v xml:space="preserve">   Chine</v>
      </c>
      <c r="C7498">
        <v>111703</v>
      </c>
      <c r="D7498">
        <v>1742</v>
      </c>
    </row>
    <row r="7499" spans="1:4" x14ac:dyDescent="0.25">
      <c r="A7499" t="str">
        <f>T("   TG")</f>
        <v xml:space="preserve">   TG</v>
      </c>
      <c r="B7499" t="str">
        <f>T("   Togo")</f>
        <v xml:space="preserve">   Togo</v>
      </c>
      <c r="C7499">
        <v>327689</v>
      </c>
      <c r="D7499">
        <v>180</v>
      </c>
    </row>
    <row r="7500" spans="1:4" x14ac:dyDescent="0.25">
      <c r="A7500" t="str">
        <f>T("621220")</f>
        <v>621220</v>
      </c>
      <c r="B7500" t="str">
        <f>T("Gaines et gaines-culottes en tous types de matières textiles, même élastiques et même en bonneterie (sauf gaines et gaine-culottes entièrement en caoutchouc)")</f>
        <v>Gaines et gaines-culottes en tous types de matières textiles, même élastiques et même en bonneterie (sauf gaines et gaine-culottes entièrement en caoutchouc)</v>
      </c>
    </row>
    <row r="7501" spans="1:4" x14ac:dyDescent="0.25">
      <c r="A7501" t="str">
        <f>T("   ZZZ_Monde")</f>
        <v xml:space="preserve">   ZZZ_Monde</v>
      </c>
      <c r="B7501" t="str">
        <f>T("   ZZZ_Monde")</f>
        <v xml:space="preserve">   ZZZ_Monde</v>
      </c>
      <c r="C7501">
        <v>295742</v>
      </c>
      <c r="D7501">
        <v>890</v>
      </c>
    </row>
    <row r="7502" spans="1:4" x14ac:dyDescent="0.25">
      <c r="A7502" t="str">
        <f>T("   TG")</f>
        <v xml:space="preserve">   TG</v>
      </c>
      <c r="B7502" t="str">
        <f>T("   Togo")</f>
        <v xml:space="preserve">   Togo</v>
      </c>
      <c r="C7502">
        <v>295742</v>
      </c>
      <c r="D7502">
        <v>890</v>
      </c>
    </row>
    <row r="7503" spans="1:4" x14ac:dyDescent="0.25">
      <c r="A7503" t="str">
        <f>T("621290")</f>
        <v>621290</v>
      </c>
      <c r="B7503" t="str">
        <f>T("Corsets, bretelles, jarretelles, jarretières et simil. et leurs parties, y.c. parties de soutiens-gorge, gaines, gaines-culottes et combinés, en tous types de matières textiles, même élastiques et même en bonneterie (sauf soutiens-gorge, gaines, gaines-cu")</f>
        <v>Corsets, bretelles, jarretelles, jarretières et simil. et leurs parties, y.c. parties de soutiens-gorge, gaines, gaines-culottes et combinés, en tous types de matières textiles, même élastiques et même en bonneterie (sauf soutiens-gorge, gaines, gaines-cu</v>
      </c>
    </row>
    <row r="7504" spans="1:4" x14ac:dyDescent="0.25">
      <c r="A7504" t="str">
        <f>T("   ZZZ_Monde")</f>
        <v xml:space="preserve">   ZZZ_Monde</v>
      </c>
      <c r="B7504" t="str">
        <f>T("   ZZZ_Monde")</f>
        <v xml:space="preserve">   ZZZ_Monde</v>
      </c>
      <c r="C7504">
        <v>88454</v>
      </c>
      <c r="D7504">
        <v>350</v>
      </c>
    </row>
    <row r="7505" spans="1:4" x14ac:dyDescent="0.25">
      <c r="A7505" t="str">
        <f>T("   CN")</f>
        <v xml:space="preserve">   CN</v>
      </c>
      <c r="B7505" t="str">
        <f>T("   Chine")</f>
        <v xml:space="preserve">   Chine</v>
      </c>
      <c r="C7505">
        <v>88454</v>
      </c>
      <c r="D7505">
        <v>350</v>
      </c>
    </row>
    <row r="7506" spans="1:4" x14ac:dyDescent="0.25">
      <c r="A7506" t="str">
        <f>T("621390")</f>
        <v>621390</v>
      </c>
      <c r="B7506" t="str">
        <f>T("Mouchoirs et pochettes dont un côté &lt;= 60 cm, de matières textiles (autres que de soie et déchets de soie ou coton, autres qu'en bonneterie)")</f>
        <v>Mouchoirs et pochettes dont un côté &lt;= 60 cm, de matières textiles (autres que de soie et déchets de soie ou coton, autres qu'en bonneterie)</v>
      </c>
    </row>
    <row r="7507" spans="1:4" x14ac:dyDescent="0.25">
      <c r="A7507" t="str">
        <f>T("   ZZZ_Monde")</f>
        <v xml:space="preserve">   ZZZ_Monde</v>
      </c>
      <c r="B7507" t="str">
        <f>T("   ZZZ_Monde")</f>
        <v xml:space="preserve">   ZZZ_Monde</v>
      </c>
      <c r="C7507">
        <v>737896</v>
      </c>
      <c r="D7507">
        <v>797</v>
      </c>
    </row>
    <row r="7508" spans="1:4" x14ac:dyDescent="0.25">
      <c r="A7508" t="str">
        <f>T("   ES")</f>
        <v xml:space="preserve">   ES</v>
      </c>
      <c r="B7508" t="str">
        <f>T("   Espagne")</f>
        <v xml:space="preserve">   Espagne</v>
      </c>
      <c r="C7508">
        <v>13119</v>
      </c>
      <c r="D7508">
        <v>29</v>
      </c>
    </row>
    <row r="7509" spans="1:4" x14ac:dyDescent="0.25">
      <c r="A7509" t="str">
        <f>T("   LB")</f>
        <v xml:space="preserve">   LB</v>
      </c>
      <c r="B7509" t="str">
        <f>T("   Liban")</f>
        <v xml:space="preserve">   Liban</v>
      </c>
      <c r="C7509">
        <v>724777</v>
      </c>
      <c r="D7509">
        <v>768</v>
      </c>
    </row>
    <row r="7510" spans="1:4" x14ac:dyDescent="0.25">
      <c r="A7510" t="str">
        <f>T("621410")</f>
        <v>621410</v>
      </c>
      <c r="B7510" t="str">
        <f>T("Châles, écharpes, foulards, cache-nez, cache-col, mantilles, voiles et voilettes et articles simil., de soie ou de déchets de soie (autres qu'en bonneterie)")</f>
        <v>Châles, écharpes, foulards, cache-nez, cache-col, mantilles, voiles et voilettes et articles simil., de soie ou de déchets de soie (autres qu'en bonneterie)</v>
      </c>
    </row>
    <row r="7511" spans="1:4" x14ac:dyDescent="0.25">
      <c r="A7511" t="str">
        <f>T("   ZZZ_Monde")</f>
        <v xml:space="preserve">   ZZZ_Monde</v>
      </c>
      <c r="B7511" t="str">
        <f>T("   ZZZ_Monde")</f>
        <v xml:space="preserve">   ZZZ_Monde</v>
      </c>
      <c r="C7511">
        <v>1236157</v>
      </c>
      <c r="D7511">
        <v>14</v>
      </c>
    </row>
    <row r="7512" spans="1:4" x14ac:dyDescent="0.25">
      <c r="A7512" t="str">
        <f>T("   NL")</f>
        <v xml:space="preserve">   NL</v>
      </c>
      <c r="B7512" t="str">
        <f>T("   Pays-bas")</f>
        <v xml:space="preserve">   Pays-bas</v>
      </c>
      <c r="C7512">
        <v>1225234</v>
      </c>
      <c r="D7512">
        <v>3</v>
      </c>
    </row>
    <row r="7513" spans="1:4" x14ac:dyDescent="0.25">
      <c r="A7513" t="str">
        <f>T("   TG")</f>
        <v xml:space="preserve">   TG</v>
      </c>
      <c r="B7513" t="str">
        <f>T("   Togo")</f>
        <v xml:space="preserve">   Togo</v>
      </c>
      <c r="C7513">
        <v>10923</v>
      </c>
      <c r="D7513">
        <v>11</v>
      </c>
    </row>
    <row r="7514" spans="1:4" x14ac:dyDescent="0.25">
      <c r="A7514" t="str">
        <f>T("621430")</f>
        <v>621430</v>
      </c>
      <c r="B7514" t="str">
        <f>T("Châles, écharpes, foulards, cache-nez, cache-col, mantilles, voiles et voilettes et articles simil., de fibres synthétiques (autres qu'en bonneterie)")</f>
        <v>Châles, écharpes, foulards, cache-nez, cache-col, mantilles, voiles et voilettes et articles simil., de fibres synthétiques (autres qu'en bonneterie)</v>
      </c>
    </row>
    <row r="7515" spans="1:4" x14ac:dyDescent="0.25">
      <c r="A7515" t="str">
        <f>T("   ZZZ_Monde")</f>
        <v xml:space="preserve">   ZZZ_Monde</v>
      </c>
      <c r="B7515" t="str">
        <f>T("   ZZZ_Monde")</f>
        <v xml:space="preserve">   ZZZ_Monde</v>
      </c>
      <c r="C7515">
        <v>362872</v>
      </c>
      <c r="D7515">
        <v>15</v>
      </c>
    </row>
    <row r="7516" spans="1:4" x14ac:dyDescent="0.25">
      <c r="A7516" t="str">
        <f>T("   NG")</f>
        <v xml:space="preserve">   NG</v>
      </c>
      <c r="B7516" t="str">
        <f>T("   Nigéria")</f>
        <v xml:space="preserve">   Nigéria</v>
      </c>
      <c r="C7516">
        <v>149000</v>
      </c>
      <c r="D7516">
        <v>14</v>
      </c>
    </row>
    <row r="7517" spans="1:4" x14ac:dyDescent="0.25">
      <c r="A7517" t="str">
        <f>T("   NL")</f>
        <v xml:space="preserve">   NL</v>
      </c>
      <c r="B7517" t="str">
        <f>T("   Pays-bas")</f>
        <v xml:space="preserve">   Pays-bas</v>
      </c>
      <c r="C7517">
        <v>213872</v>
      </c>
      <c r="D7517">
        <v>1</v>
      </c>
    </row>
    <row r="7518" spans="1:4" x14ac:dyDescent="0.25">
      <c r="A7518" t="str">
        <f>T("621490")</f>
        <v>621490</v>
      </c>
      <c r="B7518" t="str">
        <f>T("Châles, écharpes, foulards, cache-nez, cache-col, mantilles, voiles et voilettes et articles simil., de matières textiles (autres que de laine, poils fins, fibres synthétiques ou artificielles, soie et déchets de soie et autres qu'en bonneterie)")</f>
        <v>Châles, écharpes, foulards, cache-nez, cache-col, mantilles, voiles et voilettes et articles simil., de matières textiles (autres que de laine, poils fins, fibres synthétiques ou artificielles, soie et déchets de soie et autres qu'en bonneterie)</v>
      </c>
    </row>
    <row r="7519" spans="1:4" x14ac:dyDescent="0.25">
      <c r="A7519" t="str">
        <f>T("   ZZZ_Monde")</f>
        <v xml:space="preserve">   ZZZ_Monde</v>
      </c>
      <c r="B7519" t="str">
        <f>T("   ZZZ_Monde")</f>
        <v xml:space="preserve">   ZZZ_Monde</v>
      </c>
      <c r="C7519">
        <v>13206084</v>
      </c>
      <c r="D7519">
        <v>49343</v>
      </c>
    </row>
    <row r="7520" spans="1:4" x14ac:dyDescent="0.25">
      <c r="A7520" t="str">
        <f>T("   CH")</f>
        <v xml:space="preserve">   CH</v>
      </c>
      <c r="B7520" t="str">
        <f>T("   Suisse")</f>
        <v xml:space="preserve">   Suisse</v>
      </c>
      <c r="C7520">
        <v>118187</v>
      </c>
      <c r="D7520">
        <v>45</v>
      </c>
    </row>
    <row r="7521" spans="1:4" x14ac:dyDescent="0.25">
      <c r="A7521" t="str">
        <f>T("   CN")</f>
        <v xml:space="preserve">   CN</v>
      </c>
      <c r="B7521" t="str">
        <f>T("   Chine")</f>
        <v xml:space="preserve">   Chine</v>
      </c>
      <c r="C7521">
        <v>5745809</v>
      </c>
      <c r="D7521">
        <v>21557</v>
      </c>
    </row>
    <row r="7522" spans="1:4" x14ac:dyDescent="0.25">
      <c r="A7522" t="str">
        <f>T("   FR")</f>
        <v xml:space="preserve">   FR</v>
      </c>
      <c r="B7522" t="str">
        <f>T("   France")</f>
        <v xml:space="preserve">   France</v>
      </c>
      <c r="C7522">
        <v>1234488</v>
      </c>
      <c r="D7522">
        <v>1621</v>
      </c>
    </row>
    <row r="7523" spans="1:4" x14ac:dyDescent="0.25">
      <c r="A7523" t="str">
        <f>T("   TG")</f>
        <v xml:space="preserve">   TG</v>
      </c>
      <c r="B7523" t="str">
        <f>T("   Togo")</f>
        <v xml:space="preserve">   Togo</v>
      </c>
      <c r="C7523">
        <v>6107600</v>
      </c>
      <c r="D7523">
        <v>26120</v>
      </c>
    </row>
    <row r="7524" spans="1:4" x14ac:dyDescent="0.25">
      <c r="A7524" t="str">
        <f>T("621510")</f>
        <v>621510</v>
      </c>
      <c r="B7524" t="str">
        <f>T("Cravates, noeuds papillons et foulards cravates, de soie ou de déchets de soie (autres qu'en bonneterie)")</f>
        <v>Cravates, noeuds papillons et foulards cravates, de soie ou de déchets de soie (autres qu'en bonneterie)</v>
      </c>
    </row>
    <row r="7525" spans="1:4" x14ac:dyDescent="0.25">
      <c r="A7525" t="str">
        <f>T("   ZZZ_Monde")</f>
        <v xml:space="preserve">   ZZZ_Monde</v>
      </c>
      <c r="B7525" t="str">
        <f>T("   ZZZ_Monde")</f>
        <v xml:space="preserve">   ZZZ_Monde</v>
      </c>
      <c r="C7525">
        <v>392920</v>
      </c>
      <c r="D7525">
        <v>125</v>
      </c>
    </row>
    <row r="7526" spans="1:4" x14ac:dyDescent="0.25">
      <c r="A7526" t="str">
        <f>T("   FR")</f>
        <v xml:space="preserve">   FR</v>
      </c>
      <c r="B7526" t="str">
        <f>T("   France")</f>
        <v xml:space="preserve">   France</v>
      </c>
      <c r="C7526">
        <v>392920</v>
      </c>
      <c r="D7526">
        <v>125</v>
      </c>
    </row>
    <row r="7527" spans="1:4" x14ac:dyDescent="0.25">
      <c r="A7527" t="str">
        <f>T("621590")</f>
        <v>621590</v>
      </c>
      <c r="B7527" t="str">
        <f>T("Cravates, noeuds papillons et foulards cravates, de matières textiles (autres que fibres synthétiques ou artificielles, soie et déchets de soie et autres qu'en bonneterie)")</f>
        <v>Cravates, noeuds papillons et foulards cravates, de matières textiles (autres que fibres synthétiques ou artificielles, soie et déchets de soie et autres qu'en bonneterie)</v>
      </c>
    </row>
    <row r="7528" spans="1:4" x14ac:dyDescent="0.25">
      <c r="A7528" t="str">
        <f>T("   ZZZ_Monde")</f>
        <v xml:space="preserve">   ZZZ_Monde</v>
      </c>
      <c r="B7528" t="str">
        <f>T("   ZZZ_Monde")</f>
        <v xml:space="preserve">   ZZZ_Monde</v>
      </c>
      <c r="C7528">
        <v>959237</v>
      </c>
      <c r="D7528">
        <v>1006</v>
      </c>
    </row>
    <row r="7529" spans="1:4" x14ac:dyDescent="0.25">
      <c r="A7529" t="str">
        <f>T("   CN")</f>
        <v xml:space="preserve">   CN</v>
      </c>
      <c r="B7529" t="str">
        <f>T("   Chine")</f>
        <v xml:space="preserve">   Chine</v>
      </c>
      <c r="C7529">
        <v>589237</v>
      </c>
      <c r="D7529">
        <v>820</v>
      </c>
    </row>
    <row r="7530" spans="1:4" x14ac:dyDescent="0.25">
      <c r="A7530" t="str">
        <f>T("   FR")</f>
        <v xml:space="preserve">   FR</v>
      </c>
      <c r="B7530" t="str">
        <f>T("   France")</f>
        <v xml:space="preserve">   France</v>
      </c>
      <c r="C7530">
        <v>270000</v>
      </c>
      <c r="D7530">
        <v>110</v>
      </c>
    </row>
    <row r="7531" spans="1:4" x14ac:dyDescent="0.25">
      <c r="A7531" t="str">
        <f>T("   MA")</f>
        <v xml:space="preserve">   MA</v>
      </c>
      <c r="B7531" t="str">
        <f>T("   Maroc")</f>
        <v xml:space="preserve">   Maroc</v>
      </c>
      <c r="C7531">
        <v>100000</v>
      </c>
      <c r="D7531">
        <v>76</v>
      </c>
    </row>
    <row r="7532" spans="1:4" x14ac:dyDescent="0.25">
      <c r="A7532" t="str">
        <f>T("621600")</f>
        <v>621600</v>
      </c>
      <c r="B7532" t="str">
        <f>T("Gants, mitaines et moufles, en tous types de matières textiles (autres qu'en bonneterie et sauf gants pour bébés)")</f>
        <v>Gants, mitaines et moufles, en tous types de matières textiles (autres qu'en bonneterie et sauf gants pour bébés)</v>
      </c>
    </row>
    <row r="7533" spans="1:4" x14ac:dyDescent="0.25">
      <c r="A7533" t="str">
        <f>T("   ZZZ_Monde")</f>
        <v xml:space="preserve">   ZZZ_Monde</v>
      </c>
      <c r="B7533" t="str">
        <f>T("   ZZZ_Monde")</f>
        <v xml:space="preserve">   ZZZ_Monde</v>
      </c>
      <c r="C7533">
        <v>42400400</v>
      </c>
      <c r="D7533">
        <v>181086</v>
      </c>
    </row>
    <row r="7534" spans="1:4" x14ac:dyDescent="0.25">
      <c r="A7534" t="str">
        <f>T("   CN")</f>
        <v xml:space="preserve">   CN</v>
      </c>
      <c r="B7534" t="str">
        <f>T("   Chine")</f>
        <v xml:space="preserve">   Chine</v>
      </c>
      <c r="C7534">
        <v>35860400</v>
      </c>
      <c r="D7534">
        <v>155498</v>
      </c>
    </row>
    <row r="7535" spans="1:4" x14ac:dyDescent="0.25">
      <c r="A7535" t="str">
        <f>T("   ES")</f>
        <v xml:space="preserve">   ES</v>
      </c>
      <c r="B7535" t="str">
        <f>T("   Espagne")</f>
        <v xml:space="preserve">   Espagne</v>
      </c>
      <c r="C7535">
        <v>3270000</v>
      </c>
      <c r="D7535">
        <v>20000</v>
      </c>
    </row>
    <row r="7536" spans="1:4" x14ac:dyDescent="0.25">
      <c r="A7536" t="str">
        <f>T("   FR")</f>
        <v xml:space="preserve">   FR</v>
      </c>
      <c r="B7536" t="str">
        <f>T("   France")</f>
        <v xml:space="preserve">   France</v>
      </c>
      <c r="C7536">
        <v>3270000</v>
      </c>
      <c r="D7536">
        <v>5588</v>
      </c>
    </row>
    <row r="7537" spans="1:4" x14ac:dyDescent="0.25">
      <c r="A7537" t="str">
        <f>T("621710")</f>
        <v>621710</v>
      </c>
      <c r="B7537" t="str">
        <f>T("Accessoires confectionnés du vêtement en tous types de matières textiles, n.d.a. (autres qu'en bonneterie)")</f>
        <v>Accessoires confectionnés du vêtement en tous types de matières textiles, n.d.a. (autres qu'en bonneterie)</v>
      </c>
    </row>
    <row r="7538" spans="1:4" x14ac:dyDescent="0.25">
      <c r="A7538" t="str">
        <f>T("   ZZZ_Monde")</f>
        <v xml:space="preserve">   ZZZ_Monde</v>
      </c>
      <c r="B7538" t="str">
        <f>T("   ZZZ_Monde")</f>
        <v xml:space="preserve">   ZZZ_Monde</v>
      </c>
      <c r="C7538">
        <v>15201882</v>
      </c>
      <c r="D7538">
        <v>65252</v>
      </c>
    </row>
    <row r="7539" spans="1:4" x14ac:dyDescent="0.25">
      <c r="A7539" t="str">
        <f>T("   CN")</f>
        <v xml:space="preserve">   CN</v>
      </c>
      <c r="B7539" t="str">
        <f>T("   Chine")</f>
        <v xml:space="preserve">   Chine</v>
      </c>
      <c r="C7539">
        <v>8080283</v>
      </c>
      <c r="D7539">
        <v>46137</v>
      </c>
    </row>
    <row r="7540" spans="1:4" x14ac:dyDescent="0.25">
      <c r="A7540" t="str">
        <f>T("   TG")</f>
        <v xml:space="preserve">   TG</v>
      </c>
      <c r="B7540" t="str">
        <f>T("   Togo")</f>
        <v xml:space="preserve">   Togo</v>
      </c>
      <c r="C7540">
        <v>7121599</v>
      </c>
      <c r="D7540">
        <v>19115</v>
      </c>
    </row>
    <row r="7541" spans="1:4" x14ac:dyDescent="0.25">
      <c r="A7541" t="str">
        <f>T("621790")</f>
        <v>621790</v>
      </c>
      <c r="B7541" t="str">
        <f>T("Parties de vêtements ou d'accessoires du vêtement, en tous types de matières textiles, n.d.a. (autres qu'en bonneterie)")</f>
        <v>Parties de vêtements ou d'accessoires du vêtement, en tous types de matières textiles, n.d.a. (autres qu'en bonneterie)</v>
      </c>
    </row>
    <row r="7542" spans="1:4" x14ac:dyDescent="0.25">
      <c r="A7542" t="str">
        <f>T("   ZZZ_Monde")</f>
        <v xml:space="preserve">   ZZZ_Monde</v>
      </c>
      <c r="B7542" t="str">
        <f>T("   ZZZ_Monde")</f>
        <v xml:space="preserve">   ZZZ_Monde</v>
      </c>
      <c r="C7542">
        <v>1224519</v>
      </c>
      <c r="D7542">
        <v>258</v>
      </c>
    </row>
    <row r="7543" spans="1:4" x14ac:dyDescent="0.25">
      <c r="A7543" t="str">
        <f>T("   CK")</f>
        <v xml:space="preserve">   CK</v>
      </c>
      <c r="B7543" t="str">
        <f>T("   Cook, îles")</f>
        <v xml:space="preserve">   Cook, îles</v>
      </c>
      <c r="C7543">
        <v>800000</v>
      </c>
      <c r="D7543">
        <v>173</v>
      </c>
    </row>
    <row r="7544" spans="1:4" x14ac:dyDescent="0.25">
      <c r="A7544" t="str">
        <f>T("   GB")</f>
        <v xml:space="preserve">   GB</v>
      </c>
      <c r="B7544" t="str">
        <f>T("   Royaume-Uni")</f>
        <v xml:space="preserve">   Royaume-Uni</v>
      </c>
      <c r="C7544">
        <v>84850</v>
      </c>
      <c r="D7544">
        <v>49</v>
      </c>
    </row>
    <row r="7545" spans="1:4" x14ac:dyDescent="0.25">
      <c r="A7545" t="str">
        <f>T("   GH")</f>
        <v xml:space="preserve">   GH</v>
      </c>
      <c r="B7545" t="str">
        <f>T("   Ghana")</f>
        <v xml:space="preserve">   Ghana</v>
      </c>
      <c r="C7545">
        <v>339669</v>
      </c>
      <c r="D7545">
        <v>36</v>
      </c>
    </row>
    <row r="7546" spans="1:4" x14ac:dyDescent="0.25">
      <c r="A7546" t="str">
        <f>T("630140")</f>
        <v>630140</v>
      </c>
      <c r="B7546" t="str">
        <f>T("Couvertures de fibres synthétiques (autres que chauffantes électriques et sauf linge de table, couvre-lits, linge de lit et les articles simil. du n° 9404 [sommiers et autres articles de literie])")</f>
        <v>Couvertures de fibres synthétiques (autres que chauffantes électriques et sauf linge de table, couvre-lits, linge de lit et les articles simil. du n° 9404 [sommiers et autres articles de literie])</v>
      </c>
    </row>
    <row r="7547" spans="1:4" x14ac:dyDescent="0.25">
      <c r="A7547" t="str">
        <f>T("   ZZZ_Monde")</f>
        <v xml:space="preserve">   ZZZ_Monde</v>
      </c>
      <c r="B7547" t="str">
        <f>T("   ZZZ_Monde")</f>
        <v xml:space="preserve">   ZZZ_Monde</v>
      </c>
      <c r="C7547">
        <v>83826</v>
      </c>
      <c r="D7547">
        <v>636</v>
      </c>
    </row>
    <row r="7548" spans="1:4" x14ac:dyDescent="0.25">
      <c r="A7548" t="str">
        <f>T("   GB")</f>
        <v xml:space="preserve">   GB</v>
      </c>
      <c r="B7548" t="str">
        <f>T("   Royaume-Uni")</f>
        <v xml:space="preserve">   Royaume-Uni</v>
      </c>
      <c r="C7548">
        <v>83826</v>
      </c>
      <c r="D7548">
        <v>636</v>
      </c>
    </row>
    <row r="7549" spans="1:4" x14ac:dyDescent="0.25">
      <c r="A7549" t="str">
        <f>T("630190")</f>
        <v>630190</v>
      </c>
      <c r="B7549" t="str">
        <f>T("Couvertures de matières textiles (autres que de laine ou poils fins, coton ou fibres synthétiques et que chauffantes électriques et sauf linge de table, couvre-lits, linge de lit et les articles simil. du n° 9404 [sommiers et autres articles de literie])")</f>
        <v>Couvertures de matières textiles (autres que de laine ou poils fins, coton ou fibres synthétiques et que chauffantes électriques et sauf linge de table, couvre-lits, linge de lit et les articles simil. du n° 9404 [sommiers et autres articles de literie])</v>
      </c>
    </row>
    <row r="7550" spans="1:4" x14ac:dyDescent="0.25">
      <c r="A7550" t="str">
        <f>T("   ZZZ_Monde")</f>
        <v xml:space="preserve">   ZZZ_Monde</v>
      </c>
      <c r="B7550" t="str">
        <f>T("   ZZZ_Monde")</f>
        <v xml:space="preserve">   ZZZ_Monde</v>
      </c>
      <c r="C7550">
        <v>8842399</v>
      </c>
      <c r="D7550">
        <v>14822</v>
      </c>
    </row>
    <row r="7551" spans="1:4" x14ac:dyDescent="0.25">
      <c r="A7551" t="str">
        <f>T("   CN")</f>
        <v xml:space="preserve">   CN</v>
      </c>
      <c r="B7551" t="str">
        <f>T("   Chine")</f>
        <v xml:space="preserve">   Chine</v>
      </c>
      <c r="C7551">
        <v>4751239</v>
      </c>
      <c r="D7551">
        <v>9759</v>
      </c>
    </row>
    <row r="7552" spans="1:4" x14ac:dyDescent="0.25">
      <c r="A7552" t="str">
        <f>T("   FR")</f>
        <v xml:space="preserve">   FR</v>
      </c>
      <c r="B7552" t="str">
        <f>T("   France")</f>
        <v xml:space="preserve">   France</v>
      </c>
      <c r="C7552">
        <v>1423912</v>
      </c>
      <c r="D7552">
        <v>1113</v>
      </c>
    </row>
    <row r="7553" spans="1:4" x14ac:dyDescent="0.25">
      <c r="A7553" t="str">
        <f>T("   ID")</f>
        <v xml:space="preserve">   ID</v>
      </c>
      <c r="B7553" t="str">
        <f>T("   Indonésie")</f>
        <v xml:space="preserve">   Indonésie</v>
      </c>
      <c r="C7553">
        <v>2000328</v>
      </c>
      <c r="D7553">
        <v>160</v>
      </c>
    </row>
    <row r="7554" spans="1:4" x14ac:dyDescent="0.25">
      <c r="A7554" t="str">
        <f>T("   TG")</f>
        <v xml:space="preserve">   TG</v>
      </c>
      <c r="B7554" t="str">
        <f>T("   Togo")</f>
        <v xml:space="preserve">   Togo</v>
      </c>
      <c r="C7554">
        <v>436920</v>
      </c>
      <c r="D7554">
        <v>190</v>
      </c>
    </row>
    <row r="7555" spans="1:4" x14ac:dyDescent="0.25">
      <c r="A7555" t="str">
        <f>T("   US")</f>
        <v xml:space="preserve">   US</v>
      </c>
      <c r="B7555" t="str">
        <f>T("   Etats-Unis")</f>
        <v xml:space="preserve">   Etats-Unis</v>
      </c>
      <c r="C7555">
        <v>230000</v>
      </c>
      <c r="D7555">
        <v>3600</v>
      </c>
    </row>
    <row r="7556" spans="1:4" x14ac:dyDescent="0.25">
      <c r="A7556" t="str">
        <f>T("630210")</f>
        <v>630210</v>
      </c>
      <c r="B7556" t="str">
        <f>T("LINGE DE LIT EN BONNETERIE")</f>
        <v>LINGE DE LIT EN BONNETERIE</v>
      </c>
    </row>
    <row r="7557" spans="1:4" x14ac:dyDescent="0.25">
      <c r="A7557" t="str">
        <f>T("   ZZZ_Monde")</f>
        <v xml:space="preserve">   ZZZ_Monde</v>
      </c>
      <c r="B7557" t="str">
        <f>T("   ZZZ_Monde")</f>
        <v xml:space="preserve">   ZZZ_Monde</v>
      </c>
      <c r="C7557">
        <v>8231295</v>
      </c>
      <c r="D7557">
        <v>21059</v>
      </c>
    </row>
    <row r="7558" spans="1:4" x14ac:dyDescent="0.25">
      <c r="A7558" t="str">
        <f>T("   CN")</f>
        <v xml:space="preserve">   CN</v>
      </c>
      <c r="B7558" t="str">
        <f>T("   Chine")</f>
        <v xml:space="preserve">   Chine</v>
      </c>
      <c r="C7558">
        <v>8211295</v>
      </c>
      <c r="D7558">
        <v>21009</v>
      </c>
    </row>
    <row r="7559" spans="1:4" x14ac:dyDescent="0.25">
      <c r="A7559" t="str">
        <f>T("   GB")</f>
        <v xml:space="preserve">   GB</v>
      </c>
      <c r="B7559" t="str">
        <f>T("   Royaume-Uni")</f>
        <v xml:space="preserve">   Royaume-Uni</v>
      </c>
      <c r="C7559">
        <v>20000</v>
      </c>
      <c r="D7559">
        <v>50</v>
      </c>
    </row>
    <row r="7560" spans="1:4" x14ac:dyDescent="0.25">
      <c r="A7560" t="str">
        <f>T("630221")</f>
        <v>630221</v>
      </c>
      <c r="B7560" t="str">
        <f>T("Linge de lit de coton, imprimé (autre qu'en bonneterie)")</f>
        <v>Linge de lit de coton, imprimé (autre qu'en bonneterie)</v>
      </c>
    </row>
    <row r="7561" spans="1:4" x14ac:dyDescent="0.25">
      <c r="A7561" t="str">
        <f>T("   ZZZ_Monde")</f>
        <v xml:space="preserve">   ZZZ_Monde</v>
      </c>
      <c r="B7561" t="str">
        <f>T("   ZZZ_Monde")</f>
        <v xml:space="preserve">   ZZZ_Monde</v>
      </c>
      <c r="C7561">
        <v>16239210</v>
      </c>
      <c r="D7561">
        <v>5899</v>
      </c>
    </row>
    <row r="7562" spans="1:4" x14ac:dyDescent="0.25">
      <c r="A7562" t="str">
        <f>T("   BE")</f>
        <v xml:space="preserve">   BE</v>
      </c>
      <c r="B7562" t="str">
        <f>T("   Belgique")</f>
        <v xml:space="preserve">   Belgique</v>
      </c>
      <c r="C7562">
        <v>3398528</v>
      </c>
      <c r="D7562">
        <v>538</v>
      </c>
    </row>
    <row r="7563" spans="1:4" x14ac:dyDescent="0.25">
      <c r="A7563" t="str">
        <f>T("   CN")</f>
        <v xml:space="preserve">   CN</v>
      </c>
      <c r="B7563" t="str">
        <f>T("   Chine")</f>
        <v xml:space="preserve">   Chine</v>
      </c>
      <c r="C7563">
        <v>7864569</v>
      </c>
      <c r="D7563">
        <v>4135</v>
      </c>
    </row>
    <row r="7564" spans="1:4" x14ac:dyDescent="0.25">
      <c r="A7564" t="str">
        <f>T("   FR")</f>
        <v xml:space="preserve">   FR</v>
      </c>
      <c r="B7564" t="str">
        <f>T("   France")</f>
        <v xml:space="preserve">   France</v>
      </c>
      <c r="C7564">
        <v>4976113</v>
      </c>
      <c r="D7564">
        <v>1226</v>
      </c>
    </row>
    <row r="7565" spans="1:4" x14ac:dyDescent="0.25">
      <c r="A7565" t="str">
        <f>T("630222")</f>
        <v>630222</v>
      </c>
      <c r="B7565" t="str">
        <f>T("Linge de lit, de fibres synthétiques ou artificielles, imprimé (autres qu'en bonneterie)")</f>
        <v>Linge de lit, de fibres synthétiques ou artificielles, imprimé (autres qu'en bonneterie)</v>
      </c>
    </row>
    <row r="7566" spans="1:4" x14ac:dyDescent="0.25">
      <c r="A7566" t="str">
        <f>T("   ZZZ_Monde")</f>
        <v xml:space="preserve">   ZZZ_Monde</v>
      </c>
      <c r="B7566" t="str">
        <f>T("   ZZZ_Monde")</f>
        <v xml:space="preserve">   ZZZ_Monde</v>
      </c>
      <c r="C7566">
        <v>522353</v>
      </c>
      <c r="D7566">
        <v>1800</v>
      </c>
    </row>
    <row r="7567" spans="1:4" x14ac:dyDescent="0.25">
      <c r="A7567" t="str">
        <f>T("   CN")</f>
        <v xml:space="preserve">   CN</v>
      </c>
      <c r="B7567" t="str">
        <f>T("   Chine")</f>
        <v xml:space="preserve">   Chine</v>
      </c>
      <c r="C7567">
        <v>522353</v>
      </c>
      <c r="D7567">
        <v>1800</v>
      </c>
    </row>
    <row r="7568" spans="1:4" x14ac:dyDescent="0.25">
      <c r="A7568" t="str">
        <f>T("630229")</f>
        <v>630229</v>
      </c>
      <c r="B7568" t="str">
        <f>T("Linge de lit, de matières textiles, imprimé (autre que de coton, fibres synthétiques ou artificielles, autres qu'en bonneterie)")</f>
        <v>Linge de lit, de matières textiles, imprimé (autre que de coton, fibres synthétiques ou artificielles, autres qu'en bonneterie)</v>
      </c>
    </row>
    <row r="7569" spans="1:4" x14ac:dyDescent="0.25">
      <c r="A7569" t="str">
        <f>T("   ZZZ_Monde")</f>
        <v xml:space="preserve">   ZZZ_Monde</v>
      </c>
      <c r="B7569" t="str">
        <f>T("   ZZZ_Monde")</f>
        <v xml:space="preserve">   ZZZ_Monde</v>
      </c>
      <c r="C7569">
        <v>29323787</v>
      </c>
      <c r="D7569">
        <v>59073</v>
      </c>
    </row>
    <row r="7570" spans="1:4" x14ac:dyDescent="0.25">
      <c r="A7570" t="str">
        <f>T("   CN")</f>
        <v xml:space="preserve">   CN</v>
      </c>
      <c r="B7570" t="str">
        <f>T("   Chine")</f>
        <v xml:space="preserve">   Chine</v>
      </c>
      <c r="C7570">
        <v>18764112</v>
      </c>
      <c r="D7570">
        <v>47761</v>
      </c>
    </row>
    <row r="7571" spans="1:4" x14ac:dyDescent="0.25">
      <c r="A7571" t="str">
        <f>T("   FR")</f>
        <v xml:space="preserve">   FR</v>
      </c>
      <c r="B7571" t="str">
        <f>T("   France")</f>
        <v xml:space="preserve">   France</v>
      </c>
      <c r="C7571">
        <v>6553040</v>
      </c>
      <c r="D7571">
        <v>1517</v>
      </c>
    </row>
    <row r="7572" spans="1:4" x14ac:dyDescent="0.25">
      <c r="A7572" t="str">
        <f>T("   ID")</f>
        <v xml:space="preserve">   ID</v>
      </c>
      <c r="B7572" t="str">
        <f>T("   Indonésie")</f>
        <v xml:space="preserve">   Indonésie</v>
      </c>
      <c r="C7572">
        <v>1000404</v>
      </c>
      <c r="D7572">
        <v>70</v>
      </c>
    </row>
    <row r="7573" spans="1:4" x14ac:dyDescent="0.25">
      <c r="A7573" t="str">
        <f>T("   TG")</f>
        <v xml:space="preserve">   TG</v>
      </c>
      <c r="B7573" t="str">
        <f>T("   Togo")</f>
        <v xml:space="preserve">   Togo</v>
      </c>
      <c r="C7573">
        <v>2500000</v>
      </c>
      <c r="D7573">
        <v>9400</v>
      </c>
    </row>
    <row r="7574" spans="1:4" x14ac:dyDescent="0.25">
      <c r="A7574" t="str">
        <f>T("   TH")</f>
        <v xml:space="preserve">   TH</v>
      </c>
      <c r="B7574" t="str">
        <f>T("   Thaïlande")</f>
        <v xml:space="preserve">   Thaïlande</v>
      </c>
      <c r="C7574">
        <v>331231</v>
      </c>
      <c r="D7574">
        <v>300</v>
      </c>
    </row>
    <row r="7575" spans="1:4" x14ac:dyDescent="0.25">
      <c r="A7575" t="str">
        <f>T("   US")</f>
        <v xml:space="preserve">   US</v>
      </c>
      <c r="B7575" t="str">
        <f>T("   Etats-Unis")</f>
        <v xml:space="preserve">   Etats-Unis</v>
      </c>
      <c r="C7575">
        <v>175000</v>
      </c>
      <c r="D7575">
        <v>25</v>
      </c>
    </row>
    <row r="7576" spans="1:4" x14ac:dyDescent="0.25">
      <c r="A7576" t="str">
        <f>T("630231")</f>
        <v>630231</v>
      </c>
      <c r="B7576" t="str">
        <f>T("Linge de lit de coton (autre qu'imprimé, autre qu'en bonneterie)")</f>
        <v>Linge de lit de coton (autre qu'imprimé, autre qu'en bonneterie)</v>
      </c>
    </row>
    <row r="7577" spans="1:4" x14ac:dyDescent="0.25">
      <c r="A7577" t="str">
        <f>T("   ZZZ_Monde")</f>
        <v xml:space="preserve">   ZZZ_Monde</v>
      </c>
      <c r="B7577" t="str">
        <f>T("   ZZZ_Monde")</f>
        <v xml:space="preserve">   ZZZ_Monde</v>
      </c>
      <c r="C7577">
        <v>11624420</v>
      </c>
      <c r="D7577">
        <v>11644</v>
      </c>
    </row>
    <row r="7578" spans="1:4" x14ac:dyDescent="0.25">
      <c r="A7578" t="str">
        <f>T("   CN")</f>
        <v xml:space="preserve">   CN</v>
      </c>
      <c r="B7578" t="str">
        <f>T("   Chine")</f>
        <v xml:space="preserve">   Chine</v>
      </c>
      <c r="C7578">
        <v>7331503</v>
      </c>
      <c r="D7578">
        <v>10985</v>
      </c>
    </row>
    <row r="7579" spans="1:4" x14ac:dyDescent="0.25">
      <c r="A7579" t="str">
        <f>T("   FR")</f>
        <v xml:space="preserve">   FR</v>
      </c>
      <c r="B7579" t="str">
        <f>T("   France")</f>
        <v xml:space="preserve">   France</v>
      </c>
      <c r="C7579">
        <v>4292917</v>
      </c>
      <c r="D7579">
        <v>659</v>
      </c>
    </row>
    <row r="7580" spans="1:4" x14ac:dyDescent="0.25">
      <c r="A7580" t="str">
        <f>T("630239")</f>
        <v>630239</v>
      </c>
      <c r="B7580" t="str">
        <f>T("Linge de lit de matières textiles (autres que de coton, fibres synthétiques ou artificielles, autre qu'imprimé, autre qu'en bonneterie)")</f>
        <v>Linge de lit de matières textiles (autres que de coton, fibres synthétiques ou artificielles, autre qu'imprimé, autre qu'en bonneterie)</v>
      </c>
    </row>
    <row r="7581" spans="1:4" x14ac:dyDescent="0.25">
      <c r="A7581" t="str">
        <f>T("   ZZZ_Monde")</f>
        <v xml:space="preserve">   ZZZ_Monde</v>
      </c>
      <c r="B7581" t="str">
        <f>T("   ZZZ_Monde")</f>
        <v xml:space="preserve">   ZZZ_Monde</v>
      </c>
      <c r="C7581">
        <v>8630741</v>
      </c>
      <c r="D7581">
        <v>17663</v>
      </c>
    </row>
    <row r="7582" spans="1:4" x14ac:dyDescent="0.25">
      <c r="A7582" t="str">
        <f>T("   CN")</f>
        <v xml:space="preserve">   CN</v>
      </c>
      <c r="B7582" t="str">
        <f>T("   Chine")</f>
        <v xml:space="preserve">   Chine</v>
      </c>
      <c r="C7582">
        <v>3936210</v>
      </c>
      <c r="D7582">
        <v>5799</v>
      </c>
    </row>
    <row r="7583" spans="1:4" x14ac:dyDescent="0.25">
      <c r="A7583" t="str">
        <f>T("   FR")</f>
        <v xml:space="preserve">   FR</v>
      </c>
      <c r="B7583" t="str">
        <f>T("   France")</f>
        <v xml:space="preserve">   France</v>
      </c>
      <c r="C7583">
        <v>1383388</v>
      </c>
      <c r="D7583">
        <v>518</v>
      </c>
    </row>
    <row r="7584" spans="1:4" x14ac:dyDescent="0.25">
      <c r="A7584" t="str">
        <f>T("   GH")</f>
        <v xml:space="preserve">   GH</v>
      </c>
      <c r="B7584" t="str">
        <f>T("   Ghana")</f>
        <v xml:space="preserve">   Ghana</v>
      </c>
      <c r="C7584">
        <v>450566</v>
      </c>
      <c r="D7584">
        <v>5826</v>
      </c>
    </row>
    <row r="7585" spans="1:4" x14ac:dyDescent="0.25">
      <c r="A7585" t="str">
        <f>T("   MA")</f>
        <v xml:space="preserve">   MA</v>
      </c>
      <c r="B7585" t="str">
        <f>T("   Maroc")</f>
        <v xml:space="preserve">   Maroc</v>
      </c>
      <c r="C7585">
        <v>100000</v>
      </c>
      <c r="D7585">
        <v>81</v>
      </c>
    </row>
    <row r="7586" spans="1:4" x14ac:dyDescent="0.25">
      <c r="A7586" t="str">
        <f>T("   SY")</f>
        <v xml:space="preserve">   SY</v>
      </c>
      <c r="B7586" t="str">
        <f>T("   Syrienne, République arabe")</f>
        <v xml:space="preserve">   Syrienne, République arabe</v>
      </c>
      <c r="C7586">
        <v>2760577</v>
      </c>
      <c r="D7586">
        <v>5439</v>
      </c>
    </row>
    <row r="7587" spans="1:4" x14ac:dyDescent="0.25">
      <c r="A7587" t="str">
        <f>T("630240")</f>
        <v>630240</v>
      </c>
      <c r="B7587" t="str">
        <f>T("LINGE DE TABLE EN BONNETERIE")</f>
        <v>LINGE DE TABLE EN BONNETERIE</v>
      </c>
    </row>
    <row r="7588" spans="1:4" x14ac:dyDescent="0.25">
      <c r="A7588" t="str">
        <f>T("   ZZZ_Monde")</f>
        <v xml:space="preserve">   ZZZ_Monde</v>
      </c>
      <c r="B7588" t="str">
        <f>T("   ZZZ_Monde")</f>
        <v xml:space="preserve">   ZZZ_Monde</v>
      </c>
      <c r="C7588">
        <v>2544003</v>
      </c>
      <c r="D7588">
        <v>285</v>
      </c>
    </row>
    <row r="7589" spans="1:4" x14ac:dyDescent="0.25">
      <c r="A7589" t="str">
        <f>T("   CN")</f>
        <v xml:space="preserve">   CN</v>
      </c>
      <c r="B7589" t="str">
        <f>T("   Chine")</f>
        <v xml:space="preserve">   Chine</v>
      </c>
      <c r="C7589">
        <v>2544003</v>
      </c>
      <c r="D7589">
        <v>285</v>
      </c>
    </row>
    <row r="7590" spans="1:4" x14ac:dyDescent="0.25">
      <c r="A7590" t="str">
        <f>T("630251")</f>
        <v>630251</v>
      </c>
      <c r="B7590" t="str">
        <f>T("Linge de table de coton (autre qu'en bonneterie)")</f>
        <v>Linge de table de coton (autre qu'en bonneterie)</v>
      </c>
    </row>
    <row r="7591" spans="1:4" x14ac:dyDescent="0.25">
      <c r="A7591" t="str">
        <f>T("   ZZZ_Monde")</f>
        <v xml:space="preserve">   ZZZ_Monde</v>
      </c>
      <c r="B7591" t="str">
        <f>T("   ZZZ_Monde")</f>
        <v xml:space="preserve">   ZZZ_Monde</v>
      </c>
      <c r="C7591">
        <v>8254683</v>
      </c>
      <c r="D7591">
        <v>3244</v>
      </c>
    </row>
    <row r="7592" spans="1:4" x14ac:dyDescent="0.25">
      <c r="A7592" t="str">
        <f>T("   BE")</f>
        <v xml:space="preserve">   BE</v>
      </c>
      <c r="B7592" t="str">
        <f>T("   Belgique")</f>
        <v xml:space="preserve">   Belgique</v>
      </c>
      <c r="C7592">
        <v>7082400</v>
      </c>
      <c r="D7592">
        <v>2000</v>
      </c>
    </row>
    <row r="7593" spans="1:4" x14ac:dyDescent="0.25">
      <c r="A7593" t="str">
        <f>T("   IN")</f>
        <v xml:space="preserve">   IN</v>
      </c>
      <c r="B7593" t="str">
        <f>T("   Inde")</f>
        <v xml:space="preserve">   Inde</v>
      </c>
      <c r="C7593">
        <v>1172283</v>
      </c>
      <c r="D7593">
        <v>1244</v>
      </c>
    </row>
    <row r="7594" spans="1:4" x14ac:dyDescent="0.25">
      <c r="A7594" t="str">
        <f>T("630252")</f>
        <v>630252</v>
      </c>
      <c r="B7594" t="str">
        <f>T("Linge de table de lin (autre qu'en bonneterie)")</f>
        <v>Linge de table de lin (autre qu'en bonneterie)</v>
      </c>
    </row>
    <row r="7595" spans="1:4" x14ac:dyDescent="0.25">
      <c r="A7595" t="str">
        <f>T("   ZZZ_Monde")</f>
        <v xml:space="preserve">   ZZZ_Monde</v>
      </c>
      <c r="B7595" t="str">
        <f>T("   ZZZ_Monde")</f>
        <v xml:space="preserve">   ZZZ_Monde</v>
      </c>
      <c r="C7595">
        <v>139720</v>
      </c>
      <c r="D7595">
        <v>45</v>
      </c>
    </row>
    <row r="7596" spans="1:4" x14ac:dyDescent="0.25">
      <c r="A7596" t="str">
        <f>T("   FR")</f>
        <v xml:space="preserve">   FR</v>
      </c>
      <c r="B7596" t="str">
        <f>T("   France")</f>
        <v xml:space="preserve">   France</v>
      </c>
      <c r="C7596">
        <v>139720</v>
      </c>
      <c r="D7596">
        <v>45</v>
      </c>
    </row>
    <row r="7597" spans="1:4" x14ac:dyDescent="0.25">
      <c r="A7597" t="str">
        <f>T("630253")</f>
        <v>630253</v>
      </c>
      <c r="B7597" t="str">
        <f>T("Linge de table de fibres synthétiques ou artificielles (autres qu'en bonneterie)")</f>
        <v>Linge de table de fibres synthétiques ou artificielles (autres qu'en bonneterie)</v>
      </c>
    </row>
    <row r="7598" spans="1:4" x14ac:dyDescent="0.25">
      <c r="A7598" t="str">
        <f>T("   ZZZ_Monde")</f>
        <v xml:space="preserve">   ZZZ_Monde</v>
      </c>
      <c r="B7598" t="str">
        <f>T("   ZZZ_Monde")</f>
        <v xml:space="preserve">   ZZZ_Monde</v>
      </c>
      <c r="C7598">
        <v>3104552</v>
      </c>
      <c r="D7598">
        <v>10371</v>
      </c>
    </row>
    <row r="7599" spans="1:4" x14ac:dyDescent="0.25">
      <c r="A7599" t="str">
        <f>T("   CN")</f>
        <v xml:space="preserve">   CN</v>
      </c>
      <c r="B7599" t="str">
        <f>T("   Chine")</f>
        <v xml:space="preserve">   Chine</v>
      </c>
      <c r="C7599">
        <v>3104552</v>
      </c>
      <c r="D7599">
        <v>10371</v>
      </c>
    </row>
    <row r="7600" spans="1:4" x14ac:dyDescent="0.25">
      <c r="A7600" t="str">
        <f>T("630259")</f>
        <v>630259</v>
      </c>
      <c r="B7600" t="str">
        <f>T("LINGE DE TABLE DE MATIÈRES TEXTILES (AUTRE QUE DE COTON, FIBRES SYNTHÉTIQUES OU ARTIFICIELLES, AUTRE QU'EN BONNETERIE)")</f>
        <v>LINGE DE TABLE DE MATIÈRES TEXTILES (AUTRE QUE DE COTON, FIBRES SYNTHÉTIQUES OU ARTIFICIELLES, AUTRE QU'EN BONNETERIE)</v>
      </c>
    </row>
    <row r="7601" spans="1:4" x14ac:dyDescent="0.25">
      <c r="A7601" t="str">
        <f>T("   ZZZ_Monde")</f>
        <v xml:space="preserve">   ZZZ_Monde</v>
      </c>
      <c r="B7601" t="str">
        <f>T("   ZZZ_Monde")</f>
        <v xml:space="preserve">   ZZZ_Monde</v>
      </c>
      <c r="C7601">
        <v>7759306</v>
      </c>
      <c r="D7601">
        <v>27968</v>
      </c>
    </row>
    <row r="7602" spans="1:4" x14ac:dyDescent="0.25">
      <c r="A7602" t="str">
        <f>T("   CN")</f>
        <v xml:space="preserve">   CN</v>
      </c>
      <c r="B7602" t="str">
        <f>T("   Chine")</f>
        <v xml:space="preserve">   Chine</v>
      </c>
      <c r="C7602">
        <v>7324512</v>
      </c>
      <c r="D7602">
        <v>27608</v>
      </c>
    </row>
    <row r="7603" spans="1:4" x14ac:dyDescent="0.25">
      <c r="A7603" t="str">
        <f>T("   FR")</f>
        <v xml:space="preserve">   FR</v>
      </c>
      <c r="B7603" t="str">
        <f>T("   France")</f>
        <v xml:space="preserve">   France</v>
      </c>
      <c r="C7603">
        <v>402025</v>
      </c>
      <c r="D7603">
        <v>240</v>
      </c>
    </row>
    <row r="7604" spans="1:4" x14ac:dyDescent="0.25">
      <c r="A7604" t="str">
        <f>T("   TG")</f>
        <v xml:space="preserve">   TG</v>
      </c>
      <c r="B7604" t="str">
        <f>T("   Togo")</f>
        <v xml:space="preserve">   Togo</v>
      </c>
      <c r="C7604">
        <v>32769</v>
      </c>
      <c r="D7604">
        <v>120</v>
      </c>
    </row>
    <row r="7605" spans="1:4" x14ac:dyDescent="0.25">
      <c r="A7605" t="str">
        <f>T("630260")</f>
        <v>630260</v>
      </c>
      <c r="B7605" t="str">
        <f>T("Linge de toilette ou de cuisine, bouclé du genre éponge, de coton (sauf serpillières, chiffons à parquet, lavettes et chamoisettes)")</f>
        <v>Linge de toilette ou de cuisine, bouclé du genre éponge, de coton (sauf serpillières, chiffons à parquet, lavettes et chamoisettes)</v>
      </c>
    </row>
    <row r="7606" spans="1:4" x14ac:dyDescent="0.25">
      <c r="A7606" t="str">
        <f>T("   ZZZ_Monde")</f>
        <v xml:space="preserve">   ZZZ_Monde</v>
      </c>
      <c r="B7606" t="str">
        <f>T("   ZZZ_Monde")</f>
        <v xml:space="preserve">   ZZZ_Monde</v>
      </c>
      <c r="C7606">
        <v>90805536</v>
      </c>
      <c r="D7606">
        <v>125338.8</v>
      </c>
    </row>
    <row r="7607" spans="1:4" x14ac:dyDescent="0.25">
      <c r="A7607" t="str">
        <f>T("   AE")</f>
        <v xml:space="preserve">   AE</v>
      </c>
      <c r="B7607" t="str">
        <f>T("   Emirats Arabes Unis")</f>
        <v xml:space="preserve">   Emirats Arabes Unis</v>
      </c>
      <c r="C7607">
        <v>514343</v>
      </c>
      <c r="D7607">
        <v>4436</v>
      </c>
    </row>
    <row r="7608" spans="1:4" x14ac:dyDescent="0.25">
      <c r="A7608" t="str">
        <f>T("   CN")</f>
        <v xml:space="preserve">   CN</v>
      </c>
      <c r="B7608" t="str">
        <f>T("   Chine")</f>
        <v xml:space="preserve">   Chine</v>
      </c>
      <c r="C7608">
        <v>31829078</v>
      </c>
      <c r="D7608">
        <v>59147</v>
      </c>
    </row>
    <row r="7609" spans="1:4" x14ac:dyDescent="0.25">
      <c r="A7609" t="str">
        <f>T("   FR")</f>
        <v xml:space="preserve">   FR</v>
      </c>
      <c r="B7609" t="str">
        <f>T("   France")</f>
        <v xml:space="preserve">   France</v>
      </c>
      <c r="C7609">
        <v>8683486</v>
      </c>
      <c r="D7609">
        <v>2037</v>
      </c>
    </row>
    <row r="7610" spans="1:4" x14ac:dyDescent="0.25">
      <c r="A7610" t="str">
        <f>T("   NG")</f>
        <v xml:space="preserve">   NG</v>
      </c>
      <c r="B7610" t="str">
        <f>T("   Nigéria")</f>
        <v xml:space="preserve">   Nigéria</v>
      </c>
      <c r="C7610">
        <v>364000</v>
      </c>
      <c r="D7610">
        <v>375</v>
      </c>
    </row>
    <row r="7611" spans="1:4" x14ac:dyDescent="0.25">
      <c r="A7611" t="str">
        <f>T("   PK")</f>
        <v xml:space="preserve">   PK</v>
      </c>
      <c r="B7611" t="str">
        <f>T("   Pakistan")</f>
        <v xml:space="preserve">   Pakistan</v>
      </c>
      <c r="C7611">
        <v>26745458</v>
      </c>
      <c r="D7611">
        <v>6317</v>
      </c>
    </row>
    <row r="7612" spans="1:4" x14ac:dyDescent="0.25">
      <c r="A7612" t="str">
        <f>T("   TG")</f>
        <v xml:space="preserve">   TG</v>
      </c>
      <c r="B7612" t="str">
        <f>T("   Togo")</f>
        <v xml:space="preserve">   Togo</v>
      </c>
      <c r="C7612">
        <v>22223278</v>
      </c>
      <c r="D7612">
        <v>52928</v>
      </c>
    </row>
    <row r="7613" spans="1:4" x14ac:dyDescent="0.25">
      <c r="A7613" t="str">
        <f>T("   ZA")</f>
        <v xml:space="preserve">   ZA</v>
      </c>
      <c r="B7613" t="str">
        <f>T("   Afrique du Sud")</f>
        <v xml:space="preserve">   Afrique du Sud</v>
      </c>
      <c r="C7613">
        <v>445893</v>
      </c>
      <c r="D7613">
        <v>98.8</v>
      </c>
    </row>
    <row r="7614" spans="1:4" x14ac:dyDescent="0.25">
      <c r="A7614" t="str">
        <f>T("630291")</f>
        <v>630291</v>
      </c>
      <c r="B7614" t="str">
        <f>T("Linge de toilette ou de cuisine en coton (autre que bouclé du genre éponge et sauf serpillières, chiffons à parquet, lavettes et chamoisettes)")</f>
        <v>Linge de toilette ou de cuisine en coton (autre que bouclé du genre éponge et sauf serpillières, chiffons à parquet, lavettes et chamoisettes)</v>
      </c>
    </row>
    <row r="7615" spans="1:4" x14ac:dyDescent="0.25">
      <c r="A7615" t="str">
        <f>T("   ZZZ_Monde")</f>
        <v xml:space="preserve">   ZZZ_Monde</v>
      </c>
      <c r="B7615" t="str">
        <f>T("   ZZZ_Monde")</f>
        <v xml:space="preserve">   ZZZ_Monde</v>
      </c>
      <c r="C7615">
        <v>5311965</v>
      </c>
      <c r="D7615">
        <v>7109</v>
      </c>
    </row>
    <row r="7616" spans="1:4" x14ac:dyDescent="0.25">
      <c r="A7616" t="str">
        <f>T("   CN")</f>
        <v xml:space="preserve">   CN</v>
      </c>
      <c r="B7616" t="str">
        <f>T("   Chine")</f>
        <v xml:space="preserve">   Chine</v>
      </c>
      <c r="C7616">
        <v>1433273</v>
      </c>
      <c r="D7616">
        <v>5850</v>
      </c>
    </row>
    <row r="7617" spans="1:4" x14ac:dyDescent="0.25">
      <c r="A7617" t="str">
        <f>T("   FR")</f>
        <v xml:space="preserve">   FR</v>
      </c>
      <c r="B7617" t="str">
        <f>T("   France")</f>
        <v xml:space="preserve">   France</v>
      </c>
      <c r="C7617">
        <v>3878692</v>
      </c>
      <c r="D7617">
        <v>1259</v>
      </c>
    </row>
    <row r="7618" spans="1:4" x14ac:dyDescent="0.25">
      <c r="A7618" t="str">
        <f>T("630299")</f>
        <v>630299</v>
      </c>
      <c r="B7618" t="str">
        <f>T("LINGE DE TOILETTE OU DE CUISINE, DE MATIÈRES TEXTILES (AUTRE QUE DE COTON, FIBRES SYNTHÉTIQUES OU ARTIFICIELLES ET SAUF SERPILLIÈRES, CHIFFONS À PARQUET, LAVETTES ET CHAMOISETTES)")</f>
        <v>LINGE DE TOILETTE OU DE CUISINE, DE MATIÈRES TEXTILES (AUTRE QUE DE COTON, FIBRES SYNTHÉTIQUES OU ARTIFICIELLES ET SAUF SERPILLIÈRES, CHIFFONS À PARQUET, LAVETTES ET CHAMOISETTES)</v>
      </c>
    </row>
    <row r="7619" spans="1:4" x14ac:dyDescent="0.25">
      <c r="A7619" t="str">
        <f>T("   ZZZ_Monde")</f>
        <v xml:space="preserve">   ZZZ_Monde</v>
      </c>
      <c r="B7619" t="str">
        <f>T("   ZZZ_Monde")</f>
        <v xml:space="preserve">   ZZZ_Monde</v>
      </c>
      <c r="C7619">
        <v>23787107</v>
      </c>
      <c r="D7619">
        <v>62594</v>
      </c>
    </row>
    <row r="7620" spans="1:4" x14ac:dyDescent="0.25">
      <c r="A7620" t="str">
        <f>T("   CN")</f>
        <v xml:space="preserve">   CN</v>
      </c>
      <c r="B7620" t="str">
        <f>T("   Chine")</f>
        <v xml:space="preserve">   Chine</v>
      </c>
      <c r="C7620">
        <v>10838982</v>
      </c>
      <c r="D7620">
        <v>24974</v>
      </c>
    </row>
    <row r="7621" spans="1:4" x14ac:dyDescent="0.25">
      <c r="A7621" t="str">
        <f>T("   FR")</f>
        <v xml:space="preserve">   FR</v>
      </c>
      <c r="B7621" t="str">
        <f>T("   France")</f>
        <v xml:space="preserve">   France</v>
      </c>
      <c r="C7621">
        <v>9785685</v>
      </c>
      <c r="D7621">
        <v>9177</v>
      </c>
    </row>
    <row r="7622" spans="1:4" x14ac:dyDescent="0.25">
      <c r="A7622" t="str">
        <f>T("   TG")</f>
        <v xml:space="preserve">   TG</v>
      </c>
      <c r="B7622" t="str">
        <f>T("   Togo")</f>
        <v xml:space="preserve">   Togo</v>
      </c>
      <c r="C7622">
        <v>3162440</v>
      </c>
      <c r="D7622">
        <v>28443</v>
      </c>
    </row>
    <row r="7623" spans="1:4" x14ac:dyDescent="0.25">
      <c r="A7623" t="str">
        <f>T("630312")</f>
        <v>630312</v>
      </c>
      <c r="B7623" t="str">
        <f>T("Vitrages, rideaux et stores d'intérieur ainsi que cantonnières et tours de lit, en bonneterie, de fibres synthétiques (autres que stores d'extérieur)")</f>
        <v>Vitrages, rideaux et stores d'intérieur ainsi que cantonnières et tours de lit, en bonneterie, de fibres synthétiques (autres que stores d'extérieur)</v>
      </c>
    </row>
    <row r="7624" spans="1:4" x14ac:dyDescent="0.25">
      <c r="A7624" t="str">
        <f>T("   ZZZ_Monde")</f>
        <v xml:space="preserve">   ZZZ_Monde</v>
      </c>
      <c r="B7624" t="str">
        <f>T("   ZZZ_Monde")</f>
        <v xml:space="preserve">   ZZZ_Monde</v>
      </c>
      <c r="C7624">
        <v>943001</v>
      </c>
      <c r="D7624">
        <v>3160</v>
      </c>
    </row>
    <row r="7625" spans="1:4" x14ac:dyDescent="0.25">
      <c r="A7625" t="str">
        <f>T("   CN")</f>
        <v xml:space="preserve">   CN</v>
      </c>
      <c r="B7625" t="str">
        <f>T("   Chine")</f>
        <v xml:space="preserve">   Chine</v>
      </c>
      <c r="C7625">
        <v>943001</v>
      </c>
      <c r="D7625">
        <v>3160</v>
      </c>
    </row>
    <row r="7626" spans="1:4" x14ac:dyDescent="0.25">
      <c r="A7626" t="str">
        <f>T("630319")</f>
        <v>630319</v>
      </c>
      <c r="B7626" t="str">
        <f>T("Vitrages, rideaux et stores d'intérieur ainsi que cantonnières et tours de lit, en bonneterie (autres que de coton et fibres synthétiques et autres que stores d'extérieur)")</f>
        <v>Vitrages, rideaux et stores d'intérieur ainsi que cantonnières et tours de lit, en bonneterie (autres que de coton et fibres synthétiques et autres que stores d'extérieur)</v>
      </c>
    </row>
    <row r="7627" spans="1:4" x14ac:dyDescent="0.25">
      <c r="A7627" t="str">
        <f>T("   ZZZ_Monde")</f>
        <v xml:space="preserve">   ZZZ_Monde</v>
      </c>
      <c r="B7627" t="str">
        <f>T("   ZZZ_Monde")</f>
        <v xml:space="preserve">   ZZZ_Monde</v>
      </c>
      <c r="C7627">
        <v>39563529</v>
      </c>
      <c r="D7627">
        <v>63957</v>
      </c>
    </row>
    <row r="7628" spans="1:4" x14ac:dyDescent="0.25">
      <c r="A7628" t="str">
        <f>T("   CN")</f>
        <v xml:space="preserve">   CN</v>
      </c>
      <c r="B7628" t="str">
        <f>T("   Chine")</f>
        <v xml:space="preserve">   Chine</v>
      </c>
      <c r="C7628">
        <v>19742742</v>
      </c>
      <c r="D7628">
        <v>53985</v>
      </c>
    </row>
    <row r="7629" spans="1:4" x14ac:dyDescent="0.25">
      <c r="A7629" t="str">
        <f>T("   ES")</f>
        <v xml:space="preserve">   ES</v>
      </c>
      <c r="B7629" t="str">
        <f>T("   Espagne")</f>
        <v xml:space="preserve">   Espagne</v>
      </c>
      <c r="C7629">
        <v>97000</v>
      </c>
      <c r="D7629">
        <v>1000</v>
      </c>
    </row>
    <row r="7630" spans="1:4" x14ac:dyDescent="0.25">
      <c r="A7630" t="str">
        <f>T("   FR")</f>
        <v xml:space="preserve">   FR</v>
      </c>
      <c r="B7630" t="str">
        <f>T("   France")</f>
        <v xml:space="preserve">   France</v>
      </c>
      <c r="C7630">
        <v>539901</v>
      </c>
      <c r="D7630">
        <v>250</v>
      </c>
    </row>
    <row r="7631" spans="1:4" x14ac:dyDescent="0.25">
      <c r="A7631" t="str">
        <f>T("   IT")</f>
        <v xml:space="preserve">   IT</v>
      </c>
      <c r="B7631" t="str">
        <f>T("   Italie")</f>
        <v xml:space="preserve">   Italie</v>
      </c>
      <c r="C7631">
        <v>17919276</v>
      </c>
      <c r="D7631">
        <v>5202</v>
      </c>
    </row>
    <row r="7632" spans="1:4" x14ac:dyDescent="0.25">
      <c r="A7632" t="str">
        <f>T("   NG")</f>
        <v xml:space="preserve">   NG</v>
      </c>
      <c r="B7632" t="str">
        <f>T("   Nigéria")</f>
        <v xml:space="preserve">   Nigéria</v>
      </c>
      <c r="C7632">
        <v>500000</v>
      </c>
      <c r="D7632">
        <v>500</v>
      </c>
    </row>
    <row r="7633" spans="1:4" x14ac:dyDescent="0.25">
      <c r="A7633" t="str">
        <f>T("   TG")</f>
        <v xml:space="preserve">   TG</v>
      </c>
      <c r="B7633" t="str">
        <f>T("   Togo")</f>
        <v xml:space="preserve">   Togo</v>
      </c>
      <c r="C7633">
        <v>764610</v>
      </c>
      <c r="D7633">
        <v>3020</v>
      </c>
    </row>
    <row r="7634" spans="1:4" x14ac:dyDescent="0.25">
      <c r="A7634" t="str">
        <f>T("630392")</f>
        <v>630392</v>
      </c>
      <c r="B7634" t="str">
        <f>T("Vitrages, rideaux et stores d'intérieur ainsi que cantonnières et tours de lit, de fibres synthétiques (autres qu'en bonneterie et autres que stores d'extérieur)")</f>
        <v>Vitrages, rideaux et stores d'intérieur ainsi que cantonnières et tours de lit, de fibres synthétiques (autres qu'en bonneterie et autres que stores d'extérieur)</v>
      </c>
    </row>
    <row r="7635" spans="1:4" x14ac:dyDescent="0.25">
      <c r="A7635" t="str">
        <f>T("   ZZZ_Monde")</f>
        <v xml:space="preserve">   ZZZ_Monde</v>
      </c>
      <c r="B7635" t="str">
        <f>T("   ZZZ_Monde")</f>
        <v xml:space="preserve">   ZZZ_Monde</v>
      </c>
      <c r="C7635">
        <v>11839845</v>
      </c>
      <c r="D7635">
        <v>38170</v>
      </c>
    </row>
    <row r="7636" spans="1:4" x14ac:dyDescent="0.25">
      <c r="A7636" t="str">
        <f>T("   CN")</f>
        <v xml:space="preserve">   CN</v>
      </c>
      <c r="B7636" t="str">
        <f>T("   Chine")</f>
        <v xml:space="preserve">   Chine</v>
      </c>
      <c r="C7636">
        <v>11839845</v>
      </c>
      <c r="D7636">
        <v>38170</v>
      </c>
    </row>
    <row r="7637" spans="1:4" x14ac:dyDescent="0.25">
      <c r="A7637" t="str">
        <f>T("630399")</f>
        <v>630399</v>
      </c>
      <c r="B7637" t="str">
        <f>T("Vitrages, rideaux et stores d'intérieur ainsi que cantonnières et tours de lit, de matières textiles (autres que de coton et fibres synthétiques, autres qu'en bonneterie et autres que stores d'extérieur)")</f>
        <v>Vitrages, rideaux et stores d'intérieur ainsi que cantonnières et tours de lit, de matières textiles (autres que de coton et fibres synthétiques, autres qu'en bonneterie et autres que stores d'extérieur)</v>
      </c>
    </row>
    <row r="7638" spans="1:4" x14ac:dyDescent="0.25">
      <c r="A7638" t="str">
        <f>T("   ZZZ_Monde")</f>
        <v xml:space="preserve">   ZZZ_Monde</v>
      </c>
      <c r="B7638" t="str">
        <f>T("   ZZZ_Monde")</f>
        <v xml:space="preserve">   ZZZ_Monde</v>
      </c>
      <c r="C7638">
        <v>85002874</v>
      </c>
      <c r="D7638">
        <v>98321</v>
      </c>
    </row>
    <row r="7639" spans="1:4" x14ac:dyDescent="0.25">
      <c r="A7639" t="str">
        <f>T("   AE")</f>
        <v xml:space="preserve">   AE</v>
      </c>
      <c r="B7639" t="str">
        <f>T("   Emirats Arabes Unis")</f>
        <v xml:space="preserve">   Emirats Arabes Unis</v>
      </c>
      <c r="C7639">
        <v>305825</v>
      </c>
      <c r="D7639">
        <v>2407</v>
      </c>
    </row>
    <row r="7640" spans="1:4" x14ac:dyDescent="0.25">
      <c r="A7640" t="str">
        <f>T("   BE")</f>
        <v xml:space="preserve">   BE</v>
      </c>
      <c r="B7640" t="str">
        <f>T("   Belgique")</f>
        <v xml:space="preserve">   Belgique</v>
      </c>
      <c r="C7640">
        <v>2372783</v>
      </c>
      <c r="D7640">
        <v>2925</v>
      </c>
    </row>
    <row r="7641" spans="1:4" x14ac:dyDescent="0.25">
      <c r="A7641" t="str">
        <f>T("   CN")</f>
        <v xml:space="preserve">   CN</v>
      </c>
      <c r="B7641" t="str">
        <f>T("   Chine")</f>
        <v xml:space="preserve">   Chine</v>
      </c>
      <c r="C7641">
        <v>26648620</v>
      </c>
      <c r="D7641">
        <v>68276</v>
      </c>
    </row>
    <row r="7642" spans="1:4" x14ac:dyDescent="0.25">
      <c r="A7642" t="str">
        <f>T("   FR")</f>
        <v xml:space="preserve">   FR</v>
      </c>
      <c r="B7642" t="str">
        <f>T("   France")</f>
        <v xml:space="preserve">   France</v>
      </c>
      <c r="C7642">
        <v>46609240</v>
      </c>
      <c r="D7642">
        <v>7156</v>
      </c>
    </row>
    <row r="7643" spans="1:4" x14ac:dyDescent="0.25">
      <c r="A7643" t="str">
        <f>T("   GH")</f>
        <v xml:space="preserve">   GH</v>
      </c>
      <c r="B7643" t="str">
        <f>T("   Ghana")</f>
        <v xml:space="preserve">   Ghana</v>
      </c>
      <c r="C7643">
        <v>1020404</v>
      </c>
      <c r="D7643">
        <v>1475</v>
      </c>
    </row>
    <row r="7644" spans="1:4" x14ac:dyDescent="0.25">
      <c r="A7644" t="str">
        <f>T("   IN")</f>
        <v xml:space="preserve">   IN</v>
      </c>
      <c r="B7644" t="str">
        <f>T("   Inde")</f>
        <v xml:space="preserve">   Inde</v>
      </c>
      <c r="C7644">
        <v>281443</v>
      </c>
      <c r="D7644">
        <v>630</v>
      </c>
    </row>
    <row r="7645" spans="1:4" x14ac:dyDescent="0.25">
      <c r="A7645" t="str">
        <f>T("   NL")</f>
        <v xml:space="preserve">   NL</v>
      </c>
      <c r="B7645" t="str">
        <f>T("   Pays-bas")</f>
        <v xml:space="preserve">   Pays-bas</v>
      </c>
      <c r="C7645">
        <v>96559</v>
      </c>
      <c r="D7645">
        <v>101</v>
      </c>
    </row>
    <row r="7646" spans="1:4" x14ac:dyDescent="0.25">
      <c r="A7646" t="str">
        <f>T("   SA")</f>
        <v xml:space="preserve">   SA</v>
      </c>
      <c r="B7646" t="str">
        <f>T("   Arabie Saoudite")</f>
        <v xml:space="preserve">   Arabie Saoudite</v>
      </c>
      <c r="C7646">
        <v>2155475</v>
      </c>
      <c r="D7646">
        <v>1350</v>
      </c>
    </row>
    <row r="7647" spans="1:4" x14ac:dyDescent="0.25">
      <c r="A7647" t="str">
        <f>T("   SY")</f>
        <v xml:space="preserve">   SY</v>
      </c>
      <c r="B7647" t="str">
        <f>T("   Syrienne, République arabe")</f>
        <v xml:space="preserve">   Syrienne, République arabe</v>
      </c>
      <c r="C7647">
        <v>5512525</v>
      </c>
      <c r="D7647">
        <v>14001</v>
      </c>
    </row>
    <row r="7648" spans="1:4" x14ac:dyDescent="0.25">
      <c r="A7648" t="str">
        <f>T("630411")</f>
        <v>630411</v>
      </c>
      <c r="B7648" t="str">
        <f>T("Couvre-lits en bonneterie (sauf linge de lit, couvre-pieds et édredons)")</f>
        <v>Couvre-lits en bonneterie (sauf linge de lit, couvre-pieds et édredons)</v>
      </c>
    </row>
    <row r="7649" spans="1:4" x14ac:dyDescent="0.25">
      <c r="A7649" t="str">
        <f>T("   ZZZ_Monde")</f>
        <v xml:space="preserve">   ZZZ_Monde</v>
      </c>
      <c r="B7649" t="str">
        <f>T("   ZZZ_Monde")</f>
        <v xml:space="preserve">   ZZZ_Monde</v>
      </c>
      <c r="C7649">
        <v>3281111</v>
      </c>
      <c r="D7649">
        <v>775</v>
      </c>
    </row>
    <row r="7650" spans="1:4" x14ac:dyDescent="0.25">
      <c r="A7650" t="str">
        <f>T("   PK")</f>
        <v xml:space="preserve">   PK</v>
      </c>
      <c r="B7650" t="str">
        <f>T("   Pakistan")</f>
        <v xml:space="preserve">   Pakistan</v>
      </c>
      <c r="C7650">
        <v>3281111</v>
      </c>
      <c r="D7650">
        <v>775</v>
      </c>
    </row>
    <row r="7651" spans="1:4" x14ac:dyDescent="0.25">
      <c r="A7651" t="str">
        <f>T("630419")</f>
        <v>630419</v>
      </c>
      <c r="B7651" t="str">
        <f>T("Couvre-lits en tous types de matières textiles (autres qu'en bonneterie et sauf linge de lit, couvre-pieds et édredons)")</f>
        <v>Couvre-lits en tous types de matières textiles (autres qu'en bonneterie et sauf linge de lit, couvre-pieds et édredons)</v>
      </c>
    </row>
    <row r="7652" spans="1:4" x14ac:dyDescent="0.25">
      <c r="A7652" t="str">
        <f>T("   ZZZ_Monde")</f>
        <v xml:space="preserve">   ZZZ_Monde</v>
      </c>
      <c r="B7652" t="str">
        <f>T("   ZZZ_Monde")</f>
        <v xml:space="preserve">   ZZZ_Monde</v>
      </c>
      <c r="C7652">
        <v>8957145</v>
      </c>
      <c r="D7652">
        <v>15376</v>
      </c>
    </row>
    <row r="7653" spans="1:4" x14ac:dyDescent="0.25">
      <c r="A7653" t="str">
        <f>T("   CN")</f>
        <v xml:space="preserve">   CN</v>
      </c>
      <c r="B7653" t="str">
        <f>T("   Chine")</f>
        <v xml:space="preserve">   Chine</v>
      </c>
      <c r="C7653">
        <v>6884639</v>
      </c>
      <c r="D7653">
        <v>15342</v>
      </c>
    </row>
    <row r="7654" spans="1:4" x14ac:dyDescent="0.25">
      <c r="A7654" t="str">
        <f>T("   FR")</f>
        <v xml:space="preserve">   FR</v>
      </c>
      <c r="B7654" t="str">
        <f>T("   France")</f>
        <v xml:space="preserve">   France</v>
      </c>
      <c r="C7654">
        <v>2072506</v>
      </c>
      <c r="D7654">
        <v>34</v>
      </c>
    </row>
    <row r="7655" spans="1:4" x14ac:dyDescent="0.25">
      <c r="A7655" t="str">
        <f>T("630491")</f>
        <v>630491</v>
      </c>
      <c r="B7655" t="str">
        <f>T("Articles d'ameublement en bonneterie (sauf couvertures, linge de lit, linge de table, linge de toilette et de cuisine, vitrages, rideaux, stores d'intérieur, cantonnières et tours de lit, couvre-lits, abat-jour et les articles du n° 9404 [sommiers et arti")</f>
        <v>Articles d'ameublement en bonneterie (sauf couvertures, linge de lit, linge de table, linge de toilette et de cuisine, vitrages, rideaux, stores d'intérieur, cantonnières et tours de lit, couvre-lits, abat-jour et les articles du n° 9404 [sommiers et arti</v>
      </c>
    </row>
    <row r="7656" spans="1:4" x14ac:dyDescent="0.25">
      <c r="A7656" t="str">
        <f>T("   ZZZ_Monde")</f>
        <v xml:space="preserve">   ZZZ_Monde</v>
      </c>
      <c r="B7656" t="str">
        <f>T("   ZZZ_Monde")</f>
        <v xml:space="preserve">   ZZZ_Monde</v>
      </c>
      <c r="C7656">
        <v>58837920</v>
      </c>
      <c r="D7656">
        <v>141208</v>
      </c>
    </row>
    <row r="7657" spans="1:4" x14ac:dyDescent="0.25">
      <c r="A7657" t="str">
        <f>T("   CN")</f>
        <v xml:space="preserve">   CN</v>
      </c>
      <c r="B7657" t="str">
        <f>T("   Chine")</f>
        <v xml:space="preserve">   Chine</v>
      </c>
      <c r="C7657">
        <v>28543623</v>
      </c>
      <c r="D7657">
        <v>115659</v>
      </c>
    </row>
    <row r="7658" spans="1:4" x14ac:dyDescent="0.25">
      <c r="A7658" t="str">
        <f>T("   FR")</f>
        <v xml:space="preserve">   FR</v>
      </c>
      <c r="B7658" t="str">
        <f>T("   France")</f>
        <v xml:space="preserve">   France</v>
      </c>
      <c r="C7658">
        <v>66462</v>
      </c>
      <c r="D7658">
        <v>40</v>
      </c>
    </row>
    <row r="7659" spans="1:4" x14ac:dyDescent="0.25">
      <c r="A7659" t="str">
        <f>T("   NG")</f>
        <v xml:space="preserve">   NG</v>
      </c>
      <c r="B7659" t="str">
        <f>T("   Nigéria")</f>
        <v xml:space="preserve">   Nigéria</v>
      </c>
      <c r="C7659">
        <v>389000</v>
      </c>
      <c r="D7659">
        <v>30</v>
      </c>
    </row>
    <row r="7660" spans="1:4" x14ac:dyDescent="0.25">
      <c r="A7660" t="str">
        <f>T("   TG")</f>
        <v xml:space="preserve">   TG</v>
      </c>
      <c r="B7660" t="str">
        <f>T("   Togo")</f>
        <v xml:space="preserve">   Togo</v>
      </c>
      <c r="C7660">
        <v>5929093</v>
      </c>
      <c r="D7660">
        <v>2780</v>
      </c>
    </row>
    <row r="7661" spans="1:4" x14ac:dyDescent="0.25">
      <c r="A7661" t="str">
        <f>T("   TH")</f>
        <v xml:space="preserve">   TH</v>
      </c>
      <c r="B7661" t="str">
        <f>T("   Thaïlande")</f>
        <v xml:space="preserve">   Thaïlande</v>
      </c>
      <c r="C7661">
        <v>23909742</v>
      </c>
      <c r="D7661">
        <v>22699</v>
      </c>
    </row>
    <row r="7662" spans="1:4" x14ac:dyDescent="0.25">
      <c r="A7662" t="str">
        <f>T("630492")</f>
        <v>630492</v>
      </c>
      <c r="B7662" t="str">
        <f>T("Articles d'ameublement, de coton (autres qu'en bonneterie et sauf couvertures, linge de lit, linge de table, linge de toilette et de cuisine, vitrages, rideaux, stores d'intérieur, cantonnières et tours de lit, couvre-lits, abat-jour et les articles du n°")</f>
        <v>Articles d'ameublement, de coton (autres qu'en bonneterie et sauf couvertures, linge de lit, linge de table, linge de toilette et de cuisine, vitrages, rideaux, stores d'intérieur, cantonnières et tours de lit, couvre-lits, abat-jour et les articles du n°</v>
      </c>
    </row>
    <row r="7663" spans="1:4" x14ac:dyDescent="0.25">
      <c r="A7663" t="str">
        <f>T("   ZZZ_Monde")</f>
        <v xml:space="preserve">   ZZZ_Monde</v>
      </c>
      <c r="B7663" t="str">
        <f>T("   ZZZ_Monde")</f>
        <v xml:space="preserve">   ZZZ_Monde</v>
      </c>
      <c r="C7663">
        <v>366108</v>
      </c>
      <c r="D7663">
        <v>3000</v>
      </c>
    </row>
    <row r="7664" spans="1:4" x14ac:dyDescent="0.25">
      <c r="A7664" t="str">
        <f>T("   CN")</f>
        <v xml:space="preserve">   CN</v>
      </c>
      <c r="B7664" t="str">
        <f>T("   Chine")</f>
        <v xml:space="preserve">   Chine</v>
      </c>
      <c r="C7664">
        <v>366108</v>
      </c>
      <c r="D7664">
        <v>3000</v>
      </c>
    </row>
    <row r="7665" spans="1:4" x14ac:dyDescent="0.25">
      <c r="A7665" t="str">
        <f>T("630493")</f>
        <v>630493</v>
      </c>
      <c r="B7665" t="str">
        <f>T("Articles d'ameublement, de fibres synthétiques (autres qu'en bonneterie et sauf couvertures, linge de lit, linge de table, linge de toilette et de cuisine, vitrages, rideaux, stores d'intérieur, cantonnières et tours de lit, couvre-lits, abat-jour et les")</f>
        <v>Articles d'ameublement, de fibres synthétiques (autres qu'en bonneterie et sauf couvertures, linge de lit, linge de table, linge de toilette et de cuisine, vitrages, rideaux, stores d'intérieur, cantonnières et tours de lit, couvre-lits, abat-jour et les</v>
      </c>
    </row>
    <row r="7666" spans="1:4" x14ac:dyDescent="0.25">
      <c r="A7666" t="str">
        <f>T("   ZZZ_Monde")</f>
        <v xml:space="preserve">   ZZZ_Monde</v>
      </c>
      <c r="B7666" t="str">
        <f>T("   ZZZ_Monde")</f>
        <v xml:space="preserve">   ZZZ_Monde</v>
      </c>
      <c r="C7666">
        <v>4508324</v>
      </c>
      <c r="D7666">
        <v>60400</v>
      </c>
    </row>
    <row r="7667" spans="1:4" x14ac:dyDescent="0.25">
      <c r="A7667" t="str">
        <f>T("   CN")</f>
        <v xml:space="preserve">   CN</v>
      </c>
      <c r="B7667" t="str">
        <f>T("   Chine")</f>
        <v xml:space="preserve">   Chine</v>
      </c>
      <c r="C7667">
        <v>4508324</v>
      </c>
      <c r="D7667">
        <v>60400</v>
      </c>
    </row>
    <row r="7668" spans="1:4" x14ac:dyDescent="0.25">
      <c r="A7668" t="str">
        <f>T("630499")</f>
        <v>630499</v>
      </c>
      <c r="B7668" t="str">
        <f>T("Articles d'ameublement, de matières textiles (autres que de coton ou fibres synthétiques, autres qu'en bonneterie et sauf couvertures, linge de lit, linge de table, linge de toilette et de cuisine, vitrages, rideaux, stores d'intérieur, cantonnières et to")</f>
        <v>Articles d'ameublement, de matières textiles (autres que de coton ou fibres synthétiques, autres qu'en bonneterie et sauf couvertures, linge de lit, linge de table, linge de toilette et de cuisine, vitrages, rideaux, stores d'intérieur, cantonnières et to</v>
      </c>
    </row>
    <row r="7669" spans="1:4" x14ac:dyDescent="0.25">
      <c r="A7669" t="str">
        <f>T("   ZZZ_Monde")</f>
        <v xml:space="preserve">   ZZZ_Monde</v>
      </c>
      <c r="B7669" t="str">
        <f>T("   ZZZ_Monde")</f>
        <v xml:space="preserve">   ZZZ_Monde</v>
      </c>
      <c r="C7669">
        <v>22412118</v>
      </c>
      <c r="D7669">
        <v>42461</v>
      </c>
    </row>
    <row r="7670" spans="1:4" x14ac:dyDescent="0.25">
      <c r="A7670" t="str">
        <f>T("   CN")</f>
        <v xml:space="preserve">   CN</v>
      </c>
      <c r="B7670" t="str">
        <f>T("   Chine")</f>
        <v xml:space="preserve">   Chine</v>
      </c>
      <c r="C7670">
        <v>13316118</v>
      </c>
      <c r="D7670">
        <v>9860</v>
      </c>
    </row>
    <row r="7671" spans="1:4" x14ac:dyDescent="0.25">
      <c r="A7671" t="str">
        <f>T("   GH")</f>
        <v xml:space="preserve">   GH</v>
      </c>
      <c r="B7671" t="str">
        <f>T("   Ghana")</f>
        <v xml:space="preserve">   Ghana</v>
      </c>
      <c r="C7671">
        <v>500000</v>
      </c>
      <c r="D7671">
        <v>1055</v>
      </c>
    </row>
    <row r="7672" spans="1:4" x14ac:dyDescent="0.25">
      <c r="A7672" t="str">
        <f>T("   TG")</f>
        <v xml:space="preserve">   TG</v>
      </c>
      <c r="B7672" t="str">
        <f>T("   Togo")</f>
        <v xml:space="preserve">   Togo</v>
      </c>
      <c r="C7672">
        <v>8596000</v>
      </c>
      <c r="D7672">
        <v>31546</v>
      </c>
    </row>
    <row r="7673" spans="1:4" x14ac:dyDescent="0.25">
      <c r="A7673" t="str">
        <f>T("630510")</f>
        <v>630510</v>
      </c>
      <c r="B7673" t="str">
        <f>T("Sacs et sachets d'emballage de jute ou d'autres fibres textiles libériennes du n° 5303")</f>
        <v>Sacs et sachets d'emballage de jute ou d'autres fibres textiles libériennes du n° 5303</v>
      </c>
    </row>
    <row r="7674" spans="1:4" x14ac:dyDescent="0.25">
      <c r="A7674" t="str">
        <f>T("   ZZZ_Monde")</f>
        <v xml:space="preserve">   ZZZ_Monde</v>
      </c>
      <c r="B7674" t="str">
        <f>T("   ZZZ_Monde")</f>
        <v xml:space="preserve">   ZZZ_Monde</v>
      </c>
      <c r="C7674">
        <v>414569727</v>
      </c>
      <c r="D7674">
        <v>1608392</v>
      </c>
    </row>
    <row r="7675" spans="1:4" x14ac:dyDescent="0.25">
      <c r="A7675" t="str">
        <f>T("   BD")</f>
        <v xml:space="preserve">   BD</v>
      </c>
      <c r="B7675" t="str">
        <f>T("   Bangladesh")</f>
        <v xml:space="preserve">   Bangladesh</v>
      </c>
      <c r="C7675">
        <v>83924820</v>
      </c>
      <c r="D7675">
        <v>285768</v>
      </c>
    </row>
    <row r="7676" spans="1:4" x14ac:dyDescent="0.25">
      <c r="A7676" t="str">
        <f>T("   CA")</f>
        <v xml:space="preserve">   CA</v>
      </c>
      <c r="B7676" t="str">
        <f>T("   Canada")</f>
        <v xml:space="preserve">   Canada</v>
      </c>
      <c r="C7676">
        <v>4738723</v>
      </c>
      <c r="D7676">
        <v>61750</v>
      </c>
    </row>
    <row r="7677" spans="1:4" x14ac:dyDescent="0.25">
      <c r="A7677" t="str">
        <f>T("   CN")</f>
        <v xml:space="preserve">   CN</v>
      </c>
      <c r="B7677" t="str">
        <f>T("   Chine")</f>
        <v xml:space="preserve">   Chine</v>
      </c>
      <c r="C7677">
        <v>22779296</v>
      </c>
      <c r="D7677">
        <v>57560</v>
      </c>
    </row>
    <row r="7678" spans="1:4" x14ac:dyDescent="0.25">
      <c r="A7678" t="str">
        <f>T("   FR")</f>
        <v xml:space="preserve">   FR</v>
      </c>
      <c r="B7678" t="str">
        <f>T("   France")</f>
        <v xml:space="preserve">   France</v>
      </c>
      <c r="C7678">
        <v>63003646</v>
      </c>
      <c r="D7678">
        <v>28014</v>
      </c>
    </row>
    <row r="7679" spans="1:4" x14ac:dyDescent="0.25">
      <c r="A7679" t="str">
        <f>T("   GB")</f>
        <v xml:space="preserve">   GB</v>
      </c>
      <c r="B7679" t="str">
        <f>T("   Royaume-Uni")</f>
        <v xml:space="preserve">   Royaume-Uni</v>
      </c>
      <c r="C7679">
        <v>30264721</v>
      </c>
      <c r="D7679">
        <v>97125</v>
      </c>
    </row>
    <row r="7680" spans="1:4" x14ac:dyDescent="0.25">
      <c r="A7680" t="str">
        <f>T("   GH")</f>
        <v xml:space="preserve">   GH</v>
      </c>
      <c r="B7680" t="str">
        <f>T("   Ghana")</f>
        <v xml:space="preserve">   Ghana</v>
      </c>
      <c r="C7680">
        <v>27875161</v>
      </c>
      <c r="D7680">
        <v>222540</v>
      </c>
    </row>
    <row r="7681" spans="1:4" x14ac:dyDescent="0.25">
      <c r="A7681" t="str">
        <f>T("   IN")</f>
        <v xml:space="preserve">   IN</v>
      </c>
      <c r="B7681" t="str">
        <f>T("   Inde")</f>
        <v xml:space="preserve">   Inde</v>
      </c>
      <c r="C7681">
        <v>57105322</v>
      </c>
      <c r="D7681">
        <v>157249</v>
      </c>
    </row>
    <row r="7682" spans="1:4" x14ac:dyDescent="0.25">
      <c r="A7682" t="str">
        <f>T("   NG")</f>
        <v xml:space="preserve">   NG</v>
      </c>
      <c r="B7682" t="str">
        <f>T("   Nigéria")</f>
        <v xml:space="preserve">   Nigéria</v>
      </c>
      <c r="C7682">
        <v>120000</v>
      </c>
      <c r="D7682">
        <v>200</v>
      </c>
    </row>
    <row r="7683" spans="1:4" x14ac:dyDescent="0.25">
      <c r="A7683" t="str">
        <f>T("   SG")</f>
        <v xml:space="preserve">   SG</v>
      </c>
      <c r="B7683" t="str">
        <f>T("   Singapour")</f>
        <v xml:space="preserve">   Singapour</v>
      </c>
      <c r="C7683">
        <v>48208230</v>
      </c>
      <c r="D7683">
        <v>97356</v>
      </c>
    </row>
    <row r="7684" spans="1:4" x14ac:dyDescent="0.25">
      <c r="A7684" t="str">
        <f>T("   TG")</f>
        <v xml:space="preserve">   TG</v>
      </c>
      <c r="B7684" t="str">
        <f>T("   Togo")</f>
        <v xml:space="preserve">   Togo</v>
      </c>
      <c r="C7684">
        <v>69841203</v>
      </c>
      <c r="D7684">
        <v>498523</v>
      </c>
    </row>
    <row r="7685" spans="1:4" x14ac:dyDescent="0.25">
      <c r="A7685" t="str">
        <f>T("   TH")</f>
        <v xml:space="preserve">   TH</v>
      </c>
      <c r="B7685" t="str">
        <f>T("   Thaïlande")</f>
        <v xml:space="preserve">   Thaïlande</v>
      </c>
      <c r="C7685">
        <v>145624</v>
      </c>
      <c r="D7685">
        <v>155</v>
      </c>
    </row>
    <row r="7686" spans="1:4" x14ac:dyDescent="0.25">
      <c r="A7686" t="str">
        <f>T("   US")</f>
        <v xml:space="preserve">   US</v>
      </c>
      <c r="B7686" t="str">
        <f>T("   Etats-Unis")</f>
        <v xml:space="preserve">   Etats-Unis</v>
      </c>
      <c r="C7686">
        <v>6562981</v>
      </c>
      <c r="D7686">
        <v>102152</v>
      </c>
    </row>
    <row r="7687" spans="1:4" x14ac:dyDescent="0.25">
      <c r="A7687" t="str">
        <f>T("630520")</f>
        <v>630520</v>
      </c>
      <c r="B7687" t="str">
        <f>T("SACS ET SACHETS D'EMBALLAGE DE COTON")</f>
        <v>SACS ET SACHETS D'EMBALLAGE DE COTON</v>
      </c>
    </row>
    <row r="7688" spans="1:4" x14ac:dyDescent="0.25">
      <c r="A7688" t="str">
        <f>T("   ZZZ_Monde")</f>
        <v xml:space="preserve">   ZZZ_Monde</v>
      </c>
      <c r="B7688" t="str">
        <f>T("   ZZZ_Monde")</f>
        <v xml:space="preserve">   ZZZ_Monde</v>
      </c>
      <c r="C7688">
        <v>46706291</v>
      </c>
      <c r="D7688">
        <v>24060</v>
      </c>
    </row>
    <row r="7689" spans="1:4" x14ac:dyDescent="0.25">
      <c r="A7689" t="str">
        <f>T("   CN")</f>
        <v xml:space="preserve">   CN</v>
      </c>
      <c r="B7689" t="str">
        <f>T("   Chine")</f>
        <v xml:space="preserve">   Chine</v>
      </c>
      <c r="C7689">
        <v>31562691</v>
      </c>
      <c r="D7689">
        <v>16000</v>
      </c>
    </row>
    <row r="7690" spans="1:4" x14ac:dyDescent="0.25">
      <c r="A7690" t="str">
        <f>T("   FR")</f>
        <v xml:space="preserve">   FR</v>
      </c>
      <c r="B7690" t="str">
        <f>T("   France")</f>
        <v xml:space="preserve">   France</v>
      </c>
      <c r="C7690">
        <v>30174</v>
      </c>
      <c r="D7690">
        <v>60</v>
      </c>
    </row>
    <row r="7691" spans="1:4" x14ac:dyDescent="0.25">
      <c r="A7691" t="str">
        <f>T("   ZA")</f>
        <v xml:space="preserve">   ZA</v>
      </c>
      <c r="B7691" t="str">
        <f>T("   Afrique du Sud")</f>
        <v xml:space="preserve">   Afrique du Sud</v>
      </c>
      <c r="C7691">
        <v>15113426</v>
      </c>
      <c r="D7691">
        <v>8000</v>
      </c>
    </row>
    <row r="7692" spans="1:4" x14ac:dyDescent="0.25">
      <c r="A7692" t="str">
        <f>T("630532")</f>
        <v>630532</v>
      </c>
      <c r="B7692" t="str">
        <f>T("Contenants souples d'emballage pour matières en vrac, de matières textiles synthétiques ou artificielles")</f>
        <v>Contenants souples d'emballage pour matières en vrac, de matières textiles synthétiques ou artificielles</v>
      </c>
    </row>
    <row r="7693" spans="1:4" x14ac:dyDescent="0.25">
      <c r="A7693" t="str">
        <f>T("   ZZZ_Monde")</f>
        <v xml:space="preserve">   ZZZ_Monde</v>
      </c>
      <c r="B7693" t="str">
        <f>T("   ZZZ_Monde")</f>
        <v xml:space="preserve">   ZZZ_Monde</v>
      </c>
      <c r="C7693">
        <v>7073348</v>
      </c>
      <c r="D7693">
        <v>1500</v>
      </c>
    </row>
    <row r="7694" spans="1:4" x14ac:dyDescent="0.25">
      <c r="A7694" t="str">
        <f>T("   ES")</f>
        <v xml:space="preserve">   ES</v>
      </c>
      <c r="B7694" t="str">
        <f>T("   Espagne")</f>
        <v xml:space="preserve">   Espagne</v>
      </c>
      <c r="C7694">
        <v>7073348</v>
      </c>
      <c r="D7694">
        <v>1500</v>
      </c>
    </row>
    <row r="7695" spans="1:4" x14ac:dyDescent="0.25">
      <c r="A7695" t="str">
        <f>T("630533")</f>
        <v>630533</v>
      </c>
      <c r="B7695" t="str">
        <f>T("Sacs et sachets d'emballage obtenus à partir de lames ou formes simil., de polyéthylène ou polypropylène (à l'excl. des contenants souples pour matières en vrac)")</f>
        <v>Sacs et sachets d'emballage obtenus à partir de lames ou formes simil., de polyéthylène ou polypropylène (à l'excl. des contenants souples pour matières en vrac)</v>
      </c>
    </row>
    <row r="7696" spans="1:4" x14ac:dyDescent="0.25">
      <c r="A7696" t="str">
        <f>T("   ZZZ_Monde")</f>
        <v xml:space="preserve">   ZZZ_Monde</v>
      </c>
      <c r="B7696" t="str">
        <f>T("   ZZZ_Monde")</f>
        <v xml:space="preserve">   ZZZ_Monde</v>
      </c>
      <c r="C7696">
        <v>259491543</v>
      </c>
      <c r="D7696">
        <v>366150</v>
      </c>
    </row>
    <row r="7697" spans="1:4" x14ac:dyDescent="0.25">
      <c r="A7697" t="str">
        <f>T("   AE")</f>
        <v xml:space="preserve">   AE</v>
      </c>
      <c r="B7697" t="str">
        <f>T("   Emirats Arabes Unis")</f>
        <v xml:space="preserve">   Emirats Arabes Unis</v>
      </c>
      <c r="C7697">
        <v>3157514</v>
      </c>
      <c r="D7697">
        <v>6040</v>
      </c>
    </row>
    <row r="7698" spans="1:4" x14ac:dyDescent="0.25">
      <c r="A7698" t="str">
        <f>T("   CH")</f>
        <v xml:space="preserve">   CH</v>
      </c>
      <c r="B7698" t="str">
        <f>T("   Suisse")</f>
        <v xml:space="preserve">   Suisse</v>
      </c>
      <c r="C7698">
        <v>713361</v>
      </c>
      <c r="D7698">
        <v>29800</v>
      </c>
    </row>
    <row r="7699" spans="1:4" x14ac:dyDescent="0.25">
      <c r="A7699" t="str">
        <f>T("   CI")</f>
        <v xml:space="preserve">   CI</v>
      </c>
      <c r="B7699" t="str">
        <f>T("   Côte d'Ivoire")</f>
        <v xml:space="preserve">   Côte d'Ivoire</v>
      </c>
      <c r="C7699">
        <v>113510000</v>
      </c>
      <c r="D7699">
        <v>68990</v>
      </c>
    </row>
    <row r="7700" spans="1:4" x14ac:dyDescent="0.25">
      <c r="A7700" t="str">
        <f>T("   CN")</f>
        <v xml:space="preserve">   CN</v>
      </c>
      <c r="B7700" t="str">
        <f>T("   Chine")</f>
        <v xml:space="preserve">   Chine</v>
      </c>
      <c r="C7700">
        <v>61737932</v>
      </c>
      <c r="D7700">
        <v>46905</v>
      </c>
    </row>
    <row r="7701" spans="1:4" x14ac:dyDescent="0.25">
      <c r="A7701" t="str">
        <f>T("   FR")</f>
        <v xml:space="preserve">   FR</v>
      </c>
      <c r="B7701" t="str">
        <f>T("   France")</f>
        <v xml:space="preserve">   France</v>
      </c>
      <c r="C7701">
        <v>178332</v>
      </c>
      <c r="D7701">
        <v>1205</v>
      </c>
    </row>
    <row r="7702" spans="1:4" x14ac:dyDescent="0.25">
      <c r="A7702" t="str">
        <f>T("   GB")</f>
        <v xml:space="preserve">   GB</v>
      </c>
      <c r="B7702" t="str">
        <f>T("   Royaume-Uni")</f>
        <v xml:space="preserve">   Royaume-Uni</v>
      </c>
      <c r="C7702">
        <v>305698</v>
      </c>
      <c r="D7702">
        <v>937</v>
      </c>
    </row>
    <row r="7703" spans="1:4" x14ac:dyDescent="0.25">
      <c r="A7703" t="str">
        <f>T("   HK")</f>
        <v xml:space="preserve">   HK</v>
      </c>
      <c r="B7703" t="str">
        <f>T("   Hong-Kong")</f>
        <v xml:space="preserve">   Hong-Kong</v>
      </c>
      <c r="C7703">
        <v>80000</v>
      </c>
      <c r="D7703">
        <v>112</v>
      </c>
    </row>
    <row r="7704" spans="1:4" x14ac:dyDescent="0.25">
      <c r="A7704" t="str">
        <f>T("   ID")</f>
        <v xml:space="preserve">   ID</v>
      </c>
      <c r="B7704" t="str">
        <f>T("   Indonésie")</f>
        <v xml:space="preserve">   Indonésie</v>
      </c>
      <c r="C7704">
        <v>27125495</v>
      </c>
      <c r="D7704">
        <v>24825</v>
      </c>
    </row>
    <row r="7705" spans="1:4" x14ac:dyDescent="0.25">
      <c r="A7705" t="str">
        <f>T("   IN")</f>
        <v xml:space="preserve">   IN</v>
      </c>
      <c r="B7705" t="str">
        <f>T("   Inde")</f>
        <v xml:space="preserve">   Inde</v>
      </c>
      <c r="C7705">
        <v>2022924</v>
      </c>
      <c r="D7705">
        <v>90184</v>
      </c>
    </row>
    <row r="7706" spans="1:4" x14ac:dyDescent="0.25">
      <c r="A7706" t="str">
        <f>T("   NG")</f>
        <v xml:space="preserve">   NG</v>
      </c>
      <c r="B7706" t="str">
        <f>T("   Nigéria")</f>
        <v xml:space="preserve">   Nigéria</v>
      </c>
      <c r="C7706">
        <v>5697650</v>
      </c>
      <c r="D7706">
        <v>38043</v>
      </c>
    </row>
    <row r="7707" spans="1:4" x14ac:dyDescent="0.25">
      <c r="A7707" t="str">
        <f>T("   TG")</f>
        <v xml:space="preserve">   TG</v>
      </c>
      <c r="B7707" t="str">
        <f>T("   Togo")</f>
        <v xml:space="preserve">   Togo</v>
      </c>
      <c r="C7707">
        <v>1000000</v>
      </c>
      <c r="D7707">
        <v>300</v>
      </c>
    </row>
    <row r="7708" spans="1:4" x14ac:dyDescent="0.25">
      <c r="A7708" t="str">
        <f>T("   TH")</f>
        <v xml:space="preserve">   TH</v>
      </c>
      <c r="B7708" t="str">
        <f>T("   Thaïlande")</f>
        <v xml:space="preserve">   Thaïlande</v>
      </c>
      <c r="C7708">
        <v>35403743</v>
      </c>
      <c r="D7708">
        <v>16660</v>
      </c>
    </row>
    <row r="7709" spans="1:4" x14ac:dyDescent="0.25">
      <c r="A7709" t="str">
        <f>T("   TR")</f>
        <v xml:space="preserve">   TR</v>
      </c>
      <c r="B7709" t="str">
        <f>T("   Turquie")</f>
        <v xml:space="preserve">   Turquie</v>
      </c>
      <c r="C7709">
        <v>1088894</v>
      </c>
      <c r="D7709">
        <v>1190</v>
      </c>
    </row>
    <row r="7710" spans="1:4" x14ac:dyDescent="0.25">
      <c r="A7710" t="str">
        <f>T("   US")</f>
        <v xml:space="preserve">   US</v>
      </c>
      <c r="B7710" t="str">
        <f>T("   Etats-Unis")</f>
        <v xml:space="preserve">   Etats-Unis</v>
      </c>
      <c r="C7710">
        <v>7470000</v>
      </c>
      <c r="D7710">
        <v>40959</v>
      </c>
    </row>
    <row r="7711" spans="1:4" x14ac:dyDescent="0.25">
      <c r="A7711" t="str">
        <f>T("630539")</f>
        <v>630539</v>
      </c>
      <c r="B7711" t="str">
        <f>T("Sacs et sachets d'emballage de matières synthétiques ou artificielles (autres qu'en lames ou formes simil. de polyéthylène ou de polypropylène ainsi que contenants souples pour matières en vrac)")</f>
        <v>Sacs et sachets d'emballage de matières synthétiques ou artificielles (autres qu'en lames ou formes simil. de polyéthylène ou de polypropylène ainsi que contenants souples pour matières en vrac)</v>
      </c>
    </row>
    <row r="7712" spans="1:4" x14ac:dyDescent="0.25">
      <c r="A7712" t="str">
        <f>T("   ZZZ_Monde")</f>
        <v xml:space="preserve">   ZZZ_Monde</v>
      </c>
      <c r="B7712" t="str">
        <f>T("   ZZZ_Monde")</f>
        <v xml:space="preserve">   ZZZ_Monde</v>
      </c>
      <c r="C7712">
        <v>13295874</v>
      </c>
      <c r="D7712">
        <v>46892</v>
      </c>
    </row>
    <row r="7713" spans="1:4" x14ac:dyDescent="0.25">
      <c r="A7713" t="str">
        <f>T("   BR")</f>
        <v xml:space="preserve">   BR</v>
      </c>
      <c r="B7713" t="str">
        <f>T("   Brésil")</f>
        <v xml:space="preserve">   Brésil</v>
      </c>
      <c r="C7713">
        <v>40000</v>
      </c>
      <c r="D7713">
        <v>80</v>
      </c>
    </row>
    <row r="7714" spans="1:4" x14ac:dyDescent="0.25">
      <c r="A7714" t="str">
        <f>T("   CN")</f>
        <v xml:space="preserve">   CN</v>
      </c>
      <c r="B7714" t="str">
        <f>T("   Chine")</f>
        <v xml:space="preserve">   Chine</v>
      </c>
      <c r="C7714">
        <v>7634000</v>
      </c>
      <c r="D7714">
        <v>25000</v>
      </c>
    </row>
    <row r="7715" spans="1:4" x14ac:dyDescent="0.25">
      <c r="A7715" t="str">
        <f>T("   DK")</f>
        <v xml:space="preserve">   DK</v>
      </c>
      <c r="B7715" t="str">
        <f>T("   Danemark")</f>
        <v xml:space="preserve">   Danemark</v>
      </c>
      <c r="C7715">
        <v>152000</v>
      </c>
      <c r="D7715">
        <v>126</v>
      </c>
    </row>
    <row r="7716" spans="1:4" x14ac:dyDescent="0.25">
      <c r="A7716" t="str">
        <f>T("   FR")</f>
        <v xml:space="preserve">   FR</v>
      </c>
      <c r="B7716" t="str">
        <f>T("   France")</f>
        <v xml:space="preserve">   France</v>
      </c>
      <c r="C7716">
        <v>1325072</v>
      </c>
      <c r="D7716">
        <v>371</v>
      </c>
    </row>
    <row r="7717" spans="1:4" x14ac:dyDescent="0.25">
      <c r="A7717" t="str">
        <f>T("   GB")</f>
        <v xml:space="preserve">   GB</v>
      </c>
      <c r="B7717" t="str">
        <f>T("   Royaume-Uni")</f>
        <v xml:space="preserve">   Royaume-Uni</v>
      </c>
      <c r="C7717">
        <v>200000</v>
      </c>
      <c r="D7717">
        <v>500</v>
      </c>
    </row>
    <row r="7718" spans="1:4" x14ac:dyDescent="0.25">
      <c r="A7718" t="str">
        <f>T("   IN")</f>
        <v xml:space="preserve">   IN</v>
      </c>
      <c r="B7718" t="str">
        <f>T("   Inde")</f>
        <v xml:space="preserve">   Inde</v>
      </c>
      <c r="C7718">
        <v>3240000</v>
      </c>
      <c r="D7718">
        <v>17150</v>
      </c>
    </row>
    <row r="7719" spans="1:4" x14ac:dyDescent="0.25">
      <c r="A7719" t="str">
        <f>T("   TG")</f>
        <v xml:space="preserve">   TG</v>
      </c>
      <c r="B7719" t="str">
        <f>T("   Togo")</f>
        <v xml:space="preserve">   Togo</v>
      </c>
      <c r="C7719">
        <v>704802</v>
      </c>
      <c r="D7719">
        <v>3665</v>
      </c>
    </row>
    <row r="7720" spans="1:4" x14ac:dyDescent="0.25">
      <c r="A7720" t="str">
        <f>T("630590")</f>
        <v>630590</v>
      </c>
      <c r="B7720" t="str">
        <f>T("Sacs et sachets d'emballage de matières textiles (autres qu'en matières textiles synthétiques ou artificielles, coton, jute ou autres fibres textiles libérienne du n° 5303)")</f>
        <v>Sacs et sachets d'emballage de matières textiles (autres qu'en matières textiles synthétiques ou artificielles, coton, jute ou autres fibres textiles libérienne du n° 5303)</v>
      </c>
    </row>
    <row r="7721" spans="1:4" x14ac:dyDescent="0.25">
      <c r="A7721" t="str">
        <f>T("   ZZZ_Monde")</f>
        <v xml:space="preserve">   ZZZ_Monde</v>
      </c>
      <c r="B7721" t="str">
        <f>T("   ZZZ_Monde")</f>
        <v xml:space="preserve">   ZZZ_Monde</v>
      </c>
      <c r="C7721">
        <v>145012110</v>
      </c>
      <c r="D7721">
        <v>61091</v>
      </c>
    </row>
    <row r="7722" spans="1:4" x14ac:dyDescent="0.25">
      <c r="A7722" t="str">
        <f>T("   CN")</f>
        <v xml:space="preserve">   CN</v>
      </c>
      <c r="B7722" t="str">
        <f>T("   Chine")</f>
        <v xml:space="preserve">   Chine</v>
      </c>
      <c r="C7722">
        <v>140408089</v>
      </c>
      <c r="D7722">
        <v>49000</v>
      </c>
    </row>
    <row r="7723" spans="1:4" x14ac:dyDescent="0.25">
      <c r="A7723" t="str">
        <f>T("   FR")</f>
        <v xml:space="preserve">   FR</v>
      </c>
      <c r="B7723" t="str">
        <f>T("   France")</f>
        <v xml:space="preserve">   France</v>
      </c>
      <c r="C7723">
        <v>105465</v>
      </c>
      <c r="D7723">
        <v>427</v>
      </c>
    </row>
    <row r="7724" spans="1:4" x14ac:dyDescent="0.25">
      <c r="A7724" t="str">
        <f>T("   HK")</f>
        <v xml:space="preserve">   HK</v>
      </c>
      <c r="B7724" t="str">
        <f>T("   Hong-Kong")</f>
        <v xml:space="preserve">   Hong-Kong</v>
      </c>
      <c r="C7724">
        <v>80462</v>
      </c>
      <c r="D7724">
        <v>100</v>
      </c>
    </row>
    <row r="7725" spans="1:4" x14ac:dyDescent="0.25">
      <c r="A7725" t="str">
        <f>T("   IN")</f>
        <v xml:space="preserve">   IN</v>
      </c>
      <c r="B7725" t="str">
        <f>T("   Inde")</f>
        <v xml:space="preserve">   Inde</v>
      </c>
      <c r="C7725">
        <v>300531</v>
      </c>
      <c r="D7725">
        <v>500</v>
      </c>
    </row>
    <row r="7726" spans="1:4" x14ac:dyDescent="0.25">
      <c r="A7726" t="str">
        <f>T("   TG")</f>
        <v xml:space="preserve">   TG</v>
      </c>
      <c r="B7726" t="str">
        <f>T("   Togo")</f>
        <v xml:space="preserve">   Togo</v>
      </c>
      <c r="C7726">
        <v>1162206</v>
      </c>
      <c r="D7726">
        <v>7700</v>
      </c>
    </row>
    <row r="7727" spans="1:4" x14ac:dyDescent="0.25">
      <c r="A7727" t="str">
        <f>T("   TH")</f>
        <v xml:space="preserve">   TH</v>
      </c>
      <c r="B7727" t="str">
        <f>T("   Thaïlande")</f>
        <v xml:space="preserve">   Thaïlande</v>
      </c>
      <c r="C7727">
        <v>29518</v>
      </c>
      <c r="D7727">
        <v>300</v>
      </c>
    </row>
    <row r="7728" spans="1:4" x14ac:dyDescent="0.25">
      <c r="A7728" t="str">
        <f>T("   UY")</f>
        <v xml:space="preserve">   UY</v>
      </c>
      <c r="B7728" t="str">
        <f>T("   Uruguay")</f>
        <v xml:space="preserve">   Uruguay</v>
      </c>
      <c r="C7728">
        <v>9839</v>
      </c>
      <c r="D7728">
        <v>64</v>
      </c>
    </row>
    <row r="7729" spans="1:4" x14ac:dyDescent="0.25">
      <c r="A7729" t="str">
        <f>T("   Z2")</f>
        <v xml:space="preserve">   Z2</v>
      </c>
      <c r="B7729" t="str">
        <f>T("   Pays non défini")</f>
        <v xml:space="preserve">   Pays non défini</v>
      </c>
      <c r="C7729">
        <v>2916000</v>
      </c>
      <c r="D7729">
        <v>3000</v>
      </c>
    </row>
    <row r="7730" spans="1:4" x14ac:dyDescent="0.25">
      <c r="A7730" t="str">
        <f>T("630611")</f>
        <v>630611</v>
      </c>
      <c r="B7730" t="str">
        <f>T("Bâches et stores d'extérieur de coton (sauf auvents plats en tissus légers, confectionnés selon le type de bâche)")</f>
        <v>Bâches et stores d'extérieur de coton (sauf auvents plats en tissus légers, confectionnés selon le type de bâche)</v>
      </c>
    </row>
    <row r="7731" spans="1:4" x14ac:dyDescent="0.25">
      <c r="A7731" t="str">
        <f>T("   ZZZ_Monde")</f>
        <v xml:space="preserve">   ZZZ_Monde</v>
      </c>
      <c r="B7731" t="str">
        <f>T("   ZZZ_Monde")</f>
        <v xml:space="preserve">   ZZZ_Monde</v>
      </c>
      <c r="C7731">
        <v>773000</v>
      </c>
      <c r="D7731">
        <v>526</v>
      </c>
    </row>
    <row r="7732" spans="1:4" x14ac:dyDescent="0.25">
      <c r="A7732" t="str">
        <f>T("   NG")</f>
        <v xml:space="preserve">   NG</v>
      </c>
      <c r="B7732" t="str">
        <f>T("   Nigéria")</f>
        <v xml:space="preserve">   Nigéria</v>
      </c>
      <c r="C7732">
        <v>773000</v>
      </c>
      <c r="D7732">
        <v>526</v>
      </c>
    </row>
    <row r="7733" spans="1:4" x14ac:dyDescent="0.25">
      <c r="A7733" t="str">
        <f>T("630612")</f>
        <v>630612</v>
      </c>
      <c r="B7733" t="str">
        <f>T("Bâches et stores d'extérieur de fibres synthétiques (sauf auvents plats en tissus légers, confectionnés selon le type de bâche)")</f>
        <v>Bâches et stores d'extérieur de fibres synthétiques (sauf auvents plats en tissus légers, confectionnés selon le type de bâche)</v>
      </c>
    </row>
    <row r="7734" spans="1:4" x14ac:dyDescent="0.25">
      <c r="A7734" t="str">
        <f>T("   ZZZ_Monde")</f>
        <v xml:space="preserve">   ZZZ_Monde</v>
      </c>
      <c r="B7734" t="str">
        <f>T("   ZZZ_Monde")</f>
        <v xml:space="preserve">   ZZZ_Monde</v>
      </c>
      <c r="C7734">
        <v>1006529</v>
      </c>
      <c r="D7734">
        <v>1122</v>
      </c>
    </row>
    <row r="7735" spans="1:4" x14ac:dyDescent="0.25">
      <c r="A7735" t="str">
        <f>T("   BE")</f>
        <v xml:space="preserve">   BE</v>
      </c>
      <c r="B7735" t="str">
        <f>T("   Belgique")</f>
        <v xml:space="preserve">   Belgique</v>
      </c>
      <c r="C7735">
        <v>150000</v>
      </c>
      <c r="D7735">
        <v>250</v>
      </c>
    </row>
    <row r="7736" spans="1:4" x14ac:dyDescent="0.25">
      <c r="A7736" t="str">
        <f>T("   FR")</f>
        <v xml:space="preserve">   FR</v>
      </c>
      <c r="B7736" t="str">
        <f>T("   France")</f>
        <v xml:space="preserve">   France</v>
      </c>
      <c r="C7736">
        <v>286529</v>
      </c>
      <c r="D7736">
        <v>644</v>
      </c>
    </row>
    <row r="7737" spans="1:4" x14ac:dyDescent="0.25">
      <c r="A7737" t="str">
        <f>T("   NG")</f>
        <v xml:space="preserve">   NG</v>
      </c>
      <c r="B7737" t="str">
        <f>T("   Nigéria")</f>
        <v xml:space="preserve">   Nigéria</v>
      </c>
      <c r="C7737">
        <v>570000</v>
      </c>
      <c r="D7737">
        <v>228</v>
      </c>
    </row>
    <row r="7738" spans="1:4" x14ac:dyDescent="0.25">
      <c r="A7738" t="str">
        <f>T("630619")</f>
        <v>630619</v>
      </c>
      <c r="B7738" t="str">
        <f>T("Bâches et stores d'extérieur de matières textiles (autres que de coton ou fibres synthétiques et sauf auvents plats en tissus légers, confectionnés selon le type de bâche)")</f>
        <v>Bâches et stores d'extérieur de matières textiles (autres que de coton ou fibres synthétiques et sauf auvents plats en tissus légers, confectionnés selon le type de bâche)</v>
      </c>
    </row>
    <row r="7739" spans="1:4" x14ac:dyDescent="0.25">
      <c r="A7739" t="str">
        <f>T("   ZZZ_Monde")</f>
        <v xml:space="preserve">   ZZZ_Monde</v>
      </c>
      <c r="B7739" t="str">
        <f>T("   ZZZ_Monde")</f>
        <v xml:space="preserve">   ZZZ_Monde</v>
      </c>
      <c r="C7739">
        <v>5558921</v>
      </c>
      <c r="D7739">
        <v>7255</v>
      </c>
    </row>
    <row r="7740" spans="1:4" x14ac:dyDescent="0.25">
      <c r="A7740" t="str">
        <f>T("   CN")</f>
        <v xml:space="preserve">   CN</v>
      </c>
      <c r="B7740" t="str">
        <f>T("   Chine")</f>
        <v xml:space="preserve">   Chine</v>
      </c>
      <c r="C7740">
        <v>1257335</v>
      </c>
      <c r="D7740">
        <v>5000</v>
      </c>
    </row>
    <row r="7741" spans="1:4" x14ac:dyDescent="0.25">
      <c r="A7741" t="str">
        <f>T("   FR")</f>
        <v xml:space="preserve">   FR</v>
      </c>
      <c r="B7741" t="str">
        <f>T("   France")</f>
        <v xml:space="preserve">   France</v>
      </c>
      <c r="C7741">
        <v>1764086</v>
      </c>
      <c r="D7741">
        <v>1100</v>
      </c>
    </row>
    <row r="7742" spans="1:4" x14ac:dyDescent="0.25">
      <c r="A7742" t="str">
        <f>T("   NG")</f>
        <v xml:space="preserve">   NG</v>
      </c>
      <c r="B7742" t="str">
        <f>T("   Nigéria")</f>
        <v xml:space="preserve">   Nigéria</v>
      </c>
      <c r="C7742">
        <v>2537500</v>
      </c>
      <c r="D7742">
        <v>1155</v>
      </c>
    </row>
    <row r="7743" spans="1:4" x14ac:dyDescent="0.25">
      <c r="A7743" t="str">
        <f>T("630621")</f>
        <v>630621</v>
      </c>
      <c r="B7743" t="str">
        <f>T("Tentes de coton (sauf paravents)")</f>
        <v>Tentes de coton (sauf paravents)</v>
      </c>
    </row>
    <row r="7744" spans="1:4" x14ac:dyDescent="0.25">
      <c r="A7744" t="str">
        <f>T("   ZZZ_Monde")</f>
        <v xml:space="preserve">   ZZZ_Monde</v>
      </c>
      <c r="B7744" t="str">
        <f>T("   ZZZ_Monde")</f>
        <v xml:space="preserve">   ZZZ_Monde</v>
      </c>
      <c r="C7744">
        <v>239970</v>
      </c>
      <c r="D7744">
        <v>380</v>
      </c>
    </row>
    <row r="7745" spans="1:4" x14ac:dyDescent="0.25">
      <c r="A7745" t="str">
        <f>T("   CN")</f>
        <v xml:space="preserve">   CN</v>
      </c>
      <c r="B7745" t="str">
        <f>T("   Chine")</f>
        <v xml:space="preserve">   Chine</v>
      </c>
      <c r="C7745">
        <v>239970</v>
      </c>
      <c r="D7745">
        <v>380</v>
      </c>
    </row>
    <row r="7746" spans="1:4" x14ac:dyDescent="0.25">
      <c r="A7746" t="str">
        <f>T("630622")</f>
        <v>630622</v>
      </c>
      <c r="B7746" t="str">
        <f>T("Tentes de fibres synthétiques (sauf paravents)")</f>
        <v>Tentes de fibres synthétiques (sauf paravents)</v>
      </c>
    </row>
    <row r="7747" spans="1:4" x14ac:dyDescent="0.25">
      <c r="A7747" t="str">
        <f>T("   ZZZ_Monde")</f>
        <v xml:space="preserve">   ZZZ_Monde</v>
      </c>
      <c r="B7747" t="str">
        <f>T("   ZZZ_Monde")</f>
        <v xml:space="preserve">   ZZZ_Monde</v>
      </c>
      <c r="C7747">
        <v>132751</v>
      </c>
      <c r="D7747">
        <v>655</v>
      </c>
    </row>
    <row r="7748" spans="1:4" x14ac:dyDescent="0.25">
      <c r="A7748" t="str">
        <f>T("   CN")</f>
        <v xml:space="preserve">   CN</v>
      </c>
      <c r="B7748" t="str">
        <f>T("   Chine")</f>
        <v xml:space="preserve">   Chine</v>
      </c>
      <c r="C7748">
        <v>132751</v>
      </c>
      <c r="D7748">
        <v>655</v>
      </c>
    </row>
    <row r="7749" spans="1:4" x14ac:dyDescent="0.25">
      <c r="A7749" t="str">
        <f>T("630629")</f>
        <v>630629</v>
      </c>
      <c r="B7749" t="str">
        <f>T("Tentes de matières textiles (autres que de coton ou fibres synthétiques et sauf paravents)")</f>
        <v>Tentes de matières textiles (autres que de coton ou fibres synthétiques et sauf paravents)</v>
      </c>
    </row>
    <row r="7750" spans="1:4" x14ac:dyDescent="0.25">
      <c r="A7750" t="str">
        <f>T("   ZZZ_Monde")</f>
        <v xml:space="preserve">   ZZZ_Monde</v>
      </c>
      <c r="B7750" t="str">
        <f>T("   ZZZ_Monde")</f>
        <v xml:space="preserve">   ZZZ_Monde</v>
      </c>
      <c r="C7750">
        <v>3635380</v>
      </c>
      <c r="D7750">
        <v>6845</v>
      </c>
    </row>
    <row r="7751" spans="1:4" x14ac:dyDescent="0.25">
      <c r="A7751" t="str">
        <f>T("   AE")</f>
        <v xml:space="preserve">   AE</v>
      </c>
      <c r="B7751" t="str">
        <f>T("   Emirats Arabes Unis")</f>
        <v xml:space="preserve">   Emirats Arabes Unis</v>
      </c>
      <c r="C7751">
        <v>15000</v>
      </c>
      <c r="D7751">
        <v>200</v>
      </c>
    </row>
    <row r="7752" spans="1:4" x14ac:dyDescent="0.25">
      <c r="A7752" t="str">
        <f>T("   FR")</f>
        <v xml:space="preserve">   FR</v>
      </c>
      <c r="B7752" t="str">
        <f>T("   France")</f>
        <v xml:space="preserve">   France</v>
      </c>
      <c r="C7752">
        <v>3420011</v>
      </c>
      <c r="D7752">
        <v>6000</v>
      </c>
    </row>
    <row r="7753" spans="1:4" x14ac:dyDescent="0.25">
      <c r="A7753" t="str">
        <f>T("   GB")</f>
        <v xml:space="preserve">   GB</v>
      </c>
      <c r="B7753" t="str">
        <f>T("   Royaume-Uni")</f>
        <v xml:space="preserve">   Royaume-Uni</v>
      </c>
      <c r="C7753">
        <v>200369</v>
      </c>
      <c r="D7753">
        <v>645</v>
      </c>
    </row>
    <row r="7754" spans="1:4" x14ac:dyDescent="0.25">
      <c r="A7754" t="str">
        <f>T("630639")</f>
        <v>630639</v>
      </c>
      <c r="B7754" t="str">
        <f>T("Voiles pour bateaux, planches à voiles et chars à voiles, de matières textiles (autres que de fibres synthétiques)")</f>
        <v>Voiles pour bateaux, planches à voiles et chars à voiles, de matières textiles (autres que de fibres synthétiques)</v>
      </c>
    </row>
    <row r="7755" spans="1:4" x14ac:dyDescent="0.25">
      <c r="A7755" t="str">
        <f>T("   ZZZ_Monde")</f>
        <v xml:space="preserve">   ZZZ_Monde</v>
      </c>
      <c r="B7755" t="str">
        <f>T("   ZZZ_Monde")</f>
        <v xml:space="preserve">   ZZZ_Monde</v>
      </c>
      <c r="C7755">
        <v>338300</v>
      </c>
      <c r="D7755">
        <v>730</v>
      </c>
    </row>
    <row r="7756" spans="1:4" x14ac:dyDescent="0.25">
      <c r="A7756" t="str">
        <f>T("   FR")</f>
        <v xml:space="preserve">   FR</v>
      </c>
      <c r="B7756" t="str">
        <f>T("   France")</f>
        <v xml:space="preserve">   France</v>
      </c>
      <c r="C7756">
        <v>276647</v>
      </c>
      <c r="D7756">
        <v>10</v>
      </c>
    </row>
    <row r="7757" spans="1:4" x14ac:dyDescent="0.25">
      <c r="A7757" t="str">
        <f>T("   IT")</f>
        <v xml:space="preserve">   IT</v>
      </c>
      <c r="B7757" t="str">
        <f>T("   Italie")</f>
        <v xml:space="preserve">   Italie</v>
      </c>
      <c r="C7757">
        <v>61653</v>
      </c>
      <c r="D7757">
        <v>720</v>
      </c>
    </row>
    <row r="7758" spans="1:4" x14ac:dyDescent="0.25">
      <c r="A7758" t="str">
        <f>T("630649")</f>
        <v>630649</v>
      </c>
      <c r="B7758" t="str">
        <f>T("Matelas pneumatiques de matières textiles (autres que de coton)")</f>
        <v>Matelas pneumatiques de matières textiles (autres que de coton)</v>
      </c>
    </row>
    <row r="7759" spans="1:4" x14ac:dyDescent="0.25">
      <c r="A7759" t="str">
        <f>T("   ZZZ_Monde")</f>
        <v xml:space="preserve">   ZZZ_Monde</v>
      </c>
      <c r="B7759" t="str">
        <f>T("   ZZZ_Monde")</f>
        <v xml:space="preserve">   ZZZ_Monde</v>
      </c>
      <c r="C7759">
        <v>58779</v>
      </c>
      <c r="D7759">
        <v>100</v>
      </c>
    </row>
    <row r="7760" spans="1:4" x14ac:dyDescent="0.25">
      <c r="A7760" t="str">
        <f>T("   FR")</f>
        <v xml:space="preserve">   FR</v>
      </c>
      <c r="B7760" t="str">
        <f>T("   France")</f>
        <v xml:space="preserve">   France</v>
      </c>
      <c r="C7760">
        <v>15087</v>
      </c>
      <c r="D7760">
        <v>20</v>
      </c>
    </row>
    <row r="7761" spans="1:4" x14ac:dyDescent="0.25">
      <c r="A7761" t="str">
        <f>T("   TG")</f>
        <v xml:space="preserve">   TG</v>
      </c>
      <c r="B7761" t="str">
        <f>T("   Togo")</f>
        <v xml:space="preserve">   Togo</v>
      </c>
      <c r="C7761">
        <v>43692</v>
      </c>
      <c r="D7761">
        <v>80</v>
      </c>
    </row>
    <row r="7762" spans="1:4" x14ac:dyDescent="0.25">
      <c r="A7762" t="str">
        <f>T("630699")</f>
        <v>630699</v>
      </c>
      <c r="B7762" t="str">
        <f>T("Articles de camping, de matières textiles (autres que de coton et sauf tentes et matelas pneumatiques, stores d'extérieur, voiles, sacs à dos, sacs à bandoulière et conditionnements simil. et sauf sacs de couchage, matelas et coussins rembourrés)")</f>
        <v>Articles de camping, de matières textiles (autres que de coton et sauf tentes et matelas pneumatiques, stores d'extérieur, voiles, sacs à dos, sacs à bandoulière et conditionnements simil. et sauf sacs de couchage, matelas et coussins rembourrés)</v>
      </c>
    </row>
    <row r="7763" spans="1:4" x14ac:dyDescent="0.25">
      <c r="A7763" t="str">
        <f>T("   ZZZ_Monde")</f>
        <v xml:space="preserve">   ZZZ_Monde</v>
      </c>
      <c r="B7763" t="str">
        <f>T("   ZZZ_Monde")</f>
        <v xml:space="preserve">   ZZZ_Monde</v>
      </c>
      <c r="C7763">
        <v>3206334</v>
      </c>
      <c r="D7763">
        <v>1179</v>
      </c>
    </row>
    <row r="7764" spans="1:4" x14ac:dyDescent="0.25">
      <c r="A7764" t="str">
        <f>T("   DE")</f>
        <v xml:space="preserve">   DE</v>
      </c>
      <c r="B7764" t="str">
        <f>T("   Allemagne")</f>
        <v xml:space="preserve">   Allemagne</v>
      </c>
      <c r="C7764">
        <v>27551</v>
      </c>
      <c r="D7764">
        <v>88</v>
      </c>
    </row>
    <row r="7765" spans="1:4" x14ac:dyDescent="0.25">
      <c r="A7765" t="str">
        <f>T("   FR")</f>
        <v xml:space="preserve">   FR</v>
      </c>
      <c r="B7765" t="str">
        <f>T("   France")</f>
        <v xml:space="preserve">   France</v>
      </c>
      <c r="C7765">
        <v>3178783</v>
      </c>
      <c r="D7765">
        <v>1091</v>
      </c>
    </row>
    <row r="7766" spans="1:4" x14ac:dyDescent="0.25">
      <c r="A7766" t="str">
        <f>T("630710")</f>
        <v>630710</v>
      </c>
      <c r="B7766" t="str">
        <f>T("Serpillières ou wassingues, lavettes, chamoisettes et articles d'entretien simil. en tous types de matières textiles")</f>
        <v>Serpillières ou wassingues, lavettes, chamoisettes et articles d'entretien simil. en tous types de matières textiles</v>
      </c>
    </row>
    <row r="7767" spans="1:4" x14ac:dyDescent="0.25">
      <c r="A7767" t="str">
        <f>T("   ZZZ_Monde")</f>
        <v xml:space="preserve">   ZZZ_Monde</v>
      </c>
      <c r="B7767" t="str">
        <f>T("   ZZZ_Monde")</f>
        <v xml:space="preserve">   ZZZ_Monde</v>
      </c>
      <c r="C7767">
        <v>39430255</v>
      </c>
      <c r="D7767">
        <v>32155</v>
      </c>
    </row>
    <row r="7768" spans="1:4" x14ac:dyDescent="0.25">
      <c r="A7768" t="str">
        <f>T("   CI")</f>
        <v xml:space="preserve">   CI</v>
      </c>
      <c r="B7768" t="str">
        <f>T("   Côte d'Ivoire")</f>
        <v xml:space="preserve">   Côte d'Ivoire</v>
      </c>
      <c r="C7768">
        <v>17796615</v>
      </c>
      <c r="D7768">
        <v>15435</v>
      </c>
    </row>
    <row r="7769" spans="1:4" x14ac:dyDescent="0.25">
      <c r="A7769" t="str">
        <f>T("   CN")</f>
        <v xml:space="preserve">   CN</v>
      </c>
      <c r="B7769" t="str">
        <f>T("   Chine")</f>
        <v xml:space="preserve">   Chine</v>
      </c>
      <c r="C7769">
        <v>5497186</v>
      </c>
      <c r="D7769">
        <v>2625</v>
      </c>
    </row>
    <row r="7770" spans="1:4" x14ac:dyDescent="0.25">
      <c r="A7770" t="str">
        <f>T("   FR")</f>
        <v xml:space="preserve">   FR</v>
      </c>
      <c r="B7770" t="str">
        <f>T("   France")</f>
        <v xml:space="preserve">   France</v>
      </c>
      <c r="C7770">
        <v>11295429</v>
      </c>
      <c r="D7770">
        <v>9862</v>
      </c>
    </row>
    <row r="7771" spans="1:4" x14ac:dyDescent="0.25">
      <c r="A7771" t="str">
        <f>T("   HK")</f>
        <v xml:space="preserve">   HK</v>
      </c>
      <c r="B7771" t="str">
        <f>T("   Hong-Kong")</f>
        <v xml:space="preserve">   Hong-Kong</v>
      </c>
      <c r="C7771">
        <v>997958</v>
      </c>
      <c r="D7771">
        <v>1957</v>
      </c>
    </row>
    <row r="7772" spans="1:4" x14ac:dyDescent="0.25">
      <c r="A7772" t="str">
        <f>T("   IT")</f>
        <v xml:space="preserve">   IT</v>
      </c>
      <c r="B7772" t="str">
        <f>T("   Italie")</f>
        <v xml:space="preserve">   Italie</v>
      </c>
      <c r="C7772">
        <v>3243067</v>
      </c>
      <c r="D7772">
        <v>1976</v>
      </c>
    </row>
    <row r="7773" spans="1:4" x14ac:dyDescent="0.25">
      <c r="A7773" t="str">
        <f>T("   NG")</f>
        <v xml:space="preserve">   NG</v>
      </c>
      <c r="B7773" t="str">
        <f>T("   Nigéria")</f>
        <v xml:space="preserve">   Nigéria</v>
      </c>
      <c r="C7773">
        <v>600000</v>
      </c>
      <c r="D7773">
        <v>300</v>
      </c>
    </row>
    <row r="7774" spans="1:4" x14ac:dyDescent="0.25">
      <c r="A7774" t="str">
        <f>T("630720")</f>
        <v>630720</v>
      </c>
      <c r="B7774" t="str">
        <f>T("Ceintures et gilets de sauvetage en tous types de matières textiles")</f>
        <v>Ceintures et gilets de sauvetage en tous types de matières textiles</v>
      </c>
    </row>
    <row r="7775" spans="1:4" x14ac:dyDescent="0.25">
      <c r="A7775" t="str">
        <f>T("   ZZZ_Monde")</f>
        <v xml:space="preserve">   ZZZ_Monde</v>
      </c>
      <c r="B7775" t="str">
        <f>T("   ZZZ_Monde")</f>
        <v xml:space="preserve">   ZZZ_Monde</v>
      </c>
      <c r="C7775">
        <v>6070528</v>
      </c>
      <c r="D7775">
        <v>2486</v>
      </c>
    </row>
    <row r="7776" spans="1:4" x14ac:dyDescent="0.25">
      <c r="A7776" t="str">
        <f>T("   CN")</f>
        <v xml:space="preserve">   CN</v>
      </c>
      <c r="B7776" t="str">
        <f>T("   Chine")</f>
        <v xml:space="preserve">   Chine</v>
      </c>
      <c r="C7776">
        <v>2381866</v>
      </c>
      <c r="D7776">
        <v>886</v>
      </c>
    </row>
    <row r="7777" spans="1:4" x14ac:dyDescent="0.25">
      <c r="A7777" t="str">
        <f>T("   DE")</f>
        <v xml:space="preserve">   DE</v>
      </c>
      <c r="B7777" t="str">
        <f>T("   Allemagne")</f>
        <v xml:space="preserve">   Allemagne</v>
      </c>
      <c r="C7777">
        <v>1304246</v>
      </c>
      <c r="D7777">
        <v>1300</v>
      </c>
    </row>
    <row r="7778" spans="1:4" x14ac:dyDescent="0.25">
      <c r="A7778" t="str">
        <f>T("   FR")</f>
        <v xml:space="preserve">   FR</v>
      </c>
      <c r="B7778" t="str">
        <f>T("   France")</f>
        <v xml:space="preserve">   France</v>
      </c>
      <c r="C7778">
        <v>2384416</v>
      </c>
      <c r="D7778">
        <v>300</v>
      </c>
    </row>
    <row r="7779" spans="1:4" x14ac:dyDescent="0.25">
      <c r="A7779" t="str">
        <f>T("630790")</f>
        <v>630790</v>
      </c>
      <c r="B7779" t="str">
        <f>T("Articles de matières textiles, confectionnés, y.c. les patrons de vêtements n.d.a.")</f>
        <v>Articles de matières textiles, confectionnés, y.c. les patrons de vêtements n.d.a.</v>
      </c>
    </row>
    <row r="7780" spans="1:4" x14ac:dyDescent="0.25">
      <c r="A7780" t="str">
        <f>T("   ZZZ_Monde")</f>
        <v xml:space="preserve">   ZZZ_Monde</v>
      </c>
      <c r="B7780" t="str">
        <f>T("   ZZZ_Monde")</f>
        <v xml:space="preserve">   ZZZ_Monde</v>
      </c>
      <c r="C7780">
        <v>10128700</v>
      </c>
      <c r="D7780">
        <v>8436</v>
      </c>
    </row>
    <row r="7781" spans="1:4" x14ac:dyDescent="0.25">
      <c r="A7781" t="str">
        <f>T("   BE")</f>
        <v xml:space="preserve">   BE</v>
      </c>
      <c r="B7781" t="str">
        <f>T("   Belgique")</f>
        <v xml:space="preserve">   Belgique</v>
      </c>
      <c r="C7781">
        <v>726672</v>
      </c>
      <c r="D7781">
        <v>252</v>
      </c>
    </row>
    <row r="7782" spans="1:4" x14ac:dyDescent="0.25">
      <c r="A7782" t="str">
        <f>T("   CN")</f>
        <v xml:space="preserve">   CN</v>
      </c>
      <c r="B7782" t="str">
        <f>T("   Chine")</f>
        <v xml:space="preserve">   Chine</v>
      </c>
      <c r="C7782">
        <v>4780338</v>
      </c>
      <c r="D7782">
        <v>7478</v>
      </c>
    </row>
    <row r="7783" spans="1:4" x14ac:dyDescent="0.25">
      <c r="A7783" t="str">
        <f>T("   DE")</f>
        <v xml:space="preserve">   DE</v>
      </c>
      <c r="B7783" t="str">
        <f>T("   Allemagne")</f>
        <v xml:space="preserve">   Allemagne</v>
      </c>
      <c r="C7783">
        <v>112825</v>
      </c>
      <c r="D7783">
        <v>229</v>
      </c>
    </row>
    <row r="7784" spans="1:4" x14ac:dyDescent="0.25">
      <c r="A7784" t="str">
        <f>T("   FR")</f>
        <v xml:space="preserve">   FR</v>
      </c>
      <c r="B7784" t="str">
        <f>T("   France")</f>
        <v xml:space="preserve">   France</v>
      </c>
      <c r="C7784">
        <v>3669544</v>
      </c>
      <c r="D7784">
        <v>305</v>
      </c>
    </row>
    <row r="7785" spans="1:4" x14ac:dyDescent="0.25">
      <c r="A7785" t="str">
        <f>T("   IT")</f>
        <v xml:space="preserve">   IT</v>
      </c>
      <c r="B7785" t="str">
        <f>T("   Italie")</f>
        <v xml:space="preserve">   Italie</v>
      </c>
      <c r="C7785">
        <v>773921</v>
      </c>
      <c r="D7785">
        <v>128</v>
      </c>
    </row>
    <row r="7786" spans="1:4" x14ac:dyDescent="0.25">
      <c r="A7786" t="str">
        <f>T("   KW")</f>
        <v xml:space="preserve">   KW</v>
      </c>
      <c r="B7786" t="str">
        <f>T("   Koweit")</f>
        <v xml:space="preserve">   Koweit</v>
      </c>
      <c r="C7786">
        <v>47935</v>
      </c>
      <c r="D7786">
        <v>20</v>
      </c>
    </row>
    <row r="7787" spans="1:4" x14ac:dyDescent="0.25">
      <c r="A7787" t="str">
        <f>T("   NL")</f>
        <v xml:space="preserve">   NL</v>
      </c>
      <c r="B7787" t="str">
        <f>T("   Pays-bas")</f>
        <v xml:space="preserve">   Pays-bas</v>
      </c>
      <c r="C7787">
        <v>17465</v>
      </c>
      <c r="D7787">
        <v>24</v>
      </c>
    </row>
    <row r="7788" spans="1:4" x14ac:dyDescent="0.25">
      <c r="A7788" t="str">
        <f>T("630900")</f>
        <v>630900</v>
      </c>
      <c r="B7788" t="str">
        <f>T("Articles de friperie composés de vêtements, accessoires du vêtement, couvertures, linge de maison et articles d'aménagement intérieur, en tous types de matières textiles, y.c. les chaussures et coiffures de tous genres, manifestement usagés et présentés e")</f>
        <v>Articles de friperie composés de vêtements, accessoires du vêtement, couvertures, linge de maison et articles d'aménagement intérieur, en tous types de matières textiles, y.c. les chaussures et coiffures de tous genres, manifestement usagés et présentés e</v>
      </c>
    </row>
    <row r="7789" spans="1:4" x14ac:dyDescent="0.25">
      <c r="A7789" t="str">
        <f>T("   ZZZ_Monde")</f>
        <v xml:space="preserve">   ZZZ_Monde</v>
      </c>
      <c r="B7789" t="str">
        <f>T("   ZZZ_Monde")</f>
        <v xml:space="preserve">   ZZZ_Monde</v>
      </c>
      <c r="C7789">
        <v>28405953759</v>
      </c>
      <c r="D7789">
        <v>48697889.670000002</v>
      </c>
    </row>
    <row r="7790" spans="1:4" x14ac:dyDescent="0.25">
      <c r="A7790" t="str">
        <f>T("   AE")</f>
        <v xml:space="preserve">   AE</v>
      </c>
      <c r="B7790" t="str">
        <f>T("   Emirats Arabes Unis")</f>
        <v xml:space="preserve">   Emirats Arabes Unis</v>
      </c>
      <c r="C7790">
        <v>190436639</v>
      </c>
      <c r="D7790">
        <v>344695</v>
      </c>
    </row>
    <row r="7791" spans="1:4" x14ac:dyDescent="0.25">
      <c r="A7791" t="str">
        <f>T("   AU")</f>
        <v xml:space="preserve">   AU</v>
      </c>
      <c r="B7791" t="str">
        <f>T("   Australie")</f>
        <v xml:space="preserve">   Australie</v>
      </c>
      <c r="C7791">
        <v>77488386</v>
      </c>
      <c r="D7791">
        <v>125424</v>
      </c>
    </row>
    <row r="7792" spans="1:4" x14ac:dyDescent="0.25">
      <c r="A7792" t="str">
        <f>T("   BE")</f>
        <v xml:space="preserve">   BE</v>
      </c>
      <c r="B7792" t="str">
        <f>T("   Belgique")</f>
        <v xml:space="preserve">   Belgique</v>
      </c>
      <c r="C7792">
        <v>3368845030</v>
      </c>
      <c r="D7792">
        <v>5588188</v>
      </c>
    </row>
    <row r="7793" spans="1:4" x14ac:dyDescent="0.25">
      <c r="A7793" t="str">
        <f>T("   BG")</f>
        <v xml:space="preserve">   BG</v>
      </c>
      <c r="B7793" t="str">
        <f>T("   Bulgarie")</f>
        <v xml:space="preserve">   Bulgarie</v>
      </c>
      <c r="C7793">
        <v>12243000</v>
      </c>
      <c r="D7793">
        <v>14990</v>
      </c>
    </row>
    <row r="7794" spans="1:4" x14ac:dyDescent="0.25">
      <c r="A7794" t="str">
        <f>T("   BR")</f>
        <v xml:space="preserve">   BR</v>
      </c>
      <c r="B7794" t="str">
        <f>T("   Brésil")</f>
        <v xml:space="preserve">   Brésil</v>
      </c>
      <c r="C7794">
        <v>2167282</v>
      </c>
      <c r="D7794">
        <v>4490</v>
      </c>
    </row>
    <row r="7795" spans="1:4" x14ac:dyDescent="0.25">
      <c r="A7795" t="str">
        <f>T("   CA")</f>
        <v xml:space="preserve">   CA</v>
      </c>
      <c r="B7795" t="str">
        <f>T("   Canada")</f>
        <v xml:space="preserve">   Canada</v>
      </c>
      <c r="C7795">
        <v>766325774</v>
      </c>
      <c r="D7795">
        <v>1312894.2</v>
      </c>
    </row>
    <row r="7796" spans="1:4" x14ac:dyDescent="0.25">
      <c r="A7796" t="str">
        <f>T("   CN")</f>
        <v xml:space="preserve">   CN</v>
      </c>
      <c r="B7796" t="str">
        <f>T("   Chine")</f>
        <v xml:space="preserve">   Chine</v>
      </c>
      <c r="C7796">
        <v>4401968841</v>
      </c>
      <c r="D7796">
        <v>7402423</v>
      </c>
    </row>
    <row r="7797" spans="1:4" x14ac:dyDescent="0.25">
      <c r="A7797" t="str">
        <f>T("   CO")</f>
        <v xml:space="preserve">   CO</v>
      </c>
      <c r="B7797" t="str">
        <f>T("   Colombie")</f>
        <v xml:space="preserve">   Colombie</v>
      </c>
      <c r="C7797">
        <v>12100000</v>
      </c>
      <c r="D7797">
        <v>22000</v>
      </c>
    </row>
    <row r="7798" spans="1:4" x14ac:dyDescent="0.25">
      <c r="A7798" t="str">
        <f>T("   CY")</f>
        <v xml:space="preserve">   CY</v>
      </c>
      <c r="B7798" t="str">
        <f>T("   Chypre")</f>
        <v xml:space="preserve">   Chypre</v>
      </c>
      <c r="C7798">
        <v>21900494</v>
      </c>
      <c r="D7798">
        <v>36000</v>
      </c>
    </row>
    <row r="7799" spans="1:4" x14ac:dyDescent="0.25">
      <c r="A7799" t="str">
        <f>T("   CZ")</f>
        <v xml:space="preserve">   CZ</v>
      </c>
      <c r="B7799" t="str">
        <f>T("   Tchèque, République")</f>
        <v xml:space="preserve">   Tchèque, République</v>
      </c>
      <c r="C7799">
        <v>35904626</v>
      </c>
      <c r="D7799">
        <v>58000</v>
      </c>
    </row>
    <row r="7800" spans="1:4" x14ac:dyDescent="0.25">
      <c r="A7800" t="str">
        <f>T("   DE")</f>
        <v xml:space="preserve">   DE</v>
      </c>
      <c r="B7800" t="str">
        <f>T("   Allemagne")</f>
        <v xml:space="preserve">   Allemagne</v>
      </c>
      <c r="C7800">
        <v>489753537</v>
      </c>
      <c r="D7800">
        <v>833610</v>
      </c>
    </row>
    <row r="7801" spans="1:4" x14ac:dyDescent="0.25">
      <c r="A7801" t="str">
        <f>T("   DK")</f>
        <v xml:space="preserve">   DK</v>
      </c>
      <c r="B7801" t="str">
        <f>T("   Danemark")</f>
        <v xml:space="preserve">   Danemark</v>
      </c>
      <c r="C7801">
        <v>12100000</v>
      </c>
      <c r="D7801">
        <v>22000</v>
      </c>
    </row>
    <row r="7802" spans="1:4" x14ac:dyDescent="0.25">
      <c r="A7802" t="str">
        <f>T("   ES")</f>
        <v xml:space="preserve">   ES</v>
      </c>
      <c r="B7802" t="str">
        <f>T("   Espagne")</f>
        <v xml:space="preserve">   Espagne</v>
      </c>
      <c r="C7802">
        <v>203486352</v>
      </c>
      <c r="D7802">
        <v>354959</v>
      </c>
    </row>
    <row r="7803" spans="1:4" x14ac:dyDescent="0.25">
      <c r="A7803" t="str">
        <f>T("   FR")</f>
        <v xml:space="preserve">   FR</v>
      </c>
      <c r="B7803" t="str">
        <f>T("   France")</f>
        <v xml:space="preserve">   France</v>
      </c>
      <c r="C7803">
        <v>366540969</v>
      </c>
      <c r="D7803">
        <v>649272.47</v>
      </c>
    </row>
    <row r="7804" spans="1:4" x14ac:dyDescent="0.25">
      <c r="A7804" t="str">
        <f>T("   GA")</f>
        <v xml:space="preserve">   GA</v>
      </c>
      <c r="B7804" t="str">
        <f>T("   Gabon")</f>
        <v xml:space="preserve">   Gabon</v>
      </c>
      <c r="C7804">
        <v>1632500</v>
      </c>
      <c r="D7804">
        <v>2000</v>
      </c>
    </row>
    <row r="7805" spans="1:4" x14ac:dyDescent="0.25">
      <c r="A7805" t="str">
        <f>T("   GB")</f>
        <v xml:space="preserve">   GB</v>
      </c>
      <c r="B7805" t="str">
        <f>T("   Royaume-Uni")</f>
        <v xml:space="preserve">   Royaume-Uni</v>
      </c>
      <c r="C7805">
        <v>11100077599</v>
      </c>
      <c r="D7805">
        <v>17659021</v>
      </c>
    </row>
    <row r="7806" spans="1:4" x14ac:dyDescent="0.25">
      <c r="A7806" t="str">
        <f>T("   GH")</f>
        <v xml:space="preserve">   GH</v>
      </c>
      <c r="B7806" t="str">
        <f>T("   Ghana")</f>
        <v xml:space="preserve">   Ghana</v>
      </c>
      <c r="C7806">
        <v>1000000</v>
      </c>
      <c r="D7806">
        <v>4800</v>
      </c>
    </row>
    <row r="7807" spans="1:4" x14ac:dyDescent="0.25">
      <c r="A7807" t="str">
        <f>T("   HU")</f>
        <v xml:space="preserve">   HU</v>
      </c>
      <c r="B7807" t="str">
        <f>T("   Hongrie")</f>
        <v xml:space="preserve">   Hongrie</v>
      </c>
      <c r="C7807">
        <v>129572634</v>
      </c>
      <c r="D7807">
        <v>222000</v>
      </c>
    </row>
    <row r="7808" spans="1:4" x14ac:dyDescent="0.25">
      <c r="A7808" t="str">
        <f>T("   IE")</f>
        <v xml:space="preserve">   IE</v>
      </c>
      <c r="B7808" t="str">
        <f>T("   Irlande")</f>
        <v xml:space="preserve">   Irlande</v>
      </c>
      <c r="C7808">
        <v>860096239</v>
      </c>
      <c r="D7808">
        <v>1477420</v>
      </c>
    </row>
    <row r="7809" spans="1:4" x14ac:dyDescent="0.25">
      <c r="A7809" t="str">
        <f>T("   IL")</f>
        <v xml:space="preserve">   IL</v>
      </c>
      <c r="B7809" t="str">
        <f>T("   Israël")</f>
        <v xml:space="preserve">   Israël</v>
      </c>
      <c r="C7809">
        <v>200856750</v>
      </c>
      <c r="D7809">
        <v>411059</v>
      </c>
    </row>
    <row r="7810" spans="1:4" x14ac:dyDescent="0.25">
      <c r="A7810" t="str">
        <f>T("   IN")</f>
        <v xml:space="preserve">   IN</v>
      </c>
      <c r="B7810" t="str">
        <f>T("   Inde")</f>
        <v xml:space="preserve">   Inde</v>
      </c>
      <c r="C7810">
        <v>33197332</v>
      </c>
      <c r="D7810">
        <v>56968</v>
      </c>
    </row>
    <row r="7811" spans="1:4" x14ac:dyDescent="0.25">
      <c r="A7811" t="str">
        <f>T("   IT")</f>
        <v xml:space="preserve">   IT</v>
      </c>
      <c r="B7811" t="str">
        <f>T("   Italie")</f>
        <v xml:space="preserve">   Italie</v>
      </c>
      <c r="C7811">
        <v>116702101</v>
      </c>
      <c r="D7811">
        <v>222719</v>
      </c>
    </row>
    <row r="7812" spans="1:4" x14ac:dyDescent="0.25">
      <c r="A7812" t="str">
        <f>T("   JP")</f>
        <v xml:space="preserve">   JP</v>
      </c>
      <c r="B7812" t="str">
        <f>T("   Japon")</f>
        <v xml:space="preserve">   Japon</v>
      </c>
      <c r="C7812">
        <v>511147662</v>
      </c>
      <c r="D7812">
        <v>921474</v>
      </c>
    </row>
    <row r="7813" spans="1:4" x14ac:dyDescent="0.25">
      <c r="A7813" t="str">
        <f>T("   KR")</f>
        <v xml:space="preserve">   KR</v>
      </c>
      <c r="B7813" t="str">
        <f>T("   Corée, République de")</f>
        <v xml:space="preserve">   Corée, République de</v>
      </c>
      <c r="C7813">
        <v>1198924985</v>
      </c>
      <c r="D7813">
        <v>1893645</v>
      </c>
    </row>
    <row r="7814" spans="1:4" x14ac:dyDescent="0.25">
      <c r="A7814" t="str">
        <f>T("   KW")</f>
        <v xml:space="preserve">   KW</v>
      </c>
      <c r="B7814" t="str">
        <f>T("   Koweit")</f>
        <v xml:space="preserve">   Koweit</v>
      </c>
      <c r="C7814">
        <v>527285</v>
      </c>
      <c r="D7814">
        <v>5000</v>
      </c>
    </row>
    <row r="7815" spans="1:4" x14ac:dyDescent="0.25">
      <c r="A7815" t="str">
        <f>T("   LT")</f>
        <v xml:space="preserve">   LT</v>
      </c>
      <c r="B7815" t="str">
        <f>T("   Lituanie")</f>
        <v xml:space="preserve">   Lituanie</v>
      </c>
      <c r="C7815">
        <v>586249222</v>
      </c>
      <c r="D7815">
        <v>1008518</v>
      </c>
    </row>
    <row r="7816" spans="1:4" x14ac:dyDescent="0.25">
      <c r="A7816" t="str">
        <f>T("   MA")</f>
        <v xml:space="preserve">   MA</v>
      </c>
      <c r="B7816" t="str">
        <f>T("   Maroc")</f>
        <v xml:space="preserve">   Maroc</v>
      </c>
      <c r="C7816">
        <v>19600084</v>
      </c>
      <c r="D7816">
        <v>26000</v>
      </c>
    </row>
    <row r="7817" spans="1:4" x14ac:dyDescent="0.25">
      <c r="A7817" t="str">
        <f>T("   MY")</f>
        <v xml:space="preserve">   MY</v>
      </c>
      <c r="B7817" t="str">
        <f>T("   Malaisie")</f>
        <v xml:space="preserve">   Malaisie</v>
      </c>
      <c r="C7817">
        <v>25823543</v>
      </c>
      <c r="D7817">
        <v>42750</v>
      </c>
    </row>
    <row r="7818" spans="1:4" x14ac:dyDescent="0.25">
      <c r="A7818" t="str">
        <f>T("   NG")</f>
        <v xml:space="preserve">   NG</v>
      </c>
      <c r="B7818" t="str">
        <f>T("   Nigéria")</f>
        <v xml:space="preserve">   Nigéria</v>
      </c>
      <c r="C7818">
        <v>2220935</v>
      </c>
      <c r="D7818">
        <v>13390</v>
      </c>
    </row>
    <row r="7819" spans="1:4" x14ac:dyDescent="0.25">
      <c r="A7819" t="str">
        <f>T("   NL")</f>
        <v xml:space="preserve">   NL</v>
      </c>
      <c r="B7819" t="str">
        <f>T("   Pays-bas")</f>
        <v xml:space="preserve">   Pays-bas</v>
      </c>
      <c r="C7819">
        <v>244254006</v>
      </c>
      <c r="D7819">
        <v>397591</v>
      </c>
    </row>
    <row r="7820" spans="1:4" x14ac:dyDescent="0.25">
      <c r="A7820" t="str">
        <f>T("   PA")</f>
        <v xml:space="preserve">   PA</v>
      </c>
      <c r="B7820" t="str">
        <f>T("   Panama")</f>
        <v xml:space="preserve">   Panama</v>
      </c>
      <c r="C7820">
        <v>4143981</v>
      </c>
      <c r="D7820">
        <v>4100</v>
      </c>
    </row>
    <row r="7821" spans="1:4" x14ac:dyDescent="0.25">
      <c r="A7821" t="str">
        <f>T("   PL")</f>
        <v xml:space="preserve">   PL</v>
      </c>
      <c r="B7821" t="str">
        <f>T("   Pologne")</f>
        <v xml:space="preserve">   Pologne</v>
      </c>
      <c r="C7821">
        <v>1385588459</v>
      </c>
      <c r="D7821">
        <v>2459632</v>
      </c>
    </row>
    <row r="7822" spans="1:4" x14ac:dyDescent="0.25">
      <c r="A7822" t="str">
        <f>T("   SA")</f>
        <v xml:space="preserve">   SA</v>
      </c>
      <c r="B7822" t="str">
        <f>T("   Arabie Saoudite")</f>
        <v xml:space="preserve">   Arabie Saoudite</v>
      </c>
      <c r="C7822">
        <v>16646261</v>
      </c>
      <c r="D7822">
        <v>51500</v>
      </c>
    </row>
    <row r="7823" spans="1:4" x14ac:dyDescent="0.25">
      <c r="A7823" t="str">
        <f>T("   SG")</f>
        <v xml:space="preserve">   SG</v>
      </c>
      <c r="B7823" t="str">
        <f>T("   Singapour")</f>
        <v xml:space="preserve">   Singapour</v>
      </c>
      <c r="C7823">
        <v>26708686</v>
      </c>
      <c r="D7823">
        <v>48000</v>
      </c>
    </row>
    <row r="7824" spans="1:4" x14ac:dyDescent="0.25">
      <c r="A7824" t="str">
        <f>T("   SH")</f>
        <v xml:space="preserve">   SH</v>
      </c>
      <c r="B7824" t="str">
        <f>T("   Sainte-Hélène")</f>
        <v xml:space="preserve">   Sainte-Hélène</v>
      </c>
      <c r="C7824">
        <v>8325000</v>
      </c>
      <c r="D7824">
        <v>15000</v>
      </c>
    </row>
    <row r="7825" spans="1:4" x14ac:dyDescent="0.25">
      <c r="A7825" t="str">
        <f>T("   SK")</f>
        <v xml:space="preserve">   SK</v>
      </c>
      <c r="B7825" t="str">
        <f>T("   Slovaquie")</f>
        <v xml:space="preserve">   Slovaquie</v>
      </c>
      <c r="C7825">
        <v>22600494</v>
      </c>
      <c r="D7825">
        <v>37000</v>
      </c>
    </row>
    <row r="7826" spans="1:4" x14ac:dyDescent="0.25">
      <c r="A7826" t="str">
        <f>T("   TG")</f>
        <v xml:space="preserve">   TG</v>
      </c>
      <c r="B7826" t="str">
        <f>T("   Togo")</f>
        <v xml:space="preserve">   Togo</v>
      </c>
      <c r="C7826">
        <v>808025431</v>
      </c>
      <c r="D7826">
        <v>3063297</v>
      </c>
    </row>
    <row r="7827" spans="1:4" x14ac:dyDescent="0.25">
      <c r="A7827" t="str">
        <f>T("   TH")</f>
        <v xml:space="preserve">   TH</v>
      </c>
      <c r="B7827" t="str">
        <f>T("   Thaïlande")</f>
        <v xml:space="preserve">   Thaïlande</v>
      </c>
      <c r="C7827">
        <v>11075155</v>
      </c>
      <c r="D7827">
        <v>20140</v>
      </c>
    </row>
    <row r="7828" spans="1:4" x14ac:dyDescent="0.25">
      <c r="A7828" t="str">
        <f>T("   TR")</f>
        <v xml:space="preserve">   TR</v>
      </c>
      <c r="B7828" t="str">
        <f>T("   Turquie")</f>
        <v xml:space="preserve">   Turquie</v>
      </c>
      <c r="C7828">
        <v>12175000</v>
      </c>
      <c r="D7828">
        <v>22000</v>
      </c>
    </row>
    <row r="7829" spans="1:4" x14ac:dyDescent="0.25">
      <c r="A7829" t="str">
        <f>T("   TW")</f>
        <v xml:space="preserve">   TW</v>
      </c>
      <c r="B7829" t="str">
        <f>T("   Taïwan, Province de Chine")</f>
        <v xml:space="preserve">   Taïwan, Province de Chine</v>
      </c>
      <c r="C7829">
        <v>12130000</v>
      </c>
      <c r="D7829">
        <v>15000</v>
      </c>
    </row>
    <row r="7830" spans="1:4" x14ac:dyDescent="0.25">
      <c r="A7830" t="str">
        <f>T("   UA")</f>
        <v xml:space="preserve">   UA</v>
      </c>
      <c r="B7830" t="str">
        <f>T("   Ukraine")</f>
        <v xml:space="preserve">   Ukraine</v>
      </c>
      <c r="C7830">
        <v>11141053</v>
      </c>
      <c r="D7830">
        <v>19000</v>
      </c>
    </row>
    <row r="7831" spans="1:4" x14ac:dyDescent="0.25">
      <c r="A7831" t="str">
        <f>T("   US")</f>
        <v xml:space="preserve">   US</v>
      </c>
      <c r="B7831" t="str">
        <f>T("   Etats-Unis")</f>
        <v xml:space="preserve">   Etats-Unis</v>
      </c>
      <c r="C7831">
        <v>1094170090</v>
      </c>
      <c r="D7831">
        <v>1809820</v>
      </c>
    </row>
    <row r="7832" spans="1:4" x14ac:dyDescent="0.25">
      <c r="A7832" t="str">
        <f>T("   ZA")</f>
        <v xml:space="preserve">   ZA</v>
      </c>
      <c r="B7832" t="str">
        <f>T("   Afrique du Sud")</f>
        <v xml:space="preserve">   Afrique du Sud</v>
      </c>
      <c r="C7832">
        <v>80342</v>
      </c>
      <c r="D7832">
        <v>100</v>
      </c>
    </row>
    <row r="7833" spans="1:4" x14ac:dyDescent="0.25">
      <c r="A7833" t="str">
        <f>T("631090")</f>
        <v>631090</v>
      </c>
      <c r="B7833" t="str">
        <f>T("Chiffons en tous types de matières textiles ainsi que ficelles, cordes et cordages et articles composés de ceux-ci, de matières textiles, sous forme de déchets ou d'articles hors d'usage, non triés")</f>
        <v>Chiffons en tous types de matières textiles ainsi que ficelles, cordes et cordages et articles composés de ceux-ci, de matières textiles, sous forme de déchets ou d'articles hors d'usage, non triés</v>
      </c>
    </row>
    <row r="7834" spans="1:4" x14ac:dyDescent="0.25">
      <c r="A7834" t="str">
        <f>T("   ZZZ_Monde")</f>
        <v xml:space="preserve">   ZZZ_Monde</v>
      </c>
      <c r="B7834" t="str">
        <f>T("   ZZZ_Monde")</f>
        <v xml:space="preserve">   ZZZ_Monde</v>
      </c>
      <c r="C7834">
        <v>18757933</v>
      </c>
      <c r="D7834">
        <v>44217</v>
      </c>
    </row>
    <row r="7835" spans="1:4" x14ac:dyDescent="0.25">
      <c r="A7835" t="str">
        <f>T("   AE")</f>
        <v xml:space="preserve">   AE</v>
      </c>
      <c r="B7835" t="str">
        <f>T("   Emirats Arabes Unis")</f>
        <v xml:space="preserve">   Emirats Arabes Unis</v>
      </c>
      <c r="C7835">
        <v>3000252</v>
      </c>
      <c r="D7835">
        <v>5565</v>
      </c>
    </row>
    <row r="7836" spans="1:4" x14ac:dyDescent="0.25">
      <c r="A7836" t="str">
        <f>T("   BE")</f>
        <v xml:space="preserve">   BE</v>
      </c>
      <c r="B7836" t="str">
        <f>T("   Belgique")</f>
        <v xml:space="preserve">   Belgique</v>
      </c>
      <c r="C7836">
        <v>320193</v>
      </c>
      <c r="D7836">
        <v>21</v>
      </c>
    </row>
    <row r="7837" spans="1:4" x14ac:dyDescent="0.25">
      <c r="A7837" t="str">
        <f>T("   CN")</f>
        <v xml:space="preserve">   CN</v>
      </c>
      <c r="B7837" t="str">
        <f>T("   Chine")</f>
        <v xml:space="preserve">   Chine</v>
      </c>
      <c r="C7837">
        <v>13792335</v>
      </c>
      <c r="D7837">
        <v>24926</v>
      </c>
    </row>
    <row r="7838" spans="1:4" x14ac:dyDescent="0.25">
      <c r="A7838" t="str">
        <f>T("   TG")</f>
        <v xml:space="preserve">   TG</v>
      </c>
      <c r="B7838" t="str">
        <f>T("   Togo")</f>
        <v xml:space="preserve">   Togo</v>
      </c>
      <c r="C7838">
        <v>120153</v>
      </c>
      <c r="D7838">
        <v>205</v>
      </c>
    </row>
    <row r="7839" spans="1:4" x14ac:dyDescent="0.25">
      <c r="A7839" t="str">
        <f>T("   Z2")</f>
        <v xml:space="preserve">   Z2</v>
      </c>
      <c r="B7839" t="str">
        <f>T("   Pays non défini")</f>
        <v xml:space="preserve">   Pays non défini</v>
      </c>
      <c r="C7839">
        <v>1525000</v>
      </c>
      <c r="D7839">
        <v>13500</v>
      </c>
    </row>
    <row r="7840" spans="1:4" x14ac:dyDescent="0.25">
      <c r="A7840" t="str">
        <f>T("640110")</f>
        <v>640110</v>
      </c>
      <c r="B7840" t="str">
        <f>T("Chaussures étanches, à semelles extérieures et dessus en caoutchouc ou en matière plastique, dont le dessus n'a été ni réuni à la semelle extérieure par couture ou par rivets, clous, vis, tétons ou dispositifs simil., ni formé de différentes parties assem")</f>
        <v>Chaussures étanches, à semelles extérieures et dessus en caoutchouc ou en matière plastique, dont le dessus n'a été ni réuni à la semelle extérieure par couture ou par rivets, clous, vis, tétons ou dispositifs simil., ni formé de différentes parties assem</v>
      </c>
    </row>
    <row r="7841" spans="1:4" x14ac:dyDescent="0.25">
      <c r="A7841" t="str">
        <f>T("   ZZZ_Monde")</f>
        <v xml:space="preserve">   ZZZ_Monde</v>
      </c>
      <c r="B7841" t="str">
        <f>T("   ZZZ_Monde")</f>
        <v xml:space="preserve">   ZZZ_Monde</v>
      </c>
      <c r="C7841">
        <v>22050698</v>
      </c>
      <c r="D7841">
        <v>6590</v>
      </c>
    </row>
    <row r="7842" spans="1:4" x14ac:dyDescent="0.25">
      <c r="A7842" t="str">
        <f>T("   FR")</f>
        <v xml:space="preserve">   FR</v>
      </c>
      <c r="B7842" t="str">
        <f>T("   France")</f>
        <v xml:space="preserve">   France</v>
      </c>
      <c r="C7842">
        <v>21402400</v>
      </c>
      <c r="D7842">
        <v>3790</v>
      </c>
    </row>
    <row r="7843" spans="1:4" x14ac:dyDescent="0.25">
      <c r="A7843" t="str">
        <f>T("   TG")</f>
        <v xml:space="preserve">   TG</v>
      </c>
      <c r="B7843" t="str">
        <f>T("   Togo")</f>
        <v xml:space="preserve">   Togo</v>
      </c>
      <c r="C7843">
        <v>648298</v>
      </c>
      <c r="D7843">
        <v>2800</v>
      </c>
    </row>
    <row r="7844" spans="1:4" x14ac:dyDescent="0.25">
      <c r="A7844" t="str">
        <f>T("640191")</f>
        <v>640191</v>
      </c>
      <c r="B7844" t="str">
        <f>T("Chaussures étanches, à semelles extérieures et dessus en caoutchouc ou en matière plastique, dont le dessus n'a été ni réuni à la semelle extérieure par couture ou par rivets, clous, vis, tétons ou dispositifs simil., ni formé de différentes parties assem")</f>
        <v>Chaussures étanches, à semelles extérieures et dessus en caoutchouc ou en matière plastique, dont le dessus n'a été ni réuni à la semelle extérieure par couture ou par rivets, clous, vis, tétons ou dispositifs simil., ni formé de différentes parties assem</v>
      </c>
    </row>
    <row r="7845" spans="1:4" x14ac:dyDescent="0.25">
      <c r="A7845" t="str">
        <f>T("   ZZZ_Monde")</f>
        <v xml:space="preserve">   ZZZ_Monde</v>
      </c>
      <c r="B7845" t="str">
        <f>T("   ZZZ_Monde")</f>
        <v xml:space="preserve">   ZZZ_Monde</v>
      </c>
      <c r="C7845">
        <v>86440</v>
      </c>
      <c r="D7845">
        <v>200</v>
      </c>
    </row>
    <row r="7846" spans="1:4" x14ac:dyDescent="0.25">
      <c r="A7846" t="str">
        <f>T("   TG")</f>
        <v xml:space="preserve">   TG</v>
      </c>
      <c r="B7846" t="str">
        <f>T("   Togo")</f>
        <v xml:space="preserve">   Togo</v>
      </c>
      <c r="C7846">
        <v>86440</v>
      </c>
      <c r="D7846">
        <v>200</v>
      </c>
    </row>
    <row r="7847" spans="1:4" x14ac:dyDescent="0.25">
      <c r="A7847" t="str">
        <f>T("640192")</f>
        <v>640192</v>
      </c>
      <c r="B7847" t="str">
        <f>T("CHAUSSURES ÉTANCHES, À SEMELLES EXTÉRIEURES ET DESSUS EN CAOUTCHOUC OU EN MATIÈRE PLASTIQUE, DONT LE DESSUS N'A ÉTÉ NI RÉUNI À LA SEMELLE EXTÉRIEURE PAR COUTURE OU PAR RIVETS, CLOUS OU DISPOSITIFS SIMIL., NI FORMÉ DE DIFFÉRENTES PARTIES ASSEMBLÉES PAR CES")</f>
        <v>CHAUSSURES ÉTANCHES, À SEMELLES EXTÉRIEURES ET DESSUS EN CAOUTCHOUC OU EN MATIÈRE PLASTIQUE, DONT LE DESSUS N'A ÉTÉ NI RÉUNI À LA SEMELLE EXTÉRIEURE PAR COUTURE OU PAR RIVETS, CLOUS OU DISPOSITIFS SIMIL., NI FORMÉ DE DIFFÉRENTES PARTIES ASSEMBLÉES PAR CES</v>
      </c>
    </row>
    <row r="7848" spans="1:4" x14ac:dyDescent="0.25">
      <c r="A7848" t="str">
        <f>T("   ZZZ_Monde")</f>
        <v xml:space="preserve">   ZZZ_Monde</v>
      </c>
      <c r="B7848" t="str">
        <f>T("   ZZZ_Monde")</f>
        <v xml:space="preserve">   ZZZ_Monde</v>
      </c>
      <c r="C7848">
        <v>3265339</v>
      </c>
      <c r="D7848">
        <v>2191</v>
      </c>
    </row>
    <row r="7849" spans="1:4" x14ac:dyDescent="0.25">
      <c r="A7849" t="str">
        <f>T("   CN")</f>
        <v xml:space="preserve">   CN</v>
      </c>
      <c r="B7849" t="str">
        <f>T("   Chine")</f>
        <v xml:space="preserve">   Chine</v>
      </c>
      <c r="C7849">
        <v>1558800</v>
      </c>
      <c r="D7849">
        <v>891</v>
      </c>
    </row>
    <row r="7850" spans="1:4" x14ac:dyDescent="0.25">
      <c r="A7850" t="str">
        <f>T("   FR")</f>
        <v xml:space="preserve">   FR</v>
      </c>
      <c r="B7850" t="str">
        <f>T("   France")</f>
        <v xml:space="preserve">   France</v>
      </c>
      <c r="C7850">
        <v>1706539</v>
      </c>
      <c r="D7850">
        <v>1300</v>
      </c>
    </row>
    <row r="7851" spans="1:4" x14ac:dyDescent="0.25">
      <c r="A7851" t="str">
        <f>T("640199")</f>
        <v>640199</v>
      </c>
      <c r="B7851" t="str">
        <f>T("Chaussures étanches, à semelles extérieures et dessus en caoutchouc ou en matière plastique, dont le dessus n'a été ni réuni à la semelle extérieure par couture ou par rivets, clous, vis, tétons ou dispositifs simil., ni formé de différentes parties assem")</f>
        <v>Chaussures étanches, à semelles extérieures et dessus en caoutchouc ou en matière plastique, dont le dessus n'a été ni réuni à la semelle extérieure par couture ou par rivets, clous, vis, tétons ou dispositifs simil., ni formé de différentes parties assem</v>
      </c>
    </row>
    <row r="7852" spans="1:4" x14ac:dyDescent="0.25">
      <c r="A7852" t="str">
        <f>T("   ZZZ_Monde")</f>
        <v xml:space="preserve">   ZZZ_Monde</v>
      </c>
      <c r="B7852" t="str">
        <f>T("   ZZZ_Monde")</f>
        <v xml:space="preserve">   ZZZ_Monde</v>
      </c>
      <c r="C7852">
        <v>83691563</v>
      </c>
      <c r="D7852">
        <v>86073</v>
      </c>
    </row>
    <row r="7853" spans="1:4" x14ac:dyDescent="0.25">
      <c r="A7853" t="str">
        <f>T("   CN")</f>
        <v xml:space="preserve">   CN</v>
      </c>
      <c r="B7853" t="str">
        <f>T("   Chine")</f>
        <v xml:space="preserve">   Chine</v>
      </c>
      <c r="C7853">
        <v>1089691</v>
      </c>
      <c r="D7853">
        <v>493</v>
      </c>
    </row>
    <row r="7854" spans="1:4" x14ac:dyDescent="0.25">
      <c r="A7854" t="str">
        <f>T("   DE")</f>
        <v xml:space="preserve">   DE</v>
      </c>
      <c r="B7854" t="str">
        <f>T("   Allemagne")</f>
        <v xml:space="preserve">   Allemagne</v>
      </c>
      <c r="C7854">
        <v>383480</v>
      </c>
      <c r="D7854">
        <v>4300</v>
      </c>
    </row>
    <row r="7855" spans="1:4" x14ac:dyDescent="0.25">
      <c r="A7855" t="str">
        <f>T("   FR")</f>
        <v xml:space="preserve">   FR</v>
      </c>
      <c r="B7855" t="str">
        <f>T("   France")</f>
        <v xml:space="preserve">   France</v>
      </c>
      <c r="C7855">
        <v>67218392</v>
      </c>
      <c r="D7855">
        <v>24043</v>
      </c>
    </row>
    <row r="7856" spans="1:4" x14ac:dyDescent="0.25">
      <c r="A7856" t="str">
        <f>T("   TG")</f>
        <v xml:space="preserve">   TG</v>
      </c>
      <c r="B7856" t="str">
        <f>T("   Togo")</f>
        <v xml:space="preserve">   Togo</v>
      </c>
      <c r="C7856">
        <v>15000000</v>
      </c>
      <c r="D7856">
        <v>57237</v>
      </c>
    </row>
    <row r="7857" spans="1:4" x14ac:dyDescent="0.25">
      <c r="A7857" t="str">
        <f>T("640212")</f>
        <v>640212</v>
      </c>
      <c r="B7857" t="str">
        <f>T("Chaussures de ski et chaussures pour le surf des neiges, à semelles extérieures et dessus en caoutchouc ou en matière plastique (sauf chaussures étanches du n° 6401)")</f>
        <v>Chaussures de ski et chaussures pour le surf des neiges, à semelles extérieures et dessus en caoutchouc ou en matière plastique (sauf chaussures étanches du n° 6401)</v>
      </c>
    </row>
    <row r="7858" spans="1:4" x14ac:dyDescent="0.25">
      <c r="A7858" t="str">
        <f>T("   ZZZ_Monde")</f>
        <v xml:space="preserve">   ZZZ_Monde</v>
      </c>
      <c r="B7858" t="str">
        <f>T("   ZZZ_Monde")</f>
        <v xml:space="preserve">   ZZZ_Monde</v>
      </c>
      <c r="C7858">
        <v>36000</v>
      </c>
      <c r="D7858">
        <v>50</v>
      </c>
    </row>
    <row r="7859" spans="1:4" x14ac:dyDescent="0.25">
      <c r="A7859" t="str">
        <f>T("   NG")</f>
        <v xml:space="preserve">   NG</v>
      </c>
      <c r="B7859" t="str">
        <f>T("   Nigéria")</f>
        <v xml:space="preserve">   Nigéria</v>
      </c>
      <c r="C7859">
        <v>36000</v>
      </c>
      <c r="D7859">
        <v>50</v>
      </c>
    </row>
    <row r="7860" spans="1:4" x14ac:dyDescent="0.25">
      <c r="A7860" t="str">
        <f>T("640219")</f>
        <v>640219</v>
      </c>
      <c r="B7860" t="str">
        <f>T("Chaussures de sport à semelles extérieures et dessus en caoutchouc ou en matière plastique (sauf chaussures étanches du n° 6401, chaussures de ski, chaussures pour le surf des neiges et chaussures auxquelles sont fixés des patins à glace ou à roulettes)")</f>
        <v>Chaussures de sport à semelles extérieures et dessus en caoutchouc ou en matière plastique (sauf chaussures étanches du n° 6401, chaussures de ski, chaussures pour le surf des neiges et chaussures auxquelles sont fixés des patins à glace ou à roulettes)</v>
      </c>
    </row>
    <row r="7861" spans="1:4" x14ac:dyDescent="0.25">
      <c r="A7861" t="str">
        <f>T("   ZZZ_Monde")</f>
        <v xml:space="preserve">   ZZZ_Monde</v>
      </c>
      <c r="B7861" t="str">
        <f>T("   ZZZ_Monde")</f>
        <v xml:space="preserve">   ZZZ_Monde</v>
      </c>
      <c r="C7861">
        <v>63787938</v>
      </c>
      <c r="D7861">
        <v>201466</v>
      </c>
    </row>
    <row r="7862" spans="1:4" x14ac:dyDescent="0.25">
      <c r="A7862" t="str">
        <f>T("   CN")</f>
        <v xml:space="preserve">   CN</v>
      </c>
      <c r="B7862" t="str">
        <f>T("   Chine")</f>
        <v xml:space="preserve">   Chine</v>
      </c>
      <c r="C7862">
        <v>51709131</v>
      </c>
      <c r="D7862">
        <v>134978</v>
      </c>
    </row>
    <row r="7863" spans="1:4" x14ac:dyDescent="0.25">
      <c r="A7863" t="str">
        <f>T("   DK")</f>
        <v xml:space="preserve">   DK</v>
      </c>
      <c r="B7863" t="str">
        <f>T("   Danemark")</f>
        <v xml:space="preserve">   Danemark</v>
      </c>
      <c r="C7863">
        <v>720000</v>
      </c>
      <c r="D7863">
        <v>800</v>
      </c>
    </row>
    <row r="7864" spans="1:4" x14ac:dyDescent="0.25">
      <c r="A7864" t="str">
        <f>T("   FR")</f>
        <v xml:space="preserve">   FR</v>
      </c>
      <c r="B7864" t="str">
        <f>T("   France")</f>
        <v xml:space="preserve">   France</v>
      </c>
      <c r="C7864">
        <v>518278</v>
      </c>
      <c r="D7864">
        <v>91</v>
      </c>
    </row>
    <row r="7865" spans="1:4" x14ac:dyDescent="0.25">
      <c r="A7865" t="str">
        <f>T("   IT")</f>
        <v xml:space="preserve">   IT</v>
      </c>
      <c r="B7865" t="str">
        <f>T("   Italie")</f>
        <v xml:space="preserve">   Italie</v>
      </c>
      <c r="C7865">
        <v>27190</v>
      </c>
      <c r="D7865">
        <v>1707</v>
      </c>
    </row>
    <row r="7866" spans="1:4" x14ac:dyDescent="0.25">
      <c r="A7866" t="str">
        <f>T("   TG")</f>
        <v xml:space="preserve">   TG</v>
      </c>
      <c r="B7866" t="str">
        <f>T("   Togo")</f>
        <v xml:space="preserve">   Togo</v>
      </c>
      <c r="C7866">
        <v>10813339</v>
      </c>
      <c r="D7866">
        <v>63890</v>
      </c>
    </row>
    <row r="7867" spans="1:4" x14ac:dyDescent="0.25">
      <c r="A7867" t="str">
        <f>T("640220")</f>
        <v>640220</v>
      </c>
      <c r="B7867" t="str">
        <f>T("Chaussures à semelles extérieures et dessus en caoutchouc ou en matière plastique, à dessus en lanières ou brides fixées à la semelle par des tétons (sauf chaussures ayant le caractère de jouets)")</f>
        <v>Chaussures à semelles extérieures et dessus en caoutchouc ou en matière plastique, à dessus en lanières ou brides fixées à la semelle par des tétons (sauf chaussures ayant le caractère de jouets)</v>
      </c>
    </row>
    <row r="7868" spans="1:4" x14ac:dyDescent="0.25">
      <c r="A7868" t="str">
        <f>T("   ZZZ_Monde")</f>
        <v xml:space="preserve">   ZZZ_Monde</v>
      </c>
      <c r="B7868" t="str">
        <f>T("   ZZZ_Monde")</f>
        <v xml:space="preserve">   ZZZ_Monde</v>
      </c>
      <c r="C7868">
        <v>207119821</v>
      </c>
      <c r="D7868">
        <v>1335478</v>
      </c>
    </row>
    <row r="7869" spans="1:4" x14ac:dyDescent="0.25">
      <c r="A7869" t="str">
        <f>T("   CN")</f>
        <v xml:space="preserve">   CN</v>
      </c>
      <c r="B7869" t="str">
        <f>T("   Chine")</f>
        <v xml:space="preserve">   Chine</v>
      </c>
      <c r="C7869">
        <v>11370891</v>
      </c>
      <c r="D7869">
        <v>50236</v>
      </c>
    </row>
    <row r="7870" spans="1:4" x14ac:dyDescent="0.25">
      <c r="A7870" t="str">
        <f>T("   ES")</f>
        <v xml:space="preserve">   ES</v>
      </c>
      <c r="B7870" t="str">
        <f>T("   Espagne")</f>
        <v xml:space="preserve">   Espagne</v>
      </c>
      <c r="C7870">
        <v>671090</v>
      </c>
      <c r="D7870">
        <v>125</v>
      </c>
    </row>
    <row r="7871" spans="1:4" x14ac:dyDescent="0.25">
      <c r="A7871" t="str">
        <f>T("   GH")</f>
        <v xml:space="preserve">   GH</v>
      </c>
      <c r="B7871" t="str">
        <f>T("   Ghana")</f>
        <v xml:space="preserve">   Ghana</v>
      </c>
      <c r="C7871">
        <v>11400000</v>
      </c>
      <c r="D7871">
        <v>145229</v>
      </c>
    </row>
    <row r="7872" spans="1:4" x14ac:dyDescent="0.25">
      <c r="A7872" t="str">
        <f>T("   IT")</f>
        <v xml:space="preserve">   IT</v>
      </c>
      <c r="B7872" t="str">
        <f>T("   Italie")</f>
        <v xml:space="preserve">   Italie</v>
      </c>
      <c r="C7872">
        <v>234882</v>
      </c>
      <c r="D7872">
        <v>162</v>
      </c>
    </row>
    <row r="7873" spans="1:4" x14ac:dyDescent="0.25">
      <c r="A7873" t="str">
        <f>T("   NG")</f>
        <v xml:space="preserve">   NG</v>
      </c>
      <c r="B7873" t="str">
        <f>T("   Nigéria")</f>
        <v xml:space="preserve">   Nigéria</v>
      </c>
      <c r="C7873">
        <v>33023277</v>
      </c>
      <c r="D7873">
        <v>83913</v>
      </c>
    </row>
    <row r="7874" spans="1:4" x14ac:dyDescent="0.25">
      <c r="A7874" t="str">
        <f>T("   TG")</f>
        <v xml:space="preserve">   TG</v>
      </c>
      <c r="B7874" t="str">
        <f>T("   Togo")</f>
        <v xml:space="preserve">   Togo</v>
      </c>
      <c r="C7874">
        <v>150419681</v>
      </c>
      <c r="D7874">
        <v>1055813</v>
      </c>
    </row>
    <row r="7875" spans="1:4" x14ac:dyDescent="0.25">
      <c r="A7875" t="str">
        <f>T("640230")</f>
        <v>640230</v>
      </c>
      <c r="B7875" t="str">
        <f>T("Chaussures à semelles extérieures et dessus en caoutchouc ou en matières plastiques, comportant à l'avant, une coquille de protection en métal (sauf chaussures étanches à semelles extérieures et dessus en caoutchouc ou matières plastiques, dont le dessus")</f>
        <v>Chaussures à semelles extérieures et dessus en caoutchouc ou en matières plastiques, comportant à l'avant, une coquille de protection en métal (sauf chaussures étanches à semelles extérieures et dessus en caoutchouc ou matières plastiques, dont le dessus</v>
      </c>
    </row>
    <row r="7876" spans="1:4" x14ac:dyDescent="0.25">
      <c r="A7876" t="str">
        <f>T("   ZZZ_Monde")</f>
        <v xml:space="preserve">   ZZZ_Monde</v>
      </c>
      <c r="B7876" t="str">
        <f>T("   ZZZ_Monde")</f>
        <v xml:space="preserve">   ZZZ_Monde</v>
      </c>
      <c r="C7876">
        <v>26810565</v>
      </c>
      <c r="D7876">
        <v>135048</v>
      </c>
    </row>
    <row r="7877" spans="1:4" x14ac:dyDescent="0.25">
      <c r="A7877" t="str">
        <f>T("   CN")</f>
        <v xml:space="preserve">   CN</v>
      </c>
      <c r="B7877" t="str">
        <f>T("   Chine")</f>
        <v xml:space="preserve">   Chine</v>
      </c>
      <c r="C7877">
        <v>850000</v>
      </c>
      <c r="D7877">
        <v>4500</v>
      </c>
    </row>
    <row r="7878" spans="1:4" x14ac:dyDescent="0.25">
      <c r="A7878" t="str">
        <f>T("   DE")</f>
        <v xml:space="preserve">   DE</v>
      </c>
      <c r="B7878" t="str">
        <f>T("   Allemagne")</f>
        <v xml:space="preserve">   Allemagne</v>
      </c>
      <c r="C7878">
        <v>2435448</v>
      </c>
      <c r="D7878">
        <v>450</v>
      </c>
    </row>
    <row r="7879" spans="1:4" x14ac:dyDescent="0.25">
      <c r="A7879" t="str">
        <f>T("   FR")</f>
        <v xml:space="preserve">   FR</v>
      </c>
      <c r="B7879" t="str">
        <f>T("   France")</f>
        <v xml:space="preserve">   France</v>
      </c>
      <c r="C7879">
        <v>1648429</v>
      </c>
      <c r="D7879">
        <v>528</v>
      </c>
    </row>
    <row r="7880" spans="1:4" x14ac:dyDescent="0.25">
      <c r="A7880" t="str">
        <f>T("   TG")</f>
        <v xml:space="preserve">   TG</v>
      </c>
      <c r="B7880" t="str">
        <f>T("   Togo")</f>
        <v xml:space="preserve">   Togo</v>
      </c>
      <c r="C7880">
        <v>21876688</v>
      </c>
      <c r="D7880">
        <v>129570</v>
      </c>
    </row>
    <row r="7881" spans="1:4" x14ac:dyDescent="0.25">
      <c r="A7881" t="str">
        <f>T("640291")</f>
        <v>640291</v>
      </c>
      <c r="B7881" t="str">
        <f>T("CHAUSSURES À SEMELLES EXTÉRIEURES ET DESSUS EN CAOUTCHOUC OU EN MATIÈRES PLASTIQUES, COUVRANT LA CHEVILLE (SAUF CHAUSSURES ÉTANCHES DU N° 6401, CHAUSSURES D'ORTHOPÉDIE ET DE SPORT ET CHAUSSURES AYANT LE CARACTÈRE DE JOUETS)")</f>
        <v>CHAUSSURES À SEMELLES EXTÉRIEURES ET DESSUS EN CAOUTCHOUC OU EN MATIÈRES PLASTIQUES, COUVRANT LA CHEVILLE (SAUF CHAUSSURES ÉTANCHES DU N° 6401, CHAUSSURES D'ORTHOPÉDIE ET DE SPORT ET CHAUSSURES AYANT LE CARACTÈRE DE JOUETS)</v>
      </c>
    </row>
    <row r="7882" spans="1:4" x14ac:dyDescent="0.25">
      <c r="A7882" t="str">
        <f>T("   ZZZ_Monde")</f>
        <v xml:space="preserve">   ZZZ_Monde</v>
      </c>
      <c r="B7882" t="str">
        <f>T("   ZZZ_Monde")</f>
        <v xml:space="preserve">   ZZZ_Monde</v>
      </c>
      <c r="C7882">
        <v>2172149</v>
      </c>
      <c r="D7882">
        <v>4780</v>
      </c>
    </row>
    <row r="7883" spans="1:4" x14ac:dyDescent="0.25">
      <c r="A7883" t="str">
        <f>T("   CN")</f>
        <v xml:space="preserve">   CN</v>
      </c>
      <c r="B7883" t="str">
        <f>T("   Chine")</f>
        <v xml:space="preserve">   Chine</v>
      </c>
      <c r="C7883">
        <v>1848000</v>
      </c>
      <c r="D7883">
        <v>3500</v>
      </c>
    </row>
    <row r="7884" spans="1:4" x14ac:dyDescent="0.25">
      <c r="A7884" t="str">
        <f>T("   TG")</f>
        <v xml:space="preserve">   TG</v>
      </c>
      <c r="B7884" t="str">
        <f>T("   Togo")</f>
        <v xml:space="preserve">   Togo</v>
      </c>
      <c r="C7884">
        <v>324149</v>
      </c>
      <c r="D7884">
        <v>1280</v>
      </c>
    </row>
    <row r="7885" spans="1:4" x14ac:dyDescent="0.25">
      <c r="A7885" t="str">
        <f>T("640299")</f>
        <v>640299</v>
      </c>
      <c r="B7885" t="str">
        <f>T("CHAUSSURES À SEMELLES EXTÉRIEURES ET DESSUS EN CAOUTCHOUC OU EN MATIÈRES PLASTIQUES (SAUF COUVRANT LA CHEVILLE OU À DESSUS EN LANIÈRES OU BRIDES FIXÉES À LA SEMELLE PAR DES TÉTONS AINSI QUE DES CHAUSSURES ÉTANCHES DU N° 6401, DES CHAUSSURES D'ORTHOPÉDIE E")</f>
        <v>CHAUSSURES À SEMELLES EXTÉRIEURES ET DESSUS EN CAOUTCHOUC OU EN MATIÈRES PLASTIQUES (SAUF COUVRANT LA CHEVILLE OU À DESSUS EN LANIÈRES OU BRIDES FIXÉES À LA SEMELLE PAR DES TÉTONS AINSI QUE DES CHAUSSURES ÉTANCHES DU N° 6401, DES CHAUSSURES D'ORTHOPÉDIE E</v>
      </c>
    </row>
    <row r="7886" spans="1:4" x14ac:dyDescent="0.25">
      <c r="A7886" t="str">
        <f>T("   ZZZ_Monde")</f>
        <v xml:space="preserve">   ZZZ_Monde</v>
      </c>
      <c r="B7886" t="str">
        <f>T("   ZZZ_Monde")</f>
        <v xml:space="preserve">   ZZZ_Monde</v>
      </c>
      <c r="C7886">
        <v>1894647180</v>
      </c>
      <c r="D7886">
        <v>5666184</v>
      </c>
    </row>
    <row r="7887" spans="1:4" x14ac:dyDescent="0.25">
      <c r="A7887" t="str">
        <f>T("   AE")</f>
        <v xml:space="preserve">   AE</v>
      </c>
      <c r="B7887" t="str">
        <f>T("   Emirats Arabes Unis")</f>
        <v xml:space="preserve">   Emirats Arabes Unis</v>
      </c>
      <c r="C7887">
        <v>40160</v>
      </c>
      <c r="D7887">
        <v>175</v>
      </c>
    </row>
    <row r="7888" spans="1:4" x14ac:dyDescent="0.25">
      <c r="A7888" t="str">
        <f>T("   AU")</f>
        <v xml:space="preserve">   AU</v>
      </c>
      <c r="B7888" t="str">
        <f>T("   Australie")</f>
        <v xml:space="preserve">   Australie</v>
      </c>
      <c r="C7888">
        <v>8732319</v>
      </c>
      <c r="D7888">
        <v>13650</v>
      </c>
    </row>
    <row r="7889" spans="1:4" x14ac:dyDescent="0.25">
      <c r="A7889" t="str">
        <f>T("   BE")</f>
        <v xml:space="preserve">   BE</v>
      </c>
      <c r="B7889" t="str">
        <f>T("   Belgique")</f>
        <v xml:space="preserve">   Belgique</v>
      </c>
      <c r="C7889">
        <v>846845</v>
      </c>
      <c r="D7889">
        <v>1139</v>
      </c>
    </row>
    <row r="7890" spans="1:4" x14ac:dyDescent="0.25">
      <c r="A7890" t="str">
        <f>T("   CI")</f>
        <v xml:space="preserve">   CI</v>
      </c>
      <c r="B7890" t="str">
        <f>T("   Côte d'Ivoire")</f>
        <v xml:space="preserve">   Côte d'Ivoire</v>
      </c>
      <c r="C7890">
        <v>6304291</v>
      </c>
      <c r="D7890">
        <v>22785</v>
      </c>
    </row>
    <row r="7891" spans="1:4" x14ac:dyDescent="0.25">
      <c r="A7891" t="str">
        <f>T("   CN")</f>
        <v xml:space="preserve">   CN</v>
      </c>
      <c r="B7891" t="str">
        <f>T("   Chine")</f>
        <v xml:space="preserve">   Chine</v>
      </c>
      <c r="C7891">
        <v>1707371928</v>
      </c>
      <c r="D7891">
        <v>4853230</v>
      </c>
    </row>
    <row r="7892" spans="1:4" x14ac:dyDescent="0.25">
      <c r="A7892" t="str">
        <f>T("   FR")</f>
        <v xml:space="preserve">   FR</v>
      </c>
      <c r="B7892" t="str">
        <f>T("   France")</f>
        <v xml:space="preserve">   France</v>
      </c>
      <c r="C7892">
        <v>16218695</v>
      </c>
      <c r="D7892">
        <v>6831</v>
      </c>
    </row>
    <row r="7893" spans="1:4" x14ac:dyDescent="0.25">
      <c r="A7893" t="str">
        <f>T("   GH")</f>
        <v xml:space="preserve">   GH</v>
      </c>
      <c r="B7893" t="str">
        <f>T("   Ghana")</f>
        <v xml:space="preserve">   Ghana</v>
      </c>
      <c r="C7893">
        <v>29305637</v>
      </c>
      <c r="D7893">
        <v>183016</v>
      </c>
    </row>
    <row r="7894" spans="1:4" x14ac:dyDescent="0.25">
      <c r="A7894" t="str">
        <f>T("   HK")</f>
        <v xml:space="preserve">   HK</v>
      </c>
      <c r="B7894" t="str">
        <f>T("   Hong-Kong")</f>
        <v xml:space="preserve">   Hong-Kong</v>
      </c>
      <c r="C7894">
        <v>220000</v>
      </c>
      <c r="D7894">
        <v>250</v>
      </c>
    </row>
    <row r="7895" spans="1:4" x14ac:dyDescent="0.25">
      <c r="A7895" t="str">
        <f>T("   IL")</f>
        <v xml:space="preserve">   IL</v>
      </c>
      <c r="B7895" t="str">
        <f>T("   Israël")</f>
        <v xml:space="preserve">   Israël</v>
      </c>
      <c r="C7895">
        <v>8800359</v>
      </c>
      <c r="D7895">
        <v>20000</v>
      </c>
    </row>
    <row r="7896" spans="1:4" x14ac:dyDescent="0.25">
      <c r="A7896" t="str">
        <f>T("   IT")</f>
        <v xml:space="preserve">   IT</v>
      </c>
      <c r="B7896" t="str">
        <f>T("   Italie")</f>
        <v xml:space="preserve">   Italie</v>
      </c>
      <c r="C7896">
        <v>362000</v>
      </c>
      <c r="D7896">
        <v>170</v>
      </c>
    </row>
    <row r="7897" spans="1:4" x14ac:dyDescent="0.25">
      <c r="A7897" t="str">
        <f>T("   KR")</f>
        <v xml:space="preserve">   KR</v>
      </c>
      <c r="B7897" t="str">
        <f>T("   Corée, République de")</f>
        <v xml:space="preserve">   Corée, République de</v>
      </c>
      <c r="C7897">
        <v>2930746</v>
      </c>
      <c r="D7897">
        <v>1500</v>
      </c>
    </row>
    <row r="7898" spans="1:4" x14ac:dyDescent="0.25">
      <c r="A7898" t="str">
        <f>T("   LB")</f>
        <v xml:space="preserve">   LB</v>
      </c>
      <c r="B7898" t="str">
        <f>T("   Liban")</f>
        <v xml:space="preserve">   Liban</v>
      </c>
      <c r="C7898">
        <v>9713548</v>
      </c>
      <c r="D7898">
        <v>5360</v>
      </c>
    </row>
    <row r="7899" spans="1:4" x14ac:dyDescent="0.25">
      <c r="A7899" t="str">
        <f>T("   MR")</f>
        <v xml:space="preserve">   MR</v>
      </c>
      <c r="B7899" t="str">
        <f>T("   Mauritanie")</f>
        <v xml:space="preserve">   Mauritanie</v>
      </c>
      <c r="C7899">
        <v>62972</v>
      </c>
      <c r="D7899">
        <v>63</v>
      </c>
    </row>
    <row r="7900" spans="1:4" x14ac:dyDescent="0.25">
      <c r="A7900" t="str">
        <f>T("   TG")</f>
        <v xml:space="preserve">   TG</v>
      </c>
      <c r="B7900" t="str">
        <f>T("   Togo")</f>
        <v xml:space="preserve">   Togo</v>
      </c>
      <c r="C7900">
        <v>91515500</v>
      </c>
      <c r="D7900">
        <v>525495</v>
      </c>
    </row>
    <row r="7901" spans="1:4" x14ac:dyDescent="0.25">
      <c r="A7901" t="str">
        <f>T("   TH")</f>
        <v xml:space="preserve">   TH</v>
      </c>
      <c r="B7901" t="str">
        <f>T("   Thaïlande")</f>
        <v xml:space="preserve">   Thaïlande</v>
      </c>
      <c r="C7901">
        <v>5306180</v>
      </c>
      <c r="D7901">
        <v>10020</v>
      </c>
    </row>
    <row r="7902" spans="1:4" x14ac:dyDescent="0.25">
      <c r="A7902" t="str">
        <f>T("   US")</f>
        <v xml:space="preserve">   US</v>
      </c>
      <c r="B7902" t="str">
        <f>T("   Etats-Unis")</f>
        <v xml:space="preserve">   Etats-Unis</v>
      </c>
      <c r="C7902">
        <v>6916000</v>
      </c>
      <c r="D7902">
        <v>22500</v>
      </c>
    </row>
    <row r="7903" spans="1:4" x14ac:dyDescent="0.25">
      <c r="A7903" t="str">
        <f>T("640319")</f>
        <v>640319</v>
      </c>
      <c r="B7903" t="str">
        <f>T("Chaussures de sport à semelles extérieures en caoutchouc, matière plastique, cuir naturel ou reconstitué et dessus en cuir naturel (sauf chaussures de ski, chaussures pour le surf des neiges et chaussures auxquelles sont fixés des patins à glace ou à roul")</f>
        <v>Chaussures de sport à semelles extérieures en caoutchouc, matière plastique, cuir naturel ou reconstitué et dessus en cuir naturel (sauf chaussures de ski, chaussures pour le surf des neiges et chaussures auxquelles sont fixés des patins à glace ou à roul</v>
      </c>
    </row>
    <row r="7904" spans="1:4" x14ac:dyDescent="0.25">
      <c r="A7904" t="str">
        <f>T("   ZZZ_Monde")</f>
        <v xml:space="preserve">   ZZZ_Monde</v>
      </c>
      <c r="B7904" t="str">
        <f>T("   ZZZ_Monde")</f>
        <v xml:space="preserve">   ZZZ_Monde</v>
      </c>
      <c r="C7904">
        <v>98138264</v>
      </c>
      <c r="D7904">
        <v>341619</v>
      </c>
    </row>
    <row r="7905" spans="1:4" x14ac:dyDescent="0.25">
      <c r="A7905" t="str">
        <f>T("   CN")</f>
        <v xml:space="preserve">   CN</v>
      </c>
      <c r="B7905" t="str">
        <f>T("   Chine")</f>
        <v xml:space="preserve">   Chine</v>
      </c>
      <c r="C7905">
        <v>8248494</v>
      </c>
      <c r="D7905">
        <v>28243</v>
      </c>
    </row>
    <row r="7906" spans="1:4" x14ac:dyDescent="0.25">
      <c r="A7906" t="str">
        <f>T("   DE")</f>
        <v xml:space="preserve">   DE</v>
      </c>
      <c r="B7906" t="str">
        <f>T("   Allemagne")</f>
        <v xml:space="preserve">   Allemagne</v>
      </c>
      <c r="C7906">
        <v>479570</v>
      </c>
      <c r="D7906">
        <v>90</v>
      </c>
    </row>
    <row r="7907" spans="1:4" x14ac:dyDescent="0.25">
      <c r="A7907" t="str">
        <f>T("   FR")</f>
        <v xml:space="preserve">   FR</v>
      </c>
      <c r="B7907" t="str">
        <f>T("   France")</f>
        <v xml:space="preserve">   France</v>
      </c>
      <c r="C7907">
        <v>1002121</v>
      </c>
      <c r="D7907">
        <v>296</v>
      </c>
    </row>
    <row r="7908" spans="1:4" x14ac:dyDescent="0.25">
      <c r="A7908" t="str">
        <f>T("   GH")</f>
        <v xml:space="preserve">   GH</v>
      </c>
      <c r="B7908" t="str">
        <f>T("   Ghana")</f>
        <v xml:space="preserve">   Ghana</v>
      </c>
      <c r="C7908">
        <v>250000</v>
      </c>
      <c r="D7908">
        <v>1270</v>
      </c>
    </row>
    <row r="7909" spans="1:4" x14ac:dyDescent="0.25">
      <c r="A7909" t="str">
        <f>T("   IT")</f>
        <v xml:space="preserve">   IT</v>
      </c>
      <c r="B7909" t="str">
        <f>T("   Italie")</f>
        <v xml:space="preserve">   Italie</v>
      </c>
      <c r="C7909">
        <v>25286127</v>
      </c>
      <c r="D7909">
        <v>2531</v>
      </c>
    </row>
    <row r="7910" spans="1:4" x14ac:dyDescent="0.25">
      <c r="A7910" t="str">
        <f>T("   TG")</f>
        <v xml:space="preserve">   TG</v>
      </c>
      <c r="B7910" t="str">
        <f>T("   Togo")</f>
        <v xml:space="preserve">   Togo</v>
      </c>
      <c r="C7910">
        <v>62871952</v>
      </c>
      <c r="D7910">
        <v>309189</v>
      </c>
    </row>
    <row r="7911" spans="1:4" x14ac:dyDescent="0.25">
      <c r="A7911" t="str">
        <f>T("640320")</f>
        <v>640320</v>
      </c>
      <c r="B7911" t="str">
        <f>T("Chaussures à semelles extérieures en cuir naturel et dessus constitués de lanières en cuir naturel passant sur le cou-de-pied et entourant le gros orteil")</f>
        <v>Chaussures à semelles extérieures en cuir naturel et dessus constitués de lanières en cuir naturel passant sur le cou-de-pied et entourant le gros orteil</v>
      </c>
    </row>
    <row r="7912" spans="1:4" x14ac:dyDescent="0.25">
      <c r="A7912" t="str">
        <f>T("   ZZZ_Monde")</f>
        <v xml:space="preserve">   ZZZ_Monde</v>
      </c>
      <c r="B7912" t="str">
        <f>T("   ZZZ_Monde")</f>
        <v xml:space="preserve">   ZZZ_Monde</v>
      </c>
      <c r="C7912">
        <v>4091869</v>
      </c>
      <c r="D7912">
        <v>13403</v>
      </c>
    </row>
    <row r="7913" spans="1:4" x14ac:dyDescent="0.25">
      <c r="A7913" t="str">
        <f>T("   FR")</f>
        <v xml:space="preserve">   FR</v>
      </c>
      <c r="B7913" t="str">
        <f>T("   France")</f>
        <v xml:space="preserve">   France</v>
      </c>
      <c r="C7913">
        <v>1021000</v>
      </c>
      <c r="D7913">
        <v>368</v>
      </c>
    </row>
    <row r="7914" spans="1:4" x14ac:dyDescent="0.25">
      <c r="A7914" t="str">
        <f>T("   TG")</f>
        <v xml:space="preserve">   TG</v>
      </c>
      <c r="B7914" t="str">
        <f>T("   Togo")</f>
        <v xml:space="preserve">   Togo</v>
      </c>
      <c r="C7914">
        <v>1521610</v>
      </c>
      <c r="D7914">
        <v>12935</v>
      </c>
    </row>
    <row r="7915" spans="1:4" x14ac:dyDescent="0.25">
      <c r="A7915" t="str">
        <f>T("   TR")</f>
        <v xml:space="preserve">   TR</v>
      </c>
      <c r="B7915" t="str">
        <f>T("   Turquie")</f>
        <v xml:space="preserve">   Turquie</v>
      </c>
      <c r="C7915">
        <v>1549259</v>
      </c>
      <c r="D7915">
        <v>100</v>
      </c>
    </row>
    <row r="7916" spans="1:4" x14ac:dyDescent="0.25">
      <c r="A7916" t="str">
        <f>T("640340")</f>
        <v>640340</v>
      </c>
      <c r="B7916" t="str">
        <f>T("Chaussures, à semelles extérieures en caoutchouc, matière plastique, cuir naturel ou reconstitué et dessus en cuir naturel, comportant à l'avant une coquille de protection en métal (sauf chaussures de sport ou d'orthopédie)")</f>
        <v>Chaussures, à semelles extérieures en caoutchouc, matière plastique, cuir naturel ou reconstitué et dessus en cuir naturel, comportant à l'avant une coquille de protection en métal (sauf chaussures de sport ou d'orthopédie)</v>
      </c>
    </row>
    <row r="7917" spans="1:4" x14ac:dyDescent="0.25">
      <c r="A7917" t="str">
        <f>T("   ZZZ_Monde")</f>
        <v xml:space="preserve">   ZZZ_Monde</v>
      </c>
      <c r="B7917" t="str">
        <f>T("   ZZZ_Monde")</f>
        <v xml:space="preserve">   ZZZ_Monde</v>
      </c>
      <c r="C7917">
        <v>30581798</v>
      </c>
      <c r="D7917">
        <v>5711</v>
      </c>
    </row>
    <row r="7918" spans="1:4" x14ac:dyDescent="0.25">
      <c r="A7918" t="str">
        <f>T("   AE")</f>
        <v xml:space="preserve">   AE</v>
      </c>
      <c r="B7918" t="str">
        <f>T("   Emirats Arabes Unis")</f>
        <v xml:space="preserve">   Emirats Arabes Unis</v>
      </c>
      <c r="C7918">
        <v>5632527</v>
      </c>
      <c r="D7918">
        <v>1250</v>
      </c>
    </row>
    <row r="7919" spans="1:4" x14ac:dyDescent="0.25">
      <c r="A7919" t="str">
        <f>T("   CN")</f>
        <v xml:space="preserve">   CN</v>
      </c>
      <c r="B7919" t="str">
        <f>T("   Chine")</f>
        <v xml:space="preserve">   Chine</v>
      </c>
      <c r="C7919">
        <v>252000</v>
      </c>
      <c r="D7919">
        <v>36</v>
      </c>
    </row>
    <row r="7920" spans="1:4" x14ac:dyDescent="0.25">
      <c r="A7920" t="str">
        <f>T("   DK")</f>
        <v xml:space="preserve">   DK</v>
      </c>
      <c r="B7920" t="str">
        <f>T("   Danemark")</f>
        <v xml:space="preserve">   Danemark</v>
      </c>
      <c r="C7920">
        <v>6370946</v>
      </c>
      <c r="D7920">
        <v>697</v>
      </c>
    </row>
    <row r="7921" spans="1:4" x14ac:dyDescent="0.25">
      <c r="A7921" t="str">
        <f>T("   FR")</f>
        <v xml:space="preserve">   FR</v>
      </c>
      <c r="B7921" t="str">
        <f>T("   France")</f>
        <v xml:space="preserve">   France</v>
      </c>
      <c r="C7921">
        <v>17901325</v>
      </c>
      <c r="D7921">
        <v>3391</v>
      </c>
    </row>
    <row r="7922" spans="1:4" x14ac:dyDescent="0.25">
      <c r="A7922" t="str">
        <f>T("   TH")</f>
        <v xml:space="preserve">   TH</v>
      </c>
      <c r="B7922" t="str">
        <f>T("   Thaïlande")</f>
        <v xml:space="preserve">   Thaïlande</v>
      </c>
      <c r="C7922">
        <v>425000</v>
      </c>
      <c r="D7922">
        <v>337</v>
      </c>
    </row>
    <row r="7923" spans="1:4" x14ac:dyDescent="0.25">
      <c r="A7923" t="str">
        <f>T("640391")</f>
        <v>640391</v>
      </c>
      <c r="B7923" t="str">
        <f>T("Chaussures à semelles extérieures en caoutchouc, matière plastique ou cuir reconstitué, à dessus en cuir naturel, couvrant la cheville (sauf avec coquille de protection en métal à l'avant et sauf chaussures de sport, d'orthopédie ou ayant le caractère de")</f>
        <v>Chaussures à semelles extérieures en caoutchouc, matière plastique ou cuir reconstitué, à dessus en cuir naturel, couvrant la cheville (sauf avec coquille de protection en métal à l'avant et sauf chaussures de sport, d'orthopédie ou ayant le caractère de</v>
      </c>
    </row>
    <row r="7924" spans="1:4" x14ac:dyDescent="0.25">
      <c r="A7924" t="str">
        <f>T("   ZZZ_Monde")</f>
        <v xml:space="preserve">   ZZZ_Monde</v>
      </c>
      <c r="B7924" t="str">
        <f>T("   ZZZ_Monde")</f>
        <v xml:space="preserve">   ZZZ_Monde</v>
      </c>
      <c r="C7924">
        <v>153538565</v>
      </c>
      <c r="D7924">
        <v>16172</v>
      </c>
    </row>
    <row r="7925" spans="1:4" x14ac:dyDescent="0.25">
      <c r="A7925" t="str">
        <f>T("   CN")</f>
        <v xml:space="preserve">   CN</v>
      </c>
      <c r="B7925" t="str">
        <f>T("   Chine")</f>
        <v xml:space="preserve">   Chine</v>
      </c>
      <c r="C7925">
        <v>141780000</v>
      </c>
      <c r="D7925">
        <v>7642</v>
      </c>
    </row>
    <row r="7926" spans="1:4" x14ac:dyDescent="0.25">
      <c r="A7926" t="str">
        <f>T("   FR")</f>
        <v xml:space="preserve">   FR</v>
      </c>
      <c r="B7926" t="str">
        <f>T("   France")</f>
        <v xml:space="preserve">   France</v>
      </c>
      <c r="C7926">
        <v>6214099</v>
      </c>
      <c r="D7926">
        <v>500</v>
      </c>
    </row>
    <row r="7927" spans="1:4" x14ac:dyDescent="0.25">
      <c r="A7927" t="str">
        <f>T("   LB")</f>
        <v xml:space="preserve">   LB</v>
      </c>
      <c r="B7927" t="str">
        <f>T("   Liban")</f>
        <v xml:space="preserve">   Liban</v>
      </c>
      <c r="C7927">
        <v>962055</v>
      </c>
      <c r="D7927">
        <v>530</v>
      </c>
    </row>
    <row r="7928" spans="1:4" x14ac:dyDescent="0.25">
      <c r="A7928" t="str">
        <f>T("   TG")</f>
        <v xml:space="preserve">   TG</v>
      </c>
      <c r="B7928" t="str">
        <f>T("   Togo")</f>
        <v xml:space="preserve">   Togo</v>
      </c>
      <c r="C7928">
        <v>432199</v>
      </c>
      <c r="D7928">
        <v>2320</v>
      </c>
    </row>
    <row r="7929" spans="1:4" x14ac:dyDescent="0.25">
      <c r="A7929" t="str">
        <f>T("   US")</f>
        <v xml:space="preserve">   US</v>
      </c>
      <c r="B7929" t="str">
        <f>T("   Etats-Unis")</f>
        <v xml:space="preserve">   Etats-Unis</v>
      </c>
      <c r="C7929">
        <v>4150212</v>
      </c>
      <c r="D7929">
        <v>5180</v>
      </c>
    </row>
    <row r="7930" spans="1:4" x14ac:dyDescent="0.25">
      <c r="A7930" t="str">
        <f>T("640399")</f>
        <v>640399</v>
      </c>
      <c r="B7930" t="str">
        <f>T("CHAUSSURES À SEMELLES EXTÉRIEURES EN CAOUTCHOUC, MATIÈRE PLASTIQUE OU CUIR RECONSTITUÉ, À DESSUS EN CUIR NATUREL (NE COUVRANT PAS LA CHEVILLE, SANS COQUILLE DE PROTECTION EN MÉTAL À L'AVANT ET SAUF CHAUSSURES DE SPORT, D'ORTHOPÉDIE OU AYANT LE CARACTÈRE D")</f>
        <v>CHAUSSURES À SEMELLES EXTÉRIEURES EN CAOUTCHOUC, MATIÈRE PLASTIQUE OU CUIR RECONSTITUÉ, À DESSUS EN CUIR NATUREL (NE COUVRANT PAS LA CHEVILLE, SANS COQUILLE DE PROTECTION EN MÉTAL À L'AVANT ET SAUF CHAUSSURES DE SPORT, D'ORTHOPÉDIE OU AYANT LE CARACTÈRE D</v>
      </c>
    </row>
    <row r="7931" spans="1:4" x14ac:dyDescent="0.25">
      <c r="A7931" t="str">
        <f>T("   ZZZ_Monde")</f>
        <v xml:space="preserve">   ZZZ_Monde</v>
      </c>
      <c r="B7931" t="str">
        <f>T("   ZZZ_Monde")</f>
        <v xml:space="preserve">   ZZZ_Monde</v>
      </c>
      <c r="C7931">
        <v>2558899</v>
      </c>
      <c r="D7931">
        <v>181</v>
      </c>
    </row>
    <row r="7932" spans="1:4" x14ac:dyDescent="0.25">
      <c r="A7932" t="str">
        <f>T("   FR")</f>
        <v xml:space="preserve">   FR</v>
      </c>
      <c r="B7932" t="str">
        <f>T("   France")</f>
        <v xml:space="preserve">   France</v>
      </c>
      <c r="C7932">
        <v>2558899</v>
      </c>
      <c r="D7932">
        <v>181</v>
      </c>
    </row>
    <row r="7933" spans="1:4" x14ac:dyDescent="0.25">
      <c r="A7933" t="str">
        <f>T("640411")</f>
        <v>640411</v>
      </c>
      <c r="B7933" t="str">
        <f>T("Chaussures de sport, y.c. chaussures dites de tennis, de basket-ball, de gymnastique, d'entraînement et chaussures simil., à semelles extérieures en caoutchouc ou en matière plastique, à dessus en matières textiles")</f>
        <v>Chaussures de sport, y.c. chaussures dites de tennis, de basket-ball, de gymnastique, d'entraînement et chaussures simil., à semelles extérieures en caoutchouc ou en matière plastique, à dessus en matières textiles</v>
      </c>
    </row>
    <row r="7934" spans="1:4" x14ac:dyDescent="0.25">
      <c r="A7934" t="str">
        <f>T("   ZZZ_Monde")</f>
        <v xml:space="preserve">   ZZZ_Monde</v>
      </c>
      <c r="B7934" t="str">
        <f>T("   ZZZ_Monde")</f>
        <v xml:space="preserve">   ZZZ_Monde</v>
      </c>
      <c r="C7934">
        <v>6993190</v>
      </c>
      <c r="D7934">
        <v>917</v>
      </c>
    </row>
    <row r="7935" spans="1:4" x14ac:dyDescent="0.25">
      <c r="A7935" t="str">
        <f>T("   FR")</f>
        <v xml:space="preserve">   FR</v>
      </c>
      <c r="B7935" t="str">
        <f>T("   France")</f>
        <v xml:space="preserve">   France</v>
      </c>
      <c r="C7935">
        <v>6993190</v>
      </c>
      <c r="D7935">
        <v>917</v>
      </c>
    </row>
    <row r="7936" spans="1:4" x14ac:dyDescent="0.25">
      <c r="A7936" t="str">
        <f>T("640419")</f>
        <v>640419</v>
      </c>
      <c r="B7936" t="str">
        <f>T("Chaussures à semelles extérieures en caoutchouc ou en matière plastique et à dessus en matières textiles (sauf chaussures de sport, y.c. chaussures dites de tennis, de basket-ball, de gymnastique, d'entraînement et chaussures simil. ainsi que chaussures a")</f>
        <v>Chaussures à semelles extérieures en caoutchouc ou en matière plastique et à dessus en matières textiles (sauf chaussures de sport, y.c. chaussures dites de tennis, de basket-ball, de gymnastique, d'entraînement et chaussures simil. ainsi que chaussures a</v>
      </c>
    </row>
    <row r="7937" spans="1:4" x14ac:dyDescent="0.25">
      <c r="A7937" t="str">
        <f>T("   ZZZ_Monde")</f>
        <v xml:space="preserve">   ZZZ_Monde</v>
      </c>
      <c r="B7937" t="str">
        <f>T("   ZZZ_Monde")</f>
        <v xml:space="preserve">   ZZZ_Monde</v>
      </c>
      <c r="C7937">
        <v>42840524</v>
      </c>
      <c r="D7937">
        <v>201232</v>
      </c>
    </row>
    <row r="7938" spans="1:4" x14ac:dyDescent="0.25">
      <c r="A7938" t="str">
        <f>T("   CN")</f>
        <v xml:space="preserve">   CN</v>
      </c>
      <c r="B7938" t="str">
        <f>T("   Chine")</f>
        <v xml:space="preserve">   Chine</v>
      </c>
      <c r="C7938">
        <v>10952724</v>
      </c>
      <c r="D7938">
        <v>40753</v>
      </c>
    </row>
    <row r="7939" spans="1:4" x14ac:dyDescent="0.25">
      <c r="A7939" t="str">
        <f>T("   FR")</f>
        <v xml:space="preserve">   FR</v>
      </c>
      <c r="B7939" t="str">
        <f>T("   France")</f>
        <v xml:space="preserve">   France</v>
      </c>
      <c r="C7939">
        <v>2027966</v>
      </c>
      <c r="D7939">
        <v>2022</v>
      </c>
    </row>
    <row r="7940" spans="1:4" x14ac:dyDescent="0.25">
      <c r="A7940" t="str">
        <f>T("   GH")</f>
        <v xml:space="preserve">   GH</v>
      </c>
      <c r="B7940" t="str">
        <f>T("   Ghana")</f>
        <v xml:space="preserve">   Ghana</v>
      </c>
      <c r="C7940">
        <v>4800000</v>
      </c>
      <c r="D7940">
        <v>26016</v>
      </c>
    </row>
    <row r="7941" spans="1:4" x14ac:dyDescent="0.25">
      <c r="A7941" t="str">
        <f>T("   TG")</f>
        <v xml:space="preserve">   TG</v>
      </c>
      <c r="B7941" t="str">
        <f>T("   Togo")</f>
        <v xml:space="preserve">   Togo</v>
      </c>
      <c r="C7941">
        <v>25059834</v>
      </c>
      <c r="D7941">
        <v>132441</v>
      </c>
    </row>
    <row r="7942" spans="1:4" x14ac:dyDescent="0.25">
      <c r="A7942" t="str">
        <f>T("640420")</f>
        <v>640420</v>
      </c>
      <c r="B7942" t="str">
        <f>T("Chaussures à semelles extérieures en cuir naturel ou reconstitué, à dessus en matières textiles (sauf chaussures ayant le caractère de jouets)")</f>
        <v>Chaussures à semelles extérieures en cuir naturel ou reconstitué, à dessus en matières textiles (sauf chaussures ayant le caractère de jouets)</v>
      </c>
    </row>
    <row r="7943" spans="1:4" x14ac:dyDescent="0.25">
      <c r="A7943" t="str">
        <f>T("   ZZZ_Monde")</f>
        <v xml:space="preserve">   ZZZ_Monde</v>
      </c>
      <c r="B7943" t="str">
        <f>T("   ZZZ_Monde")</f>
        <v xml:space="preserve">   ZZZ_Monde</v>
      </c>
      <c r="C7943">
        <v>432199</v>
      </c>
      <c r="D7943">
        <v>3250</v>
      </c>
    </row>
    <row r="7944" spans="1:4" x14ac:dyDescent="0.25">
      <c r="A7944" t="str">
        <f>T("   TG")</f>
        <v xml:space="preserve">   TG</v>
      </c>
      <c r="B7944" t="str">
        <f>T("   Togo")</f>
        <v xml:space="preserve">   Togo</v>
      </c>
      <c r="C7944">
        <v>432199</v>
      </c>
      <c r="D7944">
        <v>3250</v>
      </c>
    </row>
    <row r="7945" spans="1:4" x14ac:dyDescent="0.25">
      <c r="A7945" t="str">
        <f>T("640510")</f>
        <v>640510</v>
      </c>
      <c r="B7945" t="str">
        <f>T("Chaussures à dessus en cuir naturel ou reconstitué (sauf à semelles extérieures en caoutchouc, matière plastique, cuir naturel ou reconstitué et à dessus en cuir naturel et sauf chaussures d'orthopédie et chaussures ayant le caractère de jouets)")</f>
        <v>Chaussures à dessus en cuir naturel ou reconstitué (sauf à semelles extérieures en caoutchouc, matière plastique, cuir naturel ou reconstitué et à dessus en cuir naturel et sauf chaussures d'orthopédie et chaussures ayant le caractère de jouets)</v>
      </c>
    </row>
    <row r="7946" spans="1:4" x14ac:dyDescent="0.25">
      <c r="A7946" t="str">
        <f>T("   ZZZ_Monde")</f>
        <v xml:space="preserve">   ZZZ_Monde</v>
      </c>
      <c r="B7946" t="str">
        <f>T("   ZZZ_Monde")</f>
        <v xml:space="preserve">   ZZZ_Monde</v>
      </c>
      <c r="C7946">
        <v>607723</v>
      </c>
      <c r="D7946">
        <v>288</v>
      </c>
    </row>
    <row r="7947" spans="1:4" x14ac:dyDescent="0.25">
      <c r="A7947" t="str">
        <f>T("   FR")</f>
        <v xml:space="preserve">   FR</v>
      </c>
      <c r="B7947" t="str">
        <f>T("   France")</f>
        <v xml:space="preserve">   France</v>
      </c>
      <c r="C7947">
        <v>607723</v>
      </c>
      <c r="D7947">
        <v>288</v>
      </c>
    </row>
    <row r="7948" spans="1:4" x14ac:dyDescent="0.25">
      <c r="A7948" t="str">
        <f>T("640520")</f>
        <v>640520</v>
      </c>
      <c r="B7948" t="str">
        <f>T("Chaussures à dessus en matières textiles (sauf à semelles extérieures en caoutchouc, matière plastique, cuir naturel ou reconstitué et sauf chaussures d'orthopédie et chaussures ayant le caractère de jouets)")</f>
        <v>Chaussures à dessus en matières textiles (sauf à semelles extérieures en caoutchouc, matière plastique, cuir naturel ou reconstitué et sauf chaussures d'orthopédie et chaussures ayant le caractère de jouets)</v>
      </c>
    </row>
    <row r="7949" spans="1:4" x14ac:dyDescent="0.25">
      <c r="A7949" t="str">
        <f>T("   ZZZ_Monde")</f>
        <v xml:space="preserve">   ZZZ_Monde</v>
      </c>
      <c r="B7949" t="str">
        <f>T("   ZZZ_Monde")</f>
        <v xml:space="preserve">   ZZZ_Monde</v>
      </c>
      <c r="C7949">
        <v>3810000</v>
      </c>
      <c r="D7949">
        <v>12000</v>
      </c>
    </row>
    <row r="7950" spans="1:4" x14ac:dyDescent="0.25">
      <c r="A7950" t="str">
        <f>T("   CN")</f>
        <v xml:space="preserve">   CN</v>
      </c>
      <c r="B7950" t="str">
        <f>T("   Chine")</f>
        <v xml:space="preserve">   Chine</v>
      </c>
      <c r="C7950">
        <v>3810000</v>
      </c>
      <c r="D7950">
        <v>12000</v>
      </c>
    </row>
    <row r="7951" spans="1:4" x14ac:dyDescent="0.25">
      <c r="A7951" t="str">
        <f>T("640590")</f>
        <v>640590</v>
      </c>
      <c r="B7951" t="str">
        <f>T("CHAUSSURES À SEMELLES EXTÉRIEURES EN CAOUTCHOUC OU EN MATIÈRE PLASTIQUE ET À DESSUS EN AUTRES MATIÈRES QUE CAOUTCHOUC, MATIÈRE PLASTIQUE, CUIR OU MATIÈRES TEXTILES; CHAUSSURES À SEMELLES EXTÉRIEURES EN CUIR NATUREL OU RECONSTITUÉ ET À DESSUS EN D'AUTRES M")</f>
        <v>CHAUSSURES À SEMELLES EXTÉRIEURES EN CAOUTCHOUC OU EN MATIÈRE PLASTIQUE ET À DESSUS EN AUTRES MATIÈRES QUE CAOUTCHOUC, MATIÈRE PLASTIQUE, CUIR OU MATIÈRES TEXTILES; CHAUSSURES À SEMELLES EXTÉRIEURES EN CUIR NATUREL OU RECONSTITUÉ ET À DESSUS EN D'AUTRES M</v>
      </c>
    </row>
    <row r="7952" spans="1:4" x14ac:dyDescent="0.25">
      <c r="A7952" t="str">
        <f>T("   ZZZ_Monde")</f>
        <v xml:space="preserve">   ZZZ_Monde</v>
      </c>
      <c r="B7952" t="str">
        <f>T("   ZZZ_Monde")</f>
        <v xml:space="preserve">   ZZZ_Monde</v>
      </c>
      <c r="C7952">
        <v>1801744865</v>
      </c>
      <c r="D7952">
        <v>5273444.5</v>
      </c>
    </row>
    <row r="7953" spans="1:4" x14ac:dyDescent="0.25">
      <c r="A7953" t="str">
        <f>T("   AE")</f>
        <v xml:space="preserve">   AE</v>
      </c>
      <c r="B7953" t="str">
        <f>T("   Emirats Arabes Unis")</f>
        <v xml:space="preserve">   Emirats Arabes Unis</v>
      </c>
      <c r="C7953">
        <v>20000</v>
      </c>
      <c r="D7953">
        <v>30</v>
      </c>
    </row>
    <row r="7954" spans="1:4" x14ac:dyDescent="0.25">
      <c r="A7954" t="str">
        <f>T("   AU")</f>
        <v xml:space="preserve">   AU</v>
      </c>
      <c r="B7954" t="str">
        <f>T("   Australie")</f>
        <v xml:space="preserve">   Australie</v>
      </c>
      <c r="C7954">
        <v>3745532</v>
      </c>
      <c r="D7954">
        <v>4330</v>
      </c>
    </row>
    <row r="7955" spans="1:4" x14ac:dyDescent="0.25">
      <c r="A7955" t="str">
        <f>T("   BE")</f>
        <v xml:space="preserve">   BE</v>
      </c>
      <c r="B7955" t="str">
        <f>T("   Belgique")</f>
        <v xml:space="preserve">   Belgique</v>
      </c>
      <c r="C7955">
        <v>1421062</v>
      </c>
      <c r="D7955">
        <v>1100</v>
      </c>
    </row>
    <row r="7956" spans="1:4" x14ac:dyDescent="0.25">
      <c r="A7956" t="str">
        <f>T("   CA")</f>
        <v xml:space="preserve">   CA</v>
      </c>
      <c r="B7956" t="str">
        <f>T("   Canada")</f>
        <v xml:space="preserve">   Canada</v>
      </c>
      <c r="C7956">
        <v>556911</v>
      </c>
      <c r="D7956">
        <v>795</v>
      </c>
    </row>
    <row r="7957" spans="1:4" x14ac:dyDescent="0.25">
      <c r="A7957" t="str">
        <f>T("   CH")</f>
        <v xml:space="preserve">   CH</v>
      </c>
      <c r="B7957" t="str">
        <f>T("   Suisse")</f>
        <v xml:space="preserve">   Suisse</v>
      </c>
      <c r="C7957">
        <v>343000</v>
      </c>
      <c r="D7957">
        <v>220</v>
      </c>
    </row>
    <row r="7958" spans="1:4" x14ac:dyDescent="0.25">
      <c r="A7958" t="str">
        <f>T("   CI")</f>
        <v xml:space="preserve">   CI</v>
      </c>
      <c r="B7958" t="str">
        <f>T("   Côte d'Ivoire")</f>
        <v xml:space="preserve">   Côte d'Ivoire</v>
      </c>
      <c r="C7958">
        <v>26805616</v>
      </c>
      <c r="D7958">
        <v>86900</v>
      </c>
    </row>
    <row r="7959" spans="1:4" x14ac:dyDescent="0.25">
      <c r="A7959" t="str">
        <f>T("   CN")</f>
        <v xml:space="preserve">   CN</v>
      </c>
      <c r="B7959" t="str">
        <f>T("   Chine")</f>
        <v xml:space="preserve">   Chine</v>
      </c>
      <c r="C7959">
        <v>1319578406</v>
      </c>
      <c r="D7959">
        <v>3708861</v>
      </c>
    </row>
    <row r="7960" spans="1:4" x14ac:dyDescent="0.25">
      <c r="A7960" t="str">
        <f>T("   DE")</f>
        <v xml:space="preserve">   DE</v>
      </c>
      <c r="B7960" t="str">
        <f>T("   Allemagne")</f>
        <v xml:space="preserve">   Allemagne</v>
      </c>
      <c r="C7960">
        <v>30174</v>
      </c>
      <c r="D7960">
        <v>3</v>
      </c>
    </row>
    <row r="7961" spans="1:4" x14ac:dyDescent="0.25">
      <c r="A7961" t="str">
        <f>T("   ES")</f>
        <v xml:space="preserve">   ES</v>
      </c>
      <c r="B7961" t="str">
        <f>T("   Espagne")</f>
        <v xml:space="preserve">   Espagne</v>
      </c>
      <c r="C7961">
        <v>147591</v>
      </c>
      <c r="D7961">
        <v>500</v>
      </c>
    </row>
    <row r="7962" spans="1:4" x14ac:dyDescent="0.25">
      <c r="A7962" t="str">
        <f>T("   FR")</f>
        <v xml:space="preserve">   FR</v>
      </c>
      <c r="B7962" t="str">
        <f>T("   France")</f>
        <v xml:space="preserve">   France</v>
      </c>
      <c r="C7962">
        <v>57370194</v>
      </c>
      <c r="D7962">
        <v>17560.5</v>
      </c>
    </row>
    <row r="7963" spans="1:4" x14ac:dyDescent="0.25">
      <c r="A7963" t="str">
        <f>T("   GB")</f>
        <v xml:space="preserve">   GB</v>
      </c>
      <c r="B7963" t="str">
        <f>T("   Royaume-Uni")</f>
        <v xml:space="preserve">   Royaume-Uni</v>
      </c>
      <c r="C7963">
        <v>34994810</v>
      </c>
      <c r="D7963">
        <v>38685</v>
      </c>
    </row>
    <row r="7964" spans="1:4" x14ac:dyDescent="0.25">
      <c r="A7964" t="str">
        <f>T("   GH")</f>
        <v xml:space="preserve">   GH</v>
      </c>
      <c r="B7964" t="str">
        <f>T("   Ghana")</f>
        <v xml:space="preserve">   Ghana</v>
      </c>
      <c r="C7964">
        <v>4300000</v>
      </c>
      <c r="D7964">
        <v>31174</v>
      </c>
    </row>
    <row r="7965" spans="1:4" x14ac:dyDescent="0.25">
      <c r="A7965" t="str">
        <f>T("   GM")</f>
        <v xml:space="preserve">   GM</v>
      </c>
      <c r="B7965" t="str">
        <f>T("   Gambie")</f>
        <v xml:space="preserve">   Gambie</v>
      </c>
      <c r="C7965">
        <v>7563891</v>
      </c>
      <c r="D7965">
        <v>21400</v>
      </c>
    </row>
    <row r="7966" spans="1:4" x14ac:dyDescent="0.25">
      <c r="A7966" t="str">
        <f>T("   HR")</f>
        <v xml:space="preserve">   HR</v>
      </c>
      <c r="B7966" t="str">
        <f>T("   Croatie")</f>
        <v xml:space="preserve">   Croatie</v>
      </c>
      <c r="C7966">
        <v>6107106</v>
      </c>
      <c r="D7966">
        <v>13170</v>
      </c>
    </row>
    <row r="7967" spans="1:4" x14ac:dyDescent="0.25">
      <c r="A7967" t="str">
        <f>T("   IN")</f>
        <v xml:space="preserve">   IN</v>
      </c>
      <c r="B7967" t="str">
        <f>T("   Inde")</f>
        <v xml:space="preserve">   Inde</v>
      </c>
      <c r="C7967">
        <v>3451799</v>
      </c>
      <c r="D7967">
        <v>6243</v>
      </c>
    </row>
    <row r="7968" spans="1:4" x14ac:dyDescent="0.25">
      <c r="A7968" t="str">
        <f>T("   IT")</f>
        <v xml:space="preserve">   IT</v>
      </c>
      <c r="B7968" t="str">
        <f>T("   Italie")</f>
        <v xml:space="preserve">   Italie</v>
      </c>
      <c r="C7968">
        <v>2228254</v>
      </c>
      <c r="D7968">
        <v>1078</v>
      </c>
    </row>
    <row r="7969" spans="1:4" x14ac:dyDescent="0.25">
      <c r="A7969" t="str">
        <f>T("   JP")</f>
        <v xml:space="preserve">   JP</v>
      </c>
      <c r="B7969" t="str">
        <f>T("   Japon")</f>
        <v xml:space="preserve">   Japon</v>
      </c>
      <c r="C7969">
        <v>12164124</v>
      </c>
      <c r="D7969">
        <v>8019</v>
      </c>
    </row>
    <row r="7970" spans="1:4" x14ac:dyDescent="0.25">
      <c r="A7970" t="str">
        <f>T("   KW")</f>
        <v xml:space="preserve">   KW</v>
      </c>
      <c r="B7970" t="str">
        <f>T("   Koweit")</f>
        <v xml:space="preserve">   Koweit</v>
      </c>
      <c r="C7970">
        <v>383480</v>
      </c>
      <c r="D7970">
        <v>2000</v>
      </c>
    </row>
    <row r="7971" spans="1:4" x14ac:dyDescent="0.25">
      <c r="A7971" t="str">
        <f>T("   LB")</f>
        <v xml:space="preserve">   LB</v>
      </c>
      <c r="B7971" t="str">
        <f>T("   Liban")</f>
        <v xml:space="preserve">   Liban</v>
      </c>
      <c r="C7971">
        <v>6578120</v>
      </c>
      <c r="D7971">
        <v>6314</v>
      </c>
    </row>
    <row r="7972" spans="1:4" x14ac:dyDescent="0.25">
      <c r="A7972" t="str">
        <f>T("   MA")</f>
        <v xml:space="preserve">   MA</v>
      </c>
      <c r="B7972" t="str">
        <f>T("   Maroc")</f>
        <v xml:space="preserve">   Maroc</v>
      </c>
      <c r="C7972">
        <v>400400</v>
      </c>
      <c r="D7972">
        <v>257</v>
      </c>
    </row>
    <row r="7973" spans="1:4" x14ac:dyDescent="0.25">
      <c r="A7973" t="str">
        <f>T("   NG")</f>
        <v xml:space="preserve">   NG</v>
      </c>
      <c r="B7973" t="str">
        <f>T("   Nigéria")</f>
        <v xml:space="preserve">   Nigéria</v>
      </c>
      <c r="C7973">
        <v>36417500</v>
      </c>
      <c r="D7973">
        <v>40095</v>
      </c>
    </row>
    <row r="7974" spans="1:4" x14ac:dyDescent="0.25">
      <c r="A7974" t="str">
        <f>T("   PL")</f>
        <v xml:space="preserve">   PL</v>
      </c>
      <c r="B7974" t="str">
        <f>T("   Pologne")</f>
        <v xml:space="preserve">   Pologne</v>
      </c>
      <c r="C7974">
        <v>7000000</v>
      </c>
      <c r="D7974">
        <v>10000</v>
      </c>
    </row>
    <row r="7975" spans="1:4" x14ac:dyDescent="0.25">
      <c r="A7975" t="str">
        <f>T("   RO")</f>
        <v xml:space="preserve">   RO</v>
      </c>
      <c r="B7975" t="str">
        <f>T("   Roumanie")</f>
        <v xml:space="preserve">   Roumanie</v>
      </c>
      <c r="C7975">
        <v>57570</v>
      </c>
      <c r="D7975">
        <v>50</v>
      </c>
    </row>
    <row r="7976" spans="1:4" x14ac:dyDescent="0.25">
      <c r="A7976" t="str">
        <f>T("   SN")</f>
        <v xml:space="preserve">   SN</v>
      </c>
      <c r="B7976" t="str">
        <f>T("   Sénégal")</f>
        <v xml:space="preserve">   Sénégal</v>
      </c>
      <c r="C7976">
        <v>2927183</v>
      </c>
      <c r="D7976">
        <v>1818</v>
      </c>
    </row>
    <row r="7977" spans="1:4" x14ac:dyDescent="0.25">
      <c r="A7977" t="str">
        <f>T("   TG")</f>
        <v xml:space="preserve">   TG</v>
      </c>
      <c r="B7977" t="str">
        <f>T("   Togo")</f>
        <v xml:space="preserve">   Togo</v>
      </c>
      <c r="C7977">
        <v>266135634</v>
      </c>
      <c r="D7977">
        <v>1271535</v>
      </c>
    </row>
    <row r="7978" spans="1:4" x14ac:dyDescent="0.25">
      <c r="A7978" t="str">
        <f>T("   TH")</f>
        <v xml:space="preserve">   TH</v>
      </c>
      <c r="B7978" t="str">
        <f>T("   Thaïlande")</f>
        <v xml:space="preserve">   Thaïlande</v>
      </c>
      <c r="C7978">
        <v>575000</v>
      </c>
      <c r="D7978">
        <v>380</v>
      </c>
    </row>
    <row r="7979" spans="1:4" x14ac:dyDescent="0.25">
      <c r="A7979" t="str">
        <f>T("   US")</f>
        <v xml:space="preserve">   US</v>
      </c>
      <c r="B7979" t="str">
        <f>T("   Etats-Unis")</f>
        <v xml:space="preserve">   Etats-Unis</v>
      </c>
      <c r="C7979">
        <v>441508</v>
      </c>
      <c r="D7979">
        <v>927</v>
      </c>
    </row>
    <row r="7980" spans="1:4" x14ac:dyDescent="0.25">
      <c r="A7980" t="str">
        <f>T("640620")</f>
        <v>640620</v>
      </c>
      <c r="B7980" t="str">
        <f>T("Semelles extérieures et talons de chaussures, en caoutchouc ou en matière plastique")</f>
        <v>Semelles extérieures et talons de chaussures, en caoutchouc ou en matière plastique</v>
      </c>
    </row>
    <row r="7981" spans="1:4" x14ac:dyDescent="0.25">
      <c r="A7981" t="str">
        <f>T("   ZZZ_Monde")</f>
        <v xml:space="preserve">   ZZZ_Monde</v>
      </c>
      <c r="B7981" t="str">
        <f>T("   ZZZ_Monde")</f>
        <v xml:space="preserve">   ZZZ_Monde</v>
      </c>
      <c r="C7981">
        <v>1975379</v>
      </c>
      <c r="D7981">
        <v>18800</v>
      </c>
    </row>
    <row r="7982" spans="1:4" x14ac:dyDescent="0.25">
      <c r="A7982" t="str">
        <f>T("   NG")</f>
        <v xml:space="preserve">   NG</v>
      </c>
      <c r="B7982" t="str">
        <f>T("   Nigéria")</f>
        <v xml:space="preserve">   Nigéria</v>
      </c>
      <c r="C7982">
        <v>603000</v>
      </c>
      <c r="D7982">
        <v>2010</v>
      </c>
    </row>
    <row r="7983" spans="1:4" x14ac:dyDescent="0.25">
      <c r="A7983" t="str">
        <f>T("   TG")</f>
        <v xml:space="preserve">   TG</v>
      </c>
      <c r="B7983" t="str">
        <f>T("   Togo")</f>
        <v xml:space="preserve">   Togo</v>
      </c>
      <c r="C7983">
        <v>1372379</v>
      </c>
      <c r="D7983">
        <v>16790</v>
      </c>
    </row>
    <row r="7984" spans="1:4" x14ac:dyDescent="0.25">
      <c r="A7984" t="str">
        <f>T("640699")</f>
        <v>640699</v>
      </c>
      <c r="B7984" t="str">
        <f>T("Parties de chaussures (sauf semelles extérieures et talons en caoutchouc ou matière plastique, dessus de chaussures et leurs parties et sauf parties en général en bois ou en amiante)")</f>
        <v>Parties de chaussures (sauf semelles extérieures et talons en caoutchouc ou matière plastique, dessus de chaussures et leurs parties et sauf parties en général en bois ou en amiante)</v>
      </c>
    </row>
    <row r="7985" spans="1:4" x14ac:dyDescent="0.25">
      <c r="A7985" t="str">
        <f>T("   ZZZ_Monde")</f>
        <v xml:space="preserve">   ZZZ_Monde</v>
      </c>
      <c r="B7985" t="str">
        <f>T("   ZZZ_Monde")</f>
        <v xml:space="preserve">   ZZZ_Monde</v>
      </c>
      <c r="C7985">
        <v>116400</v>
      </c>
      <c r="D7985">
        <v>388</v>
      </c>
    </row>
    <row r="7986" spans="1:4" x14ac:dyDescent="0.25">
      <c r="A7986" t="str">
        <f>T("   NG")</f>
        <v xml:space="preserve">   NG</v>
      </c>
      <c r="B7986" t="str">
        <f>T("   Nigéria")</f>
        <v xml:space="preserve">   Nigéria</v>
      </c>
      <c r="C7986">
        <v>116400</v>
      </c>
      <c r="D7986">
        <v>388</v>
      </c>
    </row>
    <row r="7987" spans="1:4" x14ac:dyDescent="0.25">
      <c r="A7987" t="str">
        <f>T("650300")</f>
        <v>650300</v>
      </c>
      <c r="B7987" t="str">
        <f>T("Chapeaux et autres coiffures en feutre, fabriqués à l'aide des cloches ou des plateaux du n° 6501, même garnis (sauf ceux fabriqués par l'assemblage de bandes ou de pièces en feutre ou ayant le caractère de jouets ou d'articles de carnaval)")</f>
        <v>Chapeaux et autres coiffures en feutre, fabriqués à l'aide des cloches ou des plateaux du n° 6501, même garnis (sauf ceux fabriqués par l'assemblage de bandes ou de pièces en feutre ou ayant le caractère de jouets ou d'articles de carnaval)</v>
      </c>
    </row>
    <row r="7988" spans="1:4" x14ac:dyDescent="0.25">
      <c r="A7988" t="str">
        <f>T("   ZZZ_Monde")</f>
        <v xml:space="preserve">   ZZZ_Monde</v>
      </c>
      <c r="B7988" t="str">
        <f>T("   ZZZ_Monde")</f>
        <v xml:space="preserve">   ZZZ_Monde</v>
      </c>
      <c r="C7988">
        <v>55605</v>
      </c>
      <c r="D7988">
        <v>1500</v>
      </c>
    </row>
    <row r="7989" spans="1:4" x14ac:dyDescent="0.25">
      <c r="A7989" t="str">
        <f>T("   CN")</f>
        <v xml:space="preserve">   CN</v>
      </c>
      <c r="B7989" t="str">
        <f>T("   Chine")</f>
        <v xml:space="preserve">   Chine</v>
      </c>
      <c r="C7989">
        <v>55605</v>
      </c>
      <c r="D7989">
        <v>1500</v>
      </c>
    </row>
    <row r="7990" spans="1:4" x14ac:dyDescent="0.25">
      <c r="A7990" t="str">
        <f>T("650400")</f>
        <v>650400</v>
      </c>
      <c r="B7990" t="str">
        <f>T("Chapeaux et autres coiffures, tressés ou fabriqués par l'assemblage de bandes en toutes matières, même garnis (sauf coiffures pour animaux ou ayant le caractère de jouets ou d'articles de carnaval)")</f>
        <v>Chapeaux et autres coiffures, tressés ou fabriqués par l'assemblage de bandes en toutes matières, même garnis (sauf coiffures pour animaux ou ayant le caractère de jouets ou d'articles de carnaval)</v>
      </c>
    </row>
    <row r="7991" spans="1:4" x14ac:dyDescent="0.25">
      <c r="A7991" t="str">
        <f>T("   ZZZ_Monde")</f>
        <v xml:space="preserve">   ZZZ_Monde</v>
      </c>
      <c r="B7991" t="str">
        <f>T("   ZZZ_Monde")</f>
        <v xml:space="preserve">   ZZZ_Monde</v>
      </c>
      <c r="C7991">
        <v>1464623</v>
      </c>
      <c r="D7991">
        <v>6387</v>
      </c>
    </row>
    <row r="7992" spans="1:4" x14ac:dyDescent="0.25">
      <c r="A7992" t="str">
        <f>T("   CN")</f>
        <v xml:space="preserve">   CN</v>
      </c>
      <c r="B7992" t="str">
        <f>T("   Chine")</f>
        <v xml:space="preserve">   Chine</v>
      </c>
      <c r="C7992">
        <v>1371923</v>
      </c>
      <c r="D7992">
        <v>6332</v>
      </c>
    </row>
    <row r="7993" spans="1:4" x14ac:dyDescent="0.25">
      <c r="A7993" t="str">
        <f>T("   HK")</f>
        <v xml:space="preserve">   HK</v>
      </c>
      <c r="B7993" t="str">
        <f>T("   Hong-Kong")</f>
        <v xml:space="preserve">   Hong-Kong</v>
      </c>
      <c r="C7993">
        <v>38675</v>
      </c>
      <c r="D7993">
        <v>5</v>
      </c>
    </row>
    <row r="7994" spans="1:4" x14ac:dyDescent="0.25">
      <c r="A7994" t="str">
        <f>T("   TG")</f>
        <v xml:space="preserve">   TG</v>
      </c>
      <c r="B7994" t="str">
        <f>T("   Togo")</f>
        <v xml:space="preserve">   Togo</v>
      </c>
      <c r="C7994">
        <v>54025</v>
      </c>
      <c r="D7994">
        <v>50</v>
      </c>
    </row>
    <row r="7995" spans="1:4" x14ac:dyDescent="0.25">
      <c r="A7995" t="str">
        <f>T("650510")</f>
        <v>650510</v>
      </c>
      <c r="B7995" t="str">
        <f>T("Résilles et filets à cheveux en toutes matières, même garnis")</f>
        <v>Résilles et filets à cheveux en toutes matières, même garnis</v>
      </c>
    </row>
    <row r="7996" spans="1:4" x14ac:dyDescent="0.25">
      <c r="A7996" t="str">
        <f>T("   ZZZ_Monde")</f>
        <v xml:space="preserve">   ZZZ_Monde</v>
      </c>
      <c r="B7996" t="str">
        <f>T("   ZZZ_Monde")</f>
        <v xml:space="preserve">   ZZZ_Monde</v>
      </c>
      <c r="C7996">
        <v>10921468</v>
      </c>
      <c r="D7996">
        <v>43515</v>
      </c>
    </row>
    <row r="7997" spans="1:4" x14ac:dyDescent="0.25">
      <c r="A7997" t="str">
        <f>T("   CN")</f>
        <v xml:space="preserve">   CN</v>
      </c>
      <c r="B7997" t="str">
        <f>T("   Chine")</f>
        <v xml:space="preserve">   Chine</v>
      </c>
      <c r="C7997">
        <v>10921468</v>
      </c>
      <c r="D7997">
        <v>43515</v>
      </c>
    </row>
    <row r="7998" spans="1:4" x14ac:dyDescent="0.25">
      <c r="A7998" t="str">
        <f>T("650590")</f>
        <v>650590</v>
      </c>
      <c r="B7998" t="str">
        <f>T("Chapeaux et autres coiffures en bonneterie ou confectionnés à l'aide de dentelles, feutre ou autres produits textiles, en pièces -mais non en bandes-, même garnis (sauf résilles, filets à cheveux et coiffures pour animaux ou ayant le caractère de jouets o")</f>
        <v>Chapeaux et autres coiffures en bonneterie ou confectionnés à l'aide de dentelles, feutre ou autres produits textiles, en pièces -mais non en bandes-, même garnis (sauf résilles, filets à cheveux et coiffures pour animaux ou ayant le caractère de jouets o</v>
      </c>
    </row>
    <row r="7999" spans="1:4" x14ac:dyDescent="0.25">
      <c r="A7999" t="str">
        <f>T("   ZZZ_Monde")</f>
        <v xml:space="preserve">   ZZZ_Monde</v>
      </c>
      <c r="B7999" t="str">
        <f>T("   ZZZ_Monde")</f>
        <v xml:space="preserve">   ZZZ_Monde</v>
      </c>
      <c r="C7999">
        <v>50435385</v>
      </c>
      <c r="D7999">
        <v>66967.8</v>
      </c>
    </row>
    <row r="8000" spans="1:4" x14ac:dyDescent="0.25">
      <c r="A8000" t="str">
        <f>T("   AE")</f>
        <v xml:space="preserve">   AE</v>
      </c>
      <c r="B8000" t="str">
        <f>T("   Emirats Arabes Unis")</f>
        <v xml:space="preserve">   Emirats Arabes Unis</v>
      </c>
      <c r="C8000">
        <v>255000</v>
      </c>
      <c r="D8000">
        <v>47</v>
      </c>
    </row>
    <row r="8001" spans="1:4" x14ac:dyDescent="0.25">
      <c r="A8001" t="str">
        <f>T("   BE")</f>
        <v xml:space="preserve">   BE</v>
      </c>
      <c r="B8001" t="str">
        <f>T("   Belgique")</f>
        <v xml:space="preserve">   Belgique</v>
      </c>
      <c r="C8001">
        <v>682527</v>
      </c>
      <c r="D8001">
        <v>222</v>
      </c>
    </row>
    <row r="8002" spans="1:4" x14ac:dyDescent="0.25">
      <c r="A8002" t="str">
        <f>T("   CN")</f>
        <v xml:space="preserve">   CN</v>
      </c>
      <c r="B8002" t="str">
        <f>T("   Chine")</f>
        <v xml:space="preserve">   Chine</v>
      </c>
      <c r="C8002">
        <v>31848415</v>
      </c>
      <c r="D8002">
        <v>58191</v>
      </c>
    </row>
    <row r="8003" spans="1:4" x14ac:dyDescent="0.25">
      <c r="A8003" t="str">
        <f>T("   DE")</f>
        <v xml:space="preserve">   DE</v>
      </c>
      <c r="B8003" t="str">
        <f>T("   Allemagne")</f>
        <v xml:space="preserve">   Allemagne</v>
      </c>
      <c r="C8003">
        <v>11978486</v>
      </c>
      <c r="D8003">
        <v>1151</v>
      </c>
    </row>
    <row r="8004" spans="1:4" x14ac:dyDescent="0.25">
      <c r="A8004" t="str">
        <f>T("   ES")</f>
        <v xml:space="preserve">   ES</v>
      </c>
      <c r="B8004" t="str">
        <f>T("   Espagne")</f>
        <v xml:space="preserve">   Espagne</v>
      </c>
      <c r="C8004">
        <v>42184</v>
      </c>
      <c r="D8004">
        <v>28</v>
      </c>
    </row>
    <row r="8005" spans="1:4" x14ac:dyDescent="0.25">
      <c r="A8005" t="str">
        <f>T("   FR")</f>
        <v xml:space="preserve">   FR</v>
      </c>
      <c r="B8005" t="str">
        <f>T("   France")</f>
        <v xml:space="preserve">   France</v>
      </c>
      <c r="C8005">
        <v>4075654</v>
      </c>
      <c r="D8005">
        <v>409.8</v>
      </c>
    </row>
    <row r="8006" spans="1:4" x14ac:dyDescent="0.25">
      <c r="A8006" t="str">
        <f>T("   ID")</f>
        <v xml:space="preserve">   ID</v>
      </c>
      <c r="B8006" t="str">
        <f>T("   Indonésie")</f>
        <v xml:space="preserve">   Indonésie</v>
      </c>
      <c r="C8006">
        <v>5699</v>
      </c>
      <c r="D8006">
        <v>15</v>
      </c>
    </row>
    <row r="8007" spans="1:4" x14ac:dyDescent="0.25">
      <c r="A8007" t="str">
        <f>T("   NL")</f>
        <v xml:space="preserve">   NL</v>
      </c>
      <c r="B8007" t="str">
        <f>T("   Pays-bas")</f>
        <v xml:space="preserve">   Pays-bas</v>
      </c>
      <c r="C8007">
        <v>163695</v>
      </c>
      <c r="D8007">
        <v>124</v>
      </c>
    </row>
    <row r="8008" spans="1:4" x14ac:dyDescent="0.25">
      <c r="A8008" t="str">
        <f>T("   PT")</f>
        <v xml:space="preserve">   PT</v>
      </c>
      <c r="B8008" t="str">
        <f>T("   Portugal")</f>
        <v xml:space="preserve">   Portugal</v>
      </c>
      <c r="C8008">
        <v>24926</v>
      </c>
      <c r="D8008">
        <v>203</v>
      </c>
    </row>
    <row r="8009" spans="1:4" x14ac:dyDescent="0.25">
      <c r="A8009" t="str">
        <f>T("   TG")</f>
        <v xml:space="preserve">   TG</v>
      </c>
      <c r="B8009" t="str">
        <f>T("   Togo")</f>
        <v xml:space="preserve">   Togo</v>
      </c>
      <c r="C8009">
        <v>1355519</v>
      </c>
      <c r="D8009">
        <v>6567</v>
      </c>
    </row>
    <row r="8010" spans="1:4" x14ac:dyDescent="0.25">
      <c r="A8010" t="str">
        <f>T("   TN")</f>
        <v xml:space="preserve">   TN</v>
      </c>
      <c r="B8010" t="str">
        <f>T("   Tunisie")</f>
        <v xml:space="preserve">   Tunisie</v>
      </c>
      <c r="C8010">
        <v>3280</v>
      </c>
      <c r="D8010">
        <v>10</v>
      </c>
    </row>
    <row r="8011" spans="1:4" x14ac:dyDescent="0.25">
      <c r="A8011" t="str">
        <f>T("650610")</f>
        <v>650610</v>
      </c>
      <c r="B8011" t="str">
        <f>T("Coiffures de sécurité, même garnies")</f>
        <v>Coiffures de sécurité, même garnies</v>
      </c>
    </row>
    <row r="8012" spans="1:4" x14ac:dyDescent="0.25">
      <c r="A8012" t="str">
        <f>T("   ZZZ_Monde")</f>
        <v xml:space="preserve">   ZZZ_Monde</v>
      </c>
      <c r="B8012" t="str">
        <f>T("   ZZZ_Monde")</f>
        <v xml:space="preserve">   ZZZ_Monde</v>
      </c>
      <c r="C8012">
        <v>151118665</v>
      </c>
      <c r="D8012">
        <v>106425.5</v>
      </c>
    </row>
    <row r="8013" spans="1:4" x14ac:dyDescent="0.25">
      <c r="A8013" t="str">
        <f>T("   AE")</f>
        <v xml:space="preserve">   AE</v>
      </c>
      <c r="B8013" t="str">
        <f>T("   Emirats Arabes Unis")</f>
        <v xml:space="preserve">   Emirats Arabes Unis</v>
      </c>
      <c r="C8013">
        <v>1671807</v>
      </c>
      <c r="D8013">
        <v>624</v>
      </c>
    </row>
    <row r="8014" spans="1:4" x14ac:dyDescent="0.25">
      <c r="A8014" t="str">
        <f>T("   BE")</f>
        <v xml:space="preserve">   BE</v>
      </c>
      <c r="B8014" t="str">
        <f>T("   Belgique")</f>
        <v xml:space="preserve">   Belgique</v>
      </c>
      <c r="C8014">
        <v>158742</v>
      </c>
      <c r="D8014">
        <v>298</v>
      </c>
    </row>
    <row r="8015" spans="1:4" x14ac:dyDescent="0.25">
      <c r="A8015" t="str">
        <f>T("   CN")</f>
        <v xml:space="preserve">   CN</v>
      </c>
      <c r="B8015" t="str">
        <f>T("   Chine")</f>
        <v xml:space="preserve">   Chine</v>
      </c>
      <c r="C8015">
        <v>100901004</v>
      </c>
      <c r="D8015">
        <v>83159</v>
      </c>
    </row>
    <row r="8016" spans="1:4" x14ac:dyDescent="0.25">
      <c r="A8016" t="str">
        <f>T("   DK")</f>
        <v xml:space="preserve">   DK</v>
      </c>
      <c r="B8016" t="str">
        <f>T("   Danemark")</f>
        <v xml:space="preserve">   Danemark</v>
      </c>
      <c r="C8016">
        <v>4118268</v>
      </c>
      <c r="D8016">
        <v>451</v>
      </c>
    </row>
    <row r="8017" spans="1:4" x14ac:dyDescent="0.25">
      <c r="A8017" t="str">
        <f>T("   FK")</f>
        <v xml:space="preserve">   FK</v>
      </c>
      <c r="B8017" t="str">
        <f>T("   Falkland, îles (Malvinas)")</f>
        <v xml:space="preserve">   Falkland, îles (Malvinas)</v>
      </c>
      <c r="C8017">
        <v>8740000</v>
      </c>
      <c r="D8017">
        <v>5819</v>
      </c>
    </row>
    <row r="8018" spans="1:4" x14ac:dyDescent="0.25">
      <c r="A8018" t="str">
        <f>T("   FR")</f>
        <v xml:space="preserve">   FR</v>
      </c>
      <c r="B8018" t="str">
        <f>T("   France")</f>
        <v xml:space="preserve">   France</v>
      </c>
      <c r="C8018">
        <v>20899261</v>
      </c>
      <c r="D8018">
        <v>4563</v>
      </c>
    </row>
    <row r="8019" spans="1:4" x14ac:dyDescent="0.25">
      <c r="A8019" t="str">
        <f>T("   IN")</f>
        <v xml:space="preserve">   IN</v>
      </c>
      <c r="B8019" t="str">
        <f>T("   Inde")</f>
        <v xml:space="preserve">   Inde</v>
      </c>
      <c r="C8019">
        <v>6007406</v>
      </c>
      <c r="D8019">
        <v>516.5</v>
      </c>
    </row>
    <row r="8020" spans="1:4" x14ac:dyDescent="0.25">
      <c r="A8020" t="str">
        <f>T("   NG")</f>
        <v xml:space="preserve">   NG</v>
      </c>
      <c r="B8020" t="str">
        <f>T("   Nigéria")</f>
        <v xml:space="preserve">   Nigéria</v>
      </c>
      <c r="C8020">
        <v>3324000</v>
      </c>
      <c r="D8020">
        <v>3190</v>
      </c>
    </row>
    <row r="8021" spans="1:4" x14ac:dyDescent="0.25">
      <c r="A8021" t="str">
        <f>T("   TG")</f>
        <v xml:space="preserve">   TG</v>
      </c>
      <c r="B8021" t="str">
        <f>T("   Togo")</f>
        <v xml:space="preserve">   Togo</v>
      </c>
      <c r="C8021">
        <v>5298177</v>
      </c>
      <c r="D8021">
        <v>7805</v>
      </c>
    </row>
    <row r="8022" spans="1:4" x14ac:dyDescent="0.25">
      <c r="A8022" t="str">
        <f>T("650691")</f>
        <v>650691</v>
      </c>
      <c r="B8022" t="str">
        <f>T("BONNETS DE BAIN, CAPUCHONS ET AUTRES COIFFURES, MÊME GARNIS, EN CAOUTCHOUC OU EN MATIÈRE PLASTIQUE (À L'EXCL. DES COIFFURES DE SÉCURITÉ ET DES COIFFURES AYANT LE CARACTÈRE DE JOUETS OU D'ARTICLES DE CARNAVAL) [01/01/1988-31/12/1994: BONNETS DE BAIN, CAPUC")</f>
        <v>BONNETS DE BAIN, CAPUCHONS ET AUTRES COIFFURES, MÊME GARNIS, EN CAOUTCHOUC OU EN MATIÈRE PLASTIQUE (À L'EXCL. DES COIFFURES DE SÉCURITÉ ET DES COIFFURES AYANT LE CARACTÈRE DE JOUETS OU D'ARTICLES DE CARNAVAL) [01/01/1988-31/12/1994: BONNETS DE BAIN, CAPUC</v>
      </c>
    </row>
    <row r="8023" spans="1:4" x14ac:dyDescent="0.25">
      <c r="A8023" t="str">
        <f>T("   ZZZ_Monde")</f>
        <v xml:space="preserve">   ZZZ_Monde</v>
      </c>
      <c r="B8023" t="str">
        <f>T("   ZZZ_Monde")</f>
        <v xml:space="preserve">   ZZZ_Monde</v>
      </c>
      <c r="C8023">
        <v>8245960</v>
      </c>
      <c r="D8023">
        <v>18171</v>
      </c>
    </row>
    <row r="8024" spans="1:4" x14ac:dyDescent="0.25">
      <c r="A8024" t="str">
        <f>T("   CN")</f>
        <v xml:space="preserve">   CN</v>
      </c>
      <c r="B8024" t="str">
        <f>T("   Chine")</f>
        <v xml:space="preserve">   Chine</v>
      </c>
      <c r="C8024">
        <v>6949257</v>
      </c>
      <c r="D8024">
        <v>18118</v>
      </c>
    </row>
    <row r="8025" spans="1:4" x14ac:dyDescent="0.25">
      <c r="A8025" t="str">
        <f>T("   FR")</f>
        <v xml:space="preserve">   FR</v>
      </c>
      <c r="B8025" t="str">
        <f>T("   France")</f>
        <v xml:space="preserve">   France</v>
      </c>
      <c r="C8025">
        <v>22303</v>
      </c>
      <c r="D8025">
        <v>13</v>
      </c>
    </row>
    <row r="8026" spans="1:4" x14ac:dyDescent="0.25">
      <c r="A8026" t="str">
        <f>T("   TG")</f>
        <v xml:space="preserve">   TG</v>
      </c>
      <c r="B8026" t="str">
        <f>T("   Togo")</f>
        <v xml:space="preserve">   Togo</v>
      </c>
      <c r="C8026">
        <v>1274400</v>
      </c>
      <c r="D8026">
        <v>40</v>
      </c>
    </row>
    <row r="8027" spans="1:4" x14ac:dyDescent="0.25">
      <c r="A8027" t="str">
        <f>T("650699")</f>
        <v>650699</v>
      </c>
      <c r="B8027" t="str">
        <f>T("Chapeaux et autres coiffures, même garnis, n.d.a.")</f>
        <v>Chapeaux et autres coiffures, même garnis, n.d.a.</v>
      </c>
    </row>
    <row r="8028" spans="1:4" x14ac:dyDescent="0.25">
      <c r="A8028" t="str">
        <f>T("   ZZZ_Monde")</f>
        <v xml:space="preserve">   ZZZ_Monde</v>
      </c>
      <c r="B8028" t="str">
        <f>T("   ZZZ_Monde")</f>
        <v xml:space="preserve">   ZZZ_Monde</v>
      </c>
      <c r="C8028">
        <v>37691155</v>
      </c>
      <c r="D8028">
        <v>44086</v>
      </c>
    </row>
    <row r="8029" spans="1:4" x14ac:dyDescent="0.25">
      <c r="A8029" t="str">
        <f>T("   BG")</f>
        <v xml:space="preserve">   BG</v>
      </c>
      <c r="B8029" t="str">
        <f>T("   Bulgarie")</f>
        <v xml:space="preserve">   Bulgarie</v>
      </c>
      <c r="C8029">
        <v>14</v>
      </c>
      <c r="D8029">
        <v>2</v>
      </c>
    </row>
    <row r="8030" spans="1:4" x14ac:dyDescent="0.25">
      <c r="A8030" t="str">
        <f>T("   CN")</f>
        <v xml:space="preserve">   CN</v>
      </c>
      <c r="B8030" t="str">
        <f>T("   Chine")</f>
        <v xml:space="preserve">   Chine</v>
      </c>
      <c r="C8030">
        <v>13523487</v>
      </c>
      <c r="D8030">
        <v>41153</v>
      </c>
    </row>
    <row r="8031" spans="1:4" x14ac:dyDescent="0.25">
      <c r="A8031" t="str">
        <f>T("   FR")</f>
        <v xml:space="preserve">   FR</v>
      </c>
      <c r="B8031" t="str">
        <f>T("   France")</f>
        <v xml:space="preserve">   France</v>
      </c>
      <c r="C8031">
        <v>23459978</v>
      </c>
      <c r="D8031">
        <v>1292</v>
      </c>
    </row>
    <row r="8032" spans="1:4" x14ac:dyDescent="0.25">
      <c r="A8032" t="str">
        <f>T("   TG")</f>
        <v xml:space="preserve">   TG</v>
      </c>
      <c r="B8032" t="str">
        <f>T("   Togo")</f>
        <v xml:space="preserve">   Togo</v>
      </c>
      <c r="C8032">
        <v>707676</v>
      </c>
      <c r="D8032">
        <v>1639</v>
      </c>
    </row>
    <row r="8033" spans="1:4" x14ac:dyDescent="0.25">
      <c r="A8033" t="str">
        <f>T("650700")</f>
        <v>650700</v>
      </c>
      <c r="B8033" t="str">
        <f>T("Bandes pour garniture intérieure, coiffes, couvre-coiffures, carcasses, visières et jugulaires pour la chapellerie (sauf les bandeaux utilisés par les sportifs comme protection contre les gouttes de transpiration, en bonneterie)")</f>
        <v>Bandes pour garniture intérieure, coiffes, couvre-coiffures, carcasses, visières et jugulaires pour la chapellerie (sauf les bandeaux utilisés par les sportifs comme protection contre les gouttes de transpiration, en bonneterie)</v>
      </c>
    </row>
    <row r="8034" spans="1:4" x14ac:dyDescent="0.25">
      <c r="A8034" t="str">
        <f>T("   ZZZ_Monde")</f>
        <v xml:space="preserve">   ZZZ_Monde</v>
      </c>
      <c r="B8034" t="str">
        <f>T("   ZZZ_Monde")</f>
        <v xml:space="preserve">   ZZZ_Monde</v>
      </c>
      <c r="C8034">
        <v>1640131</v>
      </c>
      <c r="D8034">
        <v>3618</v>
      </c>
    </row>
    <row r="8035" spans="1:4" x14ac:dyDescent="0.25">
      <c r="A8035" t="str">
        <f>T("   CN")</f>
        <v xml:space="preserve">   CN</v>
      </c>
      <c r="B8035" t="str">
        <f>T("   Chine")</f>
        <v xml:space="preserve">   Chine</v>
      </c>
      <c r="C8035">
        <v>1640131</v>
      </c>
      <c r="D8035">
        <v>3618</v>
      </c>
    </row>
    <row r="8036" spans="1:4" x14ac:dyDescent="0.25">
      <c r="A8036" t="str">
        <f>T("660110")</f>
        <v>660110</v>
      </c>
      <c r="B8036" t="str">
        <f>T("Parasols de jardin et articles simil. (sauf tentes de plage)")</f>
        <v>Parasols de jardin et articles simil. (sauf tentes de plage)</v>
      </c>
    </row>
    <row r="8037" spans="1:4" x14ac:dyDescent="0.25">
      <c r="A8037" t="str">
        <f>T("   ZZZ_Monde")</f>
        <v xml:space="preserve">   ZZZ_Monde</v>
      </c>
      <c r="B8037" t="str">
        <f>T("   ZZZ_Monde")</f>
        <v xml:space="preserve">   ZZZ_Monde</v>
      </c>
      <c r="C8037">
        <v>5011737</v>
      </c>
      <c r="D8037">
        <v>6849</v>
      </c>
    </row>
    <row r="8038" spans="1:4" x14ac:dyDescent="0.25">
      <c r="A8038" t="str">
        <f>T("   AE")</f>
        <v xml:space="preserve">   AE</v>
      </c>
      <c r="B8038" t="str">
        <f>T("   Emirats Arabes Unis")</f>
        <v xml:space="preserve">   Emirats Arabes Unis</v>
      </c>
      <c r="C8038">
        <v>233270</v>
      </c>
      <c r="D8038">
        <v>127</v>
      </c>
    </row>
    <row r="8039" spans="1:4" x14ac:dyDescent="0.25">
      <c r="A8039" t="str">
        <f>T("   BE")</f>
        <v xml:space="preserve">   BE</v>
      </c>
      <c r="B8039" t="str">
        <f>T("   Belgique")</f>
        <v xml:space="preserve">   Belgique</v>
      </c>
      <c r="C8039">
        <v>50509</v>
      </c>
      <c r="D8039">
        <v>50</v>
      </c>
    </row>
    <row r="8040" spans="1:4" x14ac:dyDescent="0.25">
      <c r="A8040" t="str">
        <f>T("   CN")</f>
        <v xml:space="preserve">   CN</v>
      </c>
      <c r="B8040" t="str">
        <f>T("   Chine")</f>
        <v xml:space="preserve">   Chine</v>
      </c>
      <c r="C8040">
        <v>2529740</v>
      </c>
      <c r="D8040">
        <v>4258</v>
      </c>
    </row>
    <row r="8041" spans="1:4" x14ac:dyDescent="0.25">
      <c r="A8041" t="str">
        <f>T("   DE")</f>
        <v xml:space="preserve">   DE</v>
      </c>
      <c r="B8041" t="str">
        <f>T("   Allemagne")</f>
        <v xml:space="preserve">   Allemagne</v>
      </c>
      <c r="C8041">
        <v>241393</v>
      </c>
      <c r="D8041">
        <v>330</v>
      </c>
    </row>
    <row r="8042" spans="1:4" x14ac:dyDescent="0.25">
      <c r="A8042" t="str">
        <f>T("   ES")</f>
        <v xml:space="preserve">   ES</v>
      </c>
      <c r="B8042" t="str">
        <f>T("   Espagne")</f>
        <v xml:space="preserve">   Espagne</v>
      </c>
      <c r="C8042">
        <v>40315</v>
      </c>
      <c r="D8042">
        <v>18</v>
      </c>
    </row>
    <row r="8043" spans="1:4" x14ac:dyDescent="0.25">
      <c r="A8043" t="str">
        <f>T("   FR")</f>
        <v xml:space="preserve">   FR</v>
      </c>
      <c r="B8043" t="str">
        <f>T("   France")</f>
        <v xml:space="preserve">   France</v>
      </c>
      <c r="C8043">
        <v>852092</v>
      </c>
      <c r="D8043">
        <v>417</v>
      </c>
    </row>
    <row r="8044" spans="1:4" x14ac:dyDescent="0.25">
      <c r="A8044" t="str">
        <f>T("   IT")</f>
        <v xml:space="preserve">   IT</v>
      </c>
      <c r="B8044" t="str">
        <f>T("   Italie")</f>
        <v xml:space="preserve">   Italie</v>
      </c>
      <c r="C8044">
        <v>462452</v>
      </c>
      <c r="D8044">
        <v>90</v>
      </c>
    </row>
    <row r="8045" spans="1:4" x14ac:dyDescent="0.25">
      <c r="A8045" t="str">
        <f>T("   NL")</f>
        <v xml:space="preserve">   NL</v>
      </c>
      <c r="B8045" t="str">
        <f>T("   Pays-bas")</f>
        <v xml:space="preserve">   Pays-bas</v>
      </c>
      <c r="C8045">
        <v>11308</v>
      </c>
      <c r="D8045">
        <v>3</v>
      </c>
    </row>
    <row r="8046" spans="1:4" x14ac:dyDescent="0.25">
      <c r="A8046" t="str">
        <f>T("   SA")</f>
        <v xml:space="preserve">   SA</v>
      </c>
      <c r="B8046" t="str">
        <f>T("   Arabie Saoudite")</f>
        <v xml:space="preserve">   Arabie Saoudite</v>
      </c>
      <c r="C8046">
        <v>100687</v>
      </c>
      <c r="D8046">
        <v>400</v>
      </c>
    </row>
    <row r="8047" spans="1:4" x14ac:dyDescent="0.25">
      <c r="A8047" t="str">
        <f>T("   US")</f>
        <v xml:space="preserve">   US</v>
      </c>
      <c r="B8047" t="str">
        <f>T("   Etats-Unis")</f>
        <v xml:space="preserve">   Etats-Unis</v>
      </c>
      <c r="C8047">
        <v>489971</v>
      </c>
      <c r="D8047">
        <v>1156</v>
      </c>
    </row>
    <row r="8048" spans="1:4" x14ac:dyDescent="0.25">
      <c r="A8048" t="str">
        <f>T("660191")</f>
        <v>660191</v>
      </c>
      <c r="B8048" t="str">
        <f>T("Parapluies, y.c. les parapluies-cannes et ombrelles, à mât ou à manche télescopique (sauf jouets d'enfants)")</f>
        <v>Parapluies, y.c. les parapluies-cannes et ombrelles, à mât ou à manche télescopique (sauf jouets d'enfants)</v>
      </c>
    </row>
    <row r="8049" spans="1:4" x14ac:dyDescent="0.25">
      <c r="A8049" t="str">
        <f>T("   ZZZ_Monde")</f>
        <v xml:space="preserve">   ZZZ_Monde</v>
      </c>
      <c r="B8049" t="str">
        <f>T("   ZZZ_Monde")</f>
        <v xml:space="preserve">   ZZZ_Monde</v>
      </c>
      <c r="C8049">
        <v>173837</v>
      </c>
      <c r="D8049">
        <v>2095</v>
      </c>
    </row>
    <row r="8050" spans="1:4" x14ac:dyDescent="0.25">
      <c r="A8050" t="str">
        <f>T("   CN")</f>
        <v xml:space="preserve">   CN</v>
      </c>
      <c r="B8050" t="str">
        <f>T("   Chine")</f>
        <v xml:space="preserve">   Chine</v>
      </c>
      <c r="C8050">
        <v>173837</v>
      </c>
      <c r="D8050">
        <v>2095</v>
      </c>
    </row>
    <row r="8051" spans="1:4" x14ac:dyDescent="0.25">
      <c r="A8051" t="str">
        <f>T("660199")</f>
        <v>660199</v>
      </c>
      <c r="B8051" t="str">
        <f>T("Parapluies, y.c. les parapluies-cannes et ombrelles (sauf parapluies et ombrelles à mât ou à manche télescopique, parasols de jardin et articles simil. et sauf jouets d'enfants)")</f>
        <v>Parapluies, y.c. les parapluies-cannes et ombrelles (sauf parapluies et ombrelles à mât ou à manche télescopique, parasols de jardin et articles simil. et sauf jouets d'enfants)</v>
      </c>
    </row>
    <row r="8052" spans="1:4" x14ac:dyDescent="0.25">
      <c r="A8052" t="str">
        <f>T("   ZZZ_Monde")</f>
        <v xml:space="preserve">   ZZZ_Monde</v>
      </c>
      <c r="B8052" t="str">
        <f>T("   ZZZ_Monde")</f>
        <v xml:space="preserve">   ZZZ_Monde</v>
      </c>
      <c r="C8052">
        <v>15847553</v>
      </c>
      <c r="D8052">
        <v>41399</v>
      </c>
    </row>
    <row r="8053" spans="1:4" x14ac:dyDescent="0.25">
      <c r="A8053" t="str">
        <f>T("   AE")</f>
        <v xml:space="preserve">   AE</v>
      </c>
      <c r="B8053" t="str">
        <f>T("   Emirats Arabes Unis")</f>
        <v xml:space="preserve">   Emirats Arabes Unis</v>
      </c>
      <c r="C8053">
        <v>367947</v>
      </c>
      <c r="D8053">
        <v>125</v>
      </c>
    </row>
    <row r="8054" spans="1:4" x14ac:dyDescent="0.25">
      <c r="A8054" t="str">
        <f>T("   BE")</f>
        <v xml:space="preserve">   BE</v>
      </c>
      <c r="B8054" t="str">
        <f>T("   Belgique")</f>
        <v xml:space="preserve">   Belgique</v>
      </c>
      <c r="C8054">
        <v>5192479</v>
      </c>
      <c r="D8054">
        <v>2246</v>
      </c>
    </row>
    <row r="8055" spans="1:4" x14ac:dyDescent="0.25">
      <c r="A8055" t="str">
        <f>T("   CN")</f>
        <v xml:space="preserve">   CN</v>
      </c>
      <c r="B8055" t="str">
        <f>T("   Chine")</f>
        <v xml:space="preserve">   Chine</v>
      </c>
      <c r="C8055">
        <v>5444560</v>
      </c>
      <c r="D8055">
        <v>14408</v>
      </c>
    </row>
    <row r="8056" spans="1:4" x14ac:dyDescent="0.25">
      <c r="A8056" t="str">
        <f>T("   DE")</f>
        <v xml:space="preserve">   DE</v>
      </c>
      <c r="B8056" t="str">
        <f>T("   Allemagne")</f>
        <v xml:space="preserve">   Allemagne</v>
      </c>
      <c r="C8056">
        <v>99050</v>
      </c>
      <c r="D8056">
        <v>373</v>
      </c>
    </row>
    <row r="8057" spans="1:4" x14ac:dyDescent="0.25">
      <c r="A8057" t="str">
        <f>T("   FR")</f>
        <v xml:space="preserve">   FR</v>
      </c>
      <c r="B8057" t="str">
        <f>T("   France")</f>
        <v xml:space="preserve">   France</v>
      </c>
      <c r="C8057">
        <v>3599252</v>
      </c>
      <c r="D8057">
        <v>958</v>
      </c>
    </row>
    <row r="8058" spans="1:4" x14ac:dyDescent="0.25">
      <c r="A8058" t="str">
        <f>T("   IN")</f>
        <v xml:space="preserve">   IN</v>
      </c>
      <c r="B8058" t="str">
        <f>T("   Inde")</f>
        <v xml:space="preserve">   Inde</v>
      </c>
      <c r="C8058">
        <v>21571</v>
      </c>
      <c r="D8058">
        <v>1200</v>
      </c>
    </row>
    <row r="8059" spans="1:4" x14ac:dyDescent="0.25">
      <c r="A8059" t="str">
        <f>T("   IT")</f>
        <v xml:space="preserve">   IT</v>
      </c>
      <c r="B8059" t="str">
        <f>T("   Italie")</f>
        <v xml:space="preserve">   Italie</v>
      </c>
      <c r="C8059">
        <v>9587</v>
      </c>
      <c r="D8059">
        <v>35</v>
      </c>
    </row>
    <row r="8060" spans="1:4" x14ac:dyDescent="0.25">
      <c r="A8060" t="str">
        <f>T("   NG")</f>
        <v xml:space="preserve">   NG</v>
      </c>
      <c r="B8060" t="str">
        <f>T("   Nigéria")</f>
        <v xml:space="preserve">   Nigéria</v>
      </c>
      <c r="C8060">
        <v>206850</v>
      </c>
      <c r="D8060">
        <v>130</v>
      </c>
    </row>
    <row r="8061" spans="1:4" x14ac:dyDescent="0.25">
      <c r="A8061" t="str">
        <f>T("   NL")</f>
        <v xml:space="preserve">   NL</v>
      </c>
      <c r="B8061" t="str">
        <f>T("   Pays-bas")</f>
        <v xml:space="preserve">   Pays-bas</v>
      </c>
      <c r="C8061">
        <v>190477</v>
      </c>
      <c r="D8061">
        <v>175</v>
      </c>
    </row>
    <row r="8062" spans="1:4" x14ac:dyDescent="0.25">
      <c r="A8062" t="str">
        <f>T("   PT")</f>
        <v xml:space="preserve">   PT</v>
      </c>
      <c r="B8062" t="str">
        <f>T("   Portugal")</f>
        <v xml:space="preserve">   Portugal</v>
      </c>
      <c r="C8062">
        <v>104953</v>
      </c>
      <c r="D8062">
        <v>20</v>
      </c>
    </row>
    <row r="8063" spans="1:4" x14ac:dyDescent="0.25">
      <c r="A8063" t="str">
        <f>T("   SA")</f>
        <v xml:space="preserve">   SA</v>
      </c>
      <c r="B8063" t="str">
        <f>T("   Arabie Saoudite")</f>
        <v xml:space="preserve">   Arabie Saoudite</v>
      </c>
      <c r="C8063">
        <v>150215</v>
      </c>
      <c r="D8063">
        <v>618</v>
      </c>
    </row>
    <row r="8064" spans="1:4" x14ac:dyDescent="0.25">
      <c r="A8064" t="str">
        <f>T("   TG")</f>
        <v xml:space="preserve">   TG</v>
      </c>
      <c r="B8064" t="str">
        <f>T("   Togo")</f>
        <v xml:space="preserve">   Togo</v>
      </c>
      <c r="C8064">
        <v>415074</v>
      </c>
      <c r="D8064">
        <v>1140</v>
      </c>
    </row>
    <row r="8065" spans="1:4" x14ac:dyDescent="0.25">
      <c r="A8065" t="str">
        <f>T("   TR")</f>
        <v xml:space="preserve">   TR</v>
      </c>
      <c r="B8065" t="str">
        <f>T("   Turquie")</f>
        <v xml:space="preserve">   Turquie</v>
      </c>
      <c r="C8065">
        <v>45538</v>
      </c>
      <c r="D8065">
        <v>19971</v>
      </c>
    </row>
    <row r="8066" spans="1:4" x14ac:dyDescent="0.25">
      <c r="A8066" t="str">
        <f>T("660200")</f>
        <v>660200</v>
      </c>
      <c r="B8066" t="str">
        <f>T("Cannes, cannes-sièges, fouets, cravaches et articles simil. (sauf cannes-mesures, béquilles, cannes ayant le caractère d'armes et cannes de sport)")</f>
        <v>Cannes, cannes-sièges, fouets, cravaches et articles simil. (sauf cannes-mesures, béquilles, cannes ayant le caractère d'armes et cannes de sport)</v>
      </c>
    </row>
    <row r="8067" spans="1:4" x14ac:dyDescent="0.25">
      <c r="A8067" t="str">
        <f>T("   ZZZ_Monde")</f>
        <v xml:space="preserve">   ZZZ_Monde</v>
      </c>
      <c r="B8067" t="str">
        <f>T("   ZZZ_Monde")</f>
        <v xml:space="preserve">   ZZZ_Monde</v>
      </c>
      <c r="C8067">
        <v>1477824</v>
      </c>
      <c r="D8067">
        <v>2012</v>
      </c>
    </row>
    <row r="8068" spans="1:4" x14ac:dyDescent="0.25">
      <c r="A8068" t="str">
        <f>T("   CN")</f>
        <v xml:space="preserve">   CN</v>
      </c>
      <c r="B8068" t="str">
        <f>T("   Chine")</f>
        <v xml:space="preserve">   Chine</v>
      </c>
      <c r="C8068">
        <v>288569</v>
      </c>
      <c r="D8068">
        <v>1519</v>
      </c>
    </row>
    <row r="8069" spans="1:4" x14ac:dyDescent="0.25">
      <c r="A8069" t="str">
        <f>T("   FR")</f>
        <v xml:space="preserve">   FR</v>
      </c>
      <c r="B8069" t="str">
        <f>T("   France")</f>
        <v xml:space="preserve">   France</v>
      </c>
      <c r="C8069">
        <v>1189255</v>
      </c>
      <c r="D8069">
        <v>493</v>
      </c>
    </row>
    <row r="8070" spans="1:4" x14ac:dyDescent="0.25">
      <c r="A8070" t="str">
        <f>T("660320")</f>
        <v>660320</v>
      </c>
      <c r="B8070" t="str">
        <f>T("Montures assemblées, même avec mâts ou manches, reconnaissables comme étant destinées aux parapluies, ombrelles ou parasols du n° 6601")</f>
        <v>Montures assemblées, même avec mâts ou manches, reconnaissables comme étant destinées aux parapluies, ombrelles ou parasols du n° 6601</v>
      </c>
    </row>
    <row r="8071" spans="1:4" x14ac:dyDescent="0.25">
      <c r="A8071" t="str">
        <f>T("   ZZZ_Monde")</f>
        <v xml:space="preserve">   ZZZ_Monde</v>
      </c>
      <c r="B8071" t="str">
        <f>T("   ZZZ_Monde")</f>
        <v xml:space="preserve">   ZZZ_Monde</v>
      </c>
      <c r="C8071">
        <v>3395878</v>
      </c>
      <c r="D8071">
        <v>3582</v>
      </c>
    </row>
    <row r="8072" spans="1:4" x14ac:dyDescent="0.25">
      <c r="A8072" t="str">
        <f>T("   AE")</f>
        <v xml:space="preserve">   AE</v>
      </c>
      <c r="B8072" t="str">
        <f>T("   Emirats Arabes Unis")</f>
        <v xml:space="preserve">   Emirats Arabes Unis</v>
      </c>
      <c r="C8072">
        <v>3395878</v>
      </c>
      <c r="D8072">
        <v>3582</v>
      </c>
    </row>
    <row r="8073" spans="1:4" x14ac:dyDescent="0.25">
      <c r="A8073" t="str">
        <f>T("660390")</f>
        <v>660390</v>
      </c>
      <c r="B8073" t="str">
        <f>T("PARTIES, GARNITURES ET ACCESSOIRES RECONNAISSABLES COMME ÉTANT DESTINÉS AUX PARAPLUIES, OMBRELLES ET PARASOLS DU N° 6601 OU AUX CANNES, CANNES-SIÈGES, FOUETS, CRAVACHES ET ARTICLES SIMIL. DU N° 6602 (SAUF MONTURES ASSEMBLÉES MÊME AVEC MÂTS OU MANCHES)")</f>
        <v>PARTIES, GARNITURES ET ACCESSOIRES RECONNAISSABLES COMME ÉTANT DESTINÉS AUX PARAPLUIES, OMBRELLES ET PARASOLS DU N° 6601 OU AUX CANNES, CANNES-SIÈGES, FOUETS, CRAVACHES ET ARTICLES SIMIL. DU N° 6602 (SAUF MONTURES ASSEMBLÉES MÊME AVEC MÂTS OU MANCHES)</v>
      </c>
    </row>
    <row r="8074" spans="1:4" x14ac:dyDescent="0.25">
      <c r="A8074" t="str">
        <f>T("   ZZZ_Monde")</f>
        <v xml:space="preserve">   ZZZ_Monde</v>
      </c>
      <c r="B8074" t="str">
        <f>T("   ZZZ_Monde")</f>
        <v xml:space="preserve">   ZZZ_Monde</v>
      </c>
      <c r="C8074">
        <v>11807</v>
      </c>
      <c r="D8074">
        <v>10</v>
      </c>
    </row>
    <row r="8075" spans="1:4" x14ac:dyDescent="0.25">
      <c r="A8075" t="str">
        <f>T("   ES")</f>
        <v xml:space="preserve">   ES</v>
      </c>
      <c r="B8075" t="str">
        <f>T("   Espagne")</f>
        <v xml:space="preserve">   Espagne</v>
      </c>
      <c r="C8075">
        <v>11807</v>
      </c>
      <c r="D8075">
        <v>10</v>
      </c>
    </row>
    <row r="8076" spans="1:4" x14ac:dyDescent="0.25">
      <c r="A8076" t="str">
        <f>T("670210")</f>
        <v>670210</v>
      </c>
      <c r="B8076" t="str">
        <f>T("Fleurs, feuillages et fruits artificiels, y.c. leurs parties; articles confectionnés en fleurs, feuillages ou fruits artificiels fabriqués par ligature, collage, emboîtage ou procédés simil., en matières plastiques")</f>
        <v>Fleurs, feuillages et fruits artificiels, y.c. leurs parties; articles confectionnés en fleurs, feuillages ou fruits artificiels fabriqués par ligature, collage, emboîtage ou procédés simil., en matières plastiques</v>
      </c>
    </row>
    <row r="8077" spans="1:4" x14ac:dyDescent="0.25">
      <c r="A8077" t="str">
        <f>T("   ZZZ_Monde")</f>
        <v xml:space="preserve">   ZZZ_Monde</v>
      </c>
      <c r="B8077" t="str">
        <f>T("   ZZZ_Monde")</f>
        <v xml:space="preserve">   ZZZ_Monde</v>
      </c>
      <c r="C8077">
        <v>13713254</v>
      </c>
      <c r="D8077">
        <v>21677</v>
      </c>
    </row>
    <row r="8078" spans="1:4" x14ac:dyDescent="0.25">
      <c r="A8078" t="str">
        <f>T("   CN")</f>
        <v xml:space="preserve">   CN</v>
      </c>
      <c r="B8078" t="str">
        <f>T("   Chine")</f>
        <v xml:space="preserve">   Chine</v>
      </c>
      <c r="C8078">
        <v>9601696</v>
      </c>
      <c r="D8078">
        <v>21021</v>
      </c>
    </row>
    <row r="8079" spans="1:4" x14ac:dyDescent="0.25">
      <c r="A8079" t="str">
        <f>T("   FR")</f>
        <v xml:space="preserve">   FR</v>
      </c>
      <c r="B8079" t="str">
        <f>T("   France")</f>
        <v xml:space="preserve">   France</v>
      </c>
      <c r="C8079">
        <v>3941008</v>
      </c>
      <c r="D8079">
        <v>456</v>
      </c>
    </row>
    <row r="8080" spans="1:4" x14ac:dyDescent="0.25">
      <c r="A8080" t="str">
        <f>T("   IT")</f>
        <v xml:space="preserve">   IT</v>
      </c>
      <c r="B8080" t="str">
        <f>T("   Italie")</f>
        <v xml:space="preserve">   Italie</v>
      </c>
      <c r="C8080">
        <v>170550</v>
      </c>
      <c r="D8080">
        <v>200</v>
      </c>
    </row>
    <row r="8081" spans="1:4" x14ac:dyDescent="0.25">
      <c r="A8081" t="str">
        <f>T("670290")</f>
        <v>670290</v>
      </c>
      <c r="B8081" t="str">
        <f>T("Fleurs, feuillages et fruits artificiels, y.c. leurs parties; articles confectionnés en fleurs, feuillages ou fruits artificiels fabriqués par ligature, collage, emboîtage ou procédés simil. (autres qu'en matière plastique)")</f>
        <v>Fleurs, feuillages et fruits artificiels, y.c. leurs parties; articles confectionnés en fleurs, feuillages ou fruits artificiels fabriqués par ligature, collage, emboîtage ou procédés simil. (autres qu'en matière plastique)</v>
      </c>
    </row>
    <row r="8082" spans="1:4" x14ac:dyDescent="0.25">
      <c r="A8082" t="str">
        <f>T("   ZZZ_Monde")</f>
        <v xml:space="preserve">   ZZZ_Monde</v>
      </c>
      <c r="B8082" t="str">
        <f>T("   ZZZ_Monde")</f>
        <v xml:space="preserve">   ZZZ_Monde</v>
      </c>
      <c r="C8082">
        <v>15666074</v>
      </c>
      <c r="D8082">
        <v>12517</v>
      </c>
    </row>
    <row r="8083" spans="1:4" x14ac:dyDescent="0.25">
      <c r="A8083" t="str">
        <f>T("   AE")</f>
        <v xml:space="preserve">   AE</v>
      </c>
      <c r="B8083" t="str">
        <f>T("   Emirats Arabes Unis")</f>
        <v xml:space="preserve">   Emirats Arabes Unis</v>
      </c>
      <c r="C8083">
        <v>648834</v>
      </c>
      <c r="D8083">
        <v>2746</v>
      </c>
    </row>
    <row r="8084" spans="1:4" x14ac:dyDescent="0.25">
      <c r="A8084" t="str">
        <f>T("   BE")</f>
        <v xml:space="preserve">   BE</v>
      </c>
      <c r="B8084" t="str">
        <f>T("   Belgique")</f>
        <v xml:space="preserve">   Belgique</v>
      </c>
      <c r="C8084">
        <v>1290000</v>
      </c>
      <c r="D8084">
        <v>1500</v>
      </c>
    </row>
    <row r="8085" spans="1:4" x14ac:dyDescent="0.25">
      <c r="A8085" t="str">
        <f>T("   CN")</f>
        <v xml:space="preserve">   CN</v>
      </c>
      <c r="B8085" t="str">
        <f>T("   Chine")</f>
        <v xml:space="preserve">   Chine</v>
      </c>
      <c r="C8085">
        <v>1698899</v>
      </c>
      <c r="D8085">
        <v>6128</v>
      </c>
    </row>
    <row r="8086" spans="1:4" x14ac:dyDescent="0.25">
      <c r="A8086" t="str">
        <f>T("   FR")</f>
        <v xml:space="preserve">   FR</v>
      </c>
      <c r="B8086" t="str">
        <f>T("   France")</f>
        <v xml:space="preserve">   France</v>
      </c>
      <c r="C8086">
        <v>12028341</v>
      </c>
      <c r="D8086">
        <v>2143</v>
      </c>
    </row>
    <row r="8087" spans="1:4" x14ac:dyDescent="0.25">
      <c r="A8087" t="str">
        <f>T("670411")</f>
        <v>670411</v>
      </c>
      <c r="B8087" t="str">
        <f>T("Perruques complètes en matières textiles synthétiques")</f>
        <v>Perruques complètes en matières textiles synthétiques</v>
      </c>
    </row>
    <row r="8088" spans="1:4" x14ac:dyDescent="0.25">
      <c r="A8088" t="str">
        <f>T("   ZZZ_Monde")</f>
        <v xml:space="preserve">   ZZZ_Monde</v>
      </c>
      <c r="B8088" t="str">
        <f>T("   ZZZ_Monde")</f>
        <v xml:space="preserve">   ZZZ_Monde</v>
      </c>
      <c r="C8088">
        <v>715574</v>
      </c>
      <c r="D8088">
        <v>1521</v>
      </c>
    </row>
    <row r="8089" spans="1:4" x14ac:dyDescent="0.25">
      <c r="A8089" t="str">
        <f>T("   CN")</f>
        <v xml:space="preserve">   CN</v>
      </c>
      <c r="B8089" t="str">
        <f>T("   Chine")</f>
        <v xml:space="preserve">   Chine</v>
      </c>
      <c r="C8089">
        <v>215574</v>
      </c>
      <c r="D8089">
        <v>800</v>
      </c>
    </row>
    <row r="8090" spans="1:4" x14ac:dyDescent="0.25">
      <c r="A8090" t="str">
        <f>T("   TG")</f>
        <v xml:space="preserve">   TG</v>
      </c>
      <c r="B8090" t="str">
        <f>T("   Togo")</f>
        <v xml:space="preserve">   Togo</v>
      </c>
      <c r="C8090">
        <v>500000</v>
      </c>
      <c r="D8090">
        <v>721</v>
      </c>
    </row>
    <row r="8091" spans="1:4" x14ac:dyDescent="0.25">
      <c r="A8091" t="str">
        <f>T("670419")</f>
        <v>670419</v>
      </c>
      <c r="B8091" t="str">
        <f>T("Barbes, sourcils, cils, mèches et articles simil., en matières textiles synthétiques (sauf perruques complètes)")</f>
        <v>Barbes, sourcils, cils, mèches et articles simil., en matières textiles synthétiques (sauf perruques complètes)</v>
      </c>
    </row>
    <row r="8092" spans="1:4" x14ac:dyDescent="0.25">
      <c r="A8092" t="str">
        <f>T("   ZZZ_Monde")</f>
        <v xml:space="preserve">   ZZZ_Monde</v>
      </c>
      <c r="B8092" t="str">
        <f>T("   ZZZ_Monde")</f>
        <v xml:space="preserve">   ZZZ_Monde</v>
      </c>
      <c r="C8092">
        <v>62254465</v>
      </c>
      <c r="D8092">
        <v>66151</v>
      </c>
    </row>
    <row r="8093" spans="1:4" x14ac:dyDescent="0.25">
      <c r="A8093" t="str">
        <f>T("   CN")</f>
        <v xml:space="preserve">   CN</v>
      </c>
      <c r="B8093" t="str">
        <f>T("   Chine")</f>
        <v xml:space="preserve">   Chine</v>
      </c>
      <c r="C8093">
        <v>17022085</v>
      </c>
      <c r="D8093">
        <v>13020</v>
      </c>
    </row>
    <row r="8094" spans="1:4" x14ac:dyDescent="0.25">
      <c r="A8094" t="str">
        <f>T("   NG")</f>
        <v xml:space="preserve">   NG</v>
      </c>
      <c r="B8094" t="str">
        <f>T("   Nigéria")</f>
        <v xml:space="preserve">   Nigéria</v>
      </c>
      <c r="C8094">
        <v>43959500</v>
      </c>
      <c r="D8094">
        <v>49611</v>
      </c>
    </row>
    <row r="8095" spans="1:4" x14ac:dyDescent="0.25">
      <c r="A8095" t="str">
        <f>T("   TG")</f>
        <v xml:space="preserve">   TG</v>
      </c>
      <c r="B8095" t="str">
        <f>T("   Togo")</f>
        <v xml:space="preserve">   Togo</v>
      </c>
      <c r="C8095">
        <v>1272880</v>
      </c>
      <c r="D8095">
        <v>3520</v>
      </c>
    </row>
    <row r="8096" spans="1:4" x14ac:dyDescent="0.25">
      <c r="A8096" t="str">
        <f>T("670420")</f>
        <v>670420</v>
      </c>
      <c r="B8096" t="str">
        <f>T("Perruques, barbes, sourcils, cils, mèches et articles simil., en cheveux; ouvrages en cheveux n.d.a.")</f>
        <v>Perruques, barbes, sourcils, cils, mèches et articles simil., en cheveux; ouvrages en cheveux n.d.a.</v>
      </c>
    </row>
    <row r="8097" spans="1:4" x14ac:dyDescent="0.25">
      <c r="A8097" t="str">
        <f>T("   ZZZ_Monde")</f>
        <v xml:space="preserve">   ZZZ_Monde</v>
      </c>
      <c r="B8097" t="str">
        <f>T("   ZZZ_Monde")</f>
        <v xml:space="preserve">   ZZZ_Monde</v>
      </c>
      <c r="C8097">
        <v>100712042</v>
      </c>
      <c r="D8097">
        <v>503112</v>
      </c>
    </row>
    <row r="8098" spans="1:4" x14ac:dyDescent="0.25">
      <c r="A8098" t="str">
        <f>T("   CN")</f>
        <v xml:space="preserve">   CN</v>
      </c>
      <c r="B8098" t="str">
        <f>T("   Chine")</f>
        <v xml:space="preserve">   Chine</v>
      </c>
      <c r="C8098">
        <v>14203907</v>
      </c>
      <c r="D8098">
        <v>79236</v>
      </c>
    </row>
    <row r="8099" spans="1:4" x14ac:dyDescent="0.25">
      <c r="A8099" t="str">
        <f>T("   TG")</f>
        <v xml:space="preserve">   TG</v>
      </c>
      <c r="B8099" t="str">
        <f>T("   Togo")</f>
        <v xml:space="preserve">   Togo</v>
      </c>
      <c r="C8099">
        <v>85727135</v>
      </c>
      <c r="D8099">
        <v>416892</v>
      </c>
    </row>
    <row r="8100" spans="1:4" x14ac:dyDescent="0.25">
      <c r="A8100" t="str">
        <f>T("   Z2")</f>
        <v xml:space="preserve">   Z2</v>
      </c>
      <c r="B8100" t="str">
        <f>T("   Pays non défini")</f>
        <v xml:space="preserve">   Pays non défini</v>
      </c>
      <c r="C8100">
        <v>781000</v>
      </c>
      <c r="D8100">
        <v>6984</v>
      </c>
    </row>
    <row r="8101" spans="1:4" x14ac:dyDescent="0.25">
      <c r="A8101" t="str">
        <f>T("670490")</f>
        <v>670490</v>
      </c>
      <c r="B8101" t="str">
        <f>T("Perruques, barbes, sourcils, cils, mèches et articles simil., en poils ou matières textiles (sauf matières textiles synthétiques)")</f>
        <v>Perruques, barbes, sourcils, cils, mèches et articles simil., en poils ou matières textiles (sauf matières textiles synthétiques)</v>
      </c>
    </row>
    <row r="8102" spans="1:4" x14ac:dyDescent="0.25">
      <c r="A8102" t="str">
        <f>T("   ZZZ_Monde")</f>
        <v xml:space="preserve">   ZZZ_Monde</v>
      </c>
      <c r="B8102" t="str">
        <f>T("   ZZZ_Monde")</f>
        <v xml:space="preserve">   ZZZ_Monde</v>
      </c>
      <c r="C8102">
        <v>764419</v>
      </c>
      <c r="D8102">
        <v>420</v>
      </c>
    </row>
    <row r="8103" spans="1:4" x14ac:dyDescent="0.25">
      <c r="A8103" t="str">
        <f>T("   CN")</f>
        <v xml:space="preserve">   CN</v>
      </c>
      <c r="B8103" t="str">
        <f>T("   Chine")</f>
        <v xml:space="preserve">   Chine</v>
      </c>
      <c r="C8103">
        <v>764419</v>
      </c>
      <c r="D8103">
        <v>420</v>
      </c>
    </row>
    <row r="8104" spans="1:4" x14ac:dyDescent="0.25">
      <c r="A8104" t="str">
        <f>T("680100")</f>
        <v>680100</v>
      </c>
      <c r="B8104" t="str">
        <f>T("Pavés, bordures de trottoirs et dalles de pavage, en pierres naturelles (autres que l'ardoise)")</f>
        <v>Pavés, bordures de trottoirs et dalles de pavage, en pierres naturelles (autres que l'ardoise)</v>
      </c>
    </row>
    <row r="8105" spans="1:4" x14ac:dyDescent="0.25">
      <c r="A8105" t="str">
        <f>T("   ZZZ_Monde")</f>
        <v xml:space="preserve">   ZZZ_Monde</v>
      </c>
      <c r="B8105" t="str">
        <f>T("   ZZZ_Monde")</f>
        <v xml:space="preserve">   ZZZ_Monde</v>
      </c>
      <c r="C8105">
        <v>1006243</v>
      </c>
      <c r="D8105">
        <v>1924</v>
      </c>
    </row>
    <row r="8106" spans="1:4" x14ac:dyDescent="0.25">
      <c r="A8106" t="str">
        <f>T("   FR")</f>
        <v xml:space="preserve">   FR</v>
      </c>
      <c r="B8106" t="str">
        <f>T("   France")</f>
        <v xml:space="preserve">   France</v>
      </c>
      <c r="C8106">
        <v>1006243</v>
      </c>
      <c r="D8106">
        <v>1924</v>
      </c>
    </row>
    <row r="8107" spans="1:4" x14ac:dyDescent="0.25">
      <c r="A8107" t="str">
        <f>T("680210")</f>
        <v>680210</v>
      </c>
      <c r="B8107" t="str">
        <f>T("Carreaux, cubes, dés et autres pierres naturelles travaillées, y.c. l'ardoise, pour mosaïques et ouvrages analogues, même de forme autre que carrée ou rectangulaire, dont la plus grande surface peut être inscrite dans un carré de côté &lt; 7 cm; granulés, éc")</f>
        <v>Carreaux, cubes, dés et autres pierres naturelles travaillées, y.c. l'ardoise, pour mosaïques et ouvrages analogues, même de forme autre que carrée ou rectangulaire, dont la plus grande surface peut être inscrite dans un carré de côté &lt; 7 cm; granulés, éc</v>
      </c>
    </row>
    <row r="8108" spans="1:4" x14ac:dyDescent="0.25">
      <c r="A8108" t="str">
        <f>T("   ZZZ_Monde")</f>
        <v xml:space="preserve">   ZZZ_Monde</v>
      </c>
      <c r="B8108" t="str">
        <f>T("   ZZZ_Monde")</f>
        <v xml:space="preserve">   ZZZ_Monde</v>
      </c>
      <c r="C8108">
        <v>26648137</v>
      </c>
      <c r="D8108">
        <v>175603</v>
      </c>
    </row>
    <row r="8109" spans="1:4" x14ac:dyDescent="0.25">
      <c r="A8109" t="str">
        <f>T("   CN")</f>
        <v xml:space="preserve">   CN</v>
      </c>
      <c r="B8109" t="str">
        <f>T("   Chine")</f>
        <v xml:space="preserve">   Chine</v>
      </c>
      <c r="C8109">
        <v>23659617</v>
      </c>
      <c r="D8109">
        <v>157250</v>
      </c>
    </row>
    <row r="8110" spans="1:4" x14ac:dyDescent="0.25">
      <c r="A8110" t="str">
        <f>T("   FR")</f>
        <v xml:space="preserve">   FR</v>
      </c>
      <c r="B8110" t="str">
        <f>T("   France")</f>
        <v xml:space="preserve">   France</v>
      </c>
      <c r="C8110">
        <v>913752</v>
      </c>
      <c r="D8110">
        <v>853</v>
      </c>
    </row>
    <row r="8111" spans="1:4" x14ac:dyDescent="0.25">
      <c r="A8111" t="str">
        <f>T("   TG")</f>
        <v xml:space="preserve">   TG</v>
      </c>
      <c r="B8111" t="str">
        <f>T("   Togo")</f>
        <v xml:space="preserve">   Togo</v>
      </c>
      <c r="C8111">
        <v>2074768</v>
      </c>
      <c r="D8111">
        <v>17500</v>
      </c>
    </row>
    <row r="8112" spans="1:4" x14ac:dyDescent="0.25">
      <c r="A8112" t="str">
        <f>T("680221")</f>
        <v>680221</v>
      </c>
      <c r="B8112" t="str">
        <f>T("Marbre, travertin et albâtre, ouvrages en ces pierres, simplement taillés ou sciés et à surface plane ou unie (sauf à surface entièrement ou partiellement rabotée, poncée au papier sablé, grossièrement ou finement meulée ou polie; non du n° 6801.00.00 ou")</f>
        <v>Marbre, travertin et albâtre, ouvrages en ces pierres, simplement taillés ou sciés et à surface plane ou unie (sauf à surface entièrement ou partiellement rabotée, poncée au papier sablé, grossièrement ou finement meulée ou polie; non du n° 6801.00.00 ou</v>
      </c>
    </row>
    <row r="8113" spans="1:4" x14ac:dyDescent="0.25">
      <c r="A8113" t="str">
        <f>T("   ZZZ_Monde")</f>
        <v xml:space="preserve">   ZZZ_Monde</v>
      </c>
      <c r="B8113" t="str">
        <f>T("   ZZZ_Monde")</f>
        <v xml:space="preserve">   ZZZ_Monde</v>
      </c>
      <c r="C8113">
        <v>31339669</v>
      </c>
      <c r="D8113">
        <v>148742</v>
      </c>
    </row>
    <row r="8114" spans="1:4" x14ac:dyDescent="0.25">
      <c r="A8114" t="str">
        <f>T("   AE")</f>
        <v xml:space="preserve">   AE</v>
      </c>
      <c r="B8114" t="str">
        <f>T("   Emirats Arabes Unis")</f>
        <v xml:space="preserve">   Emirats Arabes Unis</v>
      </c>
      <c r="C8114">
        <v>4368168</v>
      </c>
      <c r="D8114">
        <v>18000</v>
      </c>
    </row>
    <row r="8115" spans="1:4" x14ac:dyDescent="0.25">
      <c r="A8115" t="str">
        <f>T("   CN")</f>
        <v xml:space="preserve">   CN</v>
      </c>
      <c r="B8115" t="str">
        <f>T("   Chine")</f>
        <v xml:space="preserve">   Chine</v>
      </c>
      <c r="C8115">
        <v>5276214</v>
      </c>
      <c r="D8115">
        <v>11742</v>
      </c>
    </row>
    <row r="8116" spans="1:4" x14ac:dyDescent="0.25">
      <c r="A8116" t="str">
        <f>T("   ES")</f>
        <v xml:space="preserve">   ES</v>
      </c>
      <c r="B8116" t="str">
        <f>T("   Espagne")</f>
        <v xml:space="preserve">   Espagne</v>
      </c>
      <c r="C8116">
        <v>21695287</v>
      </c>
      <c r="D8116">
        <v>119000</v>
      </c>
    </row>
    <row r="8117" spans="1:4" x14ac:dyDescent="0.25">
      <c r="A8117" t="str">
        <f>T("680229")</f>
        <v>680229</v>
      </c>
      <c r="B8117" t="str">
        <f>T("Pierres de taille ou de construction, naturelles, autres que les pierres calcaires, le granit et l'ardoise et ouvrages en ces pierres, simplement taillées ou sciées et à surface plane ou unie (sauf à surface entièrement ou partiellement rabotée, poncée au")</f>
        <v>Pierres de taille ou de construction, naturelles, autres que les pierres calcaires, le granit et l'ardoise et ouvrages en ces pierres, simplement taillées ou sciées et à surface plane ou unie (sauf à surface entièrement ou partiellement rabotée, poncée au</v>
      </c>
    </row>
    <row r="8118" spans="1:4" x14ac:dyDescent="0.25">
      <c r="A8118" t="str">
        <f>T("   ZZZ_Monde")</f>
        <v xml:space="preserve">   ZZZ_Monde</v>
      </c>
      <c r="B8118" t="str">
        <f>T("   ZZZ_Monde")</f>
        <v xml:space="preserve">   ZZZ_Monde</v>
      </c>
      <c r="C8118">
        <v>511420</v>
      </c>
      <c r="D8118">
        <v>555</v>
      </c>
    </row>
    <row r="8119" spans="1:4" x14ac:dyDescent="0.25">
      <c r="A8119" t="str">
        <f>T("   CN")</f>
        <v xml:space="preserve">   CN</v>
      </c>
      <c r="B8119" t="str">
        <f>T("   Chine")</f>
        <v xml:space="preserve">   Chine</v>
      </c>
      <c r="C8119">
        <v>500497</v>
      </c>
      <c r="D8119">
        <v>500</v>
      </c>
    </row>
    <row r="8120" spans="1:4" x14ac:dyDescent="0.25">
      <c r="A8120" t="str">
        <f>T("   TG")</f>
        <v xml:space="preserve">   TG</v>
      </c>
      <c r="B8120" t="str">
        <f>T("   Togo")</f>
        <v xml:space="preserve">   Togo</v>
      </c>
      <c r="C8120">
        <v>10923</v>
      </c>
      <c r="D8120">
        <v>55</v>
      </c>
    </row>
    <row r="8121" spans="1:4" x14ac:dyDescent="0.25">
      <c r="A8121" t="str">
        <f>T("680291")</f>
        <v>680291</v>
      </c>
      <c r="B8121" t="str">
        <f>T("Marbre, travertin et albâtre de n'importe quelle forme, polis, décorés ou autrement travaillés (sauf ouvrages du n° 6801.00.00 ou 6802.10.00; bijoux de fantaisie; pendules et articles d'horlogerie, appareils d'éclairage et leurs parties; boutons; objets d")</f>
        <v>Marbre, travertin et albâtre de n'importe quelle forme, polis, décorés ou autrement travaillés (sauf ouvrages du n° 6801.00.00 ou 6802.10.00; bijoux de fantaisie; pendules et articles d'horlogerie, appareils d'éclairage et leurs parties; boutons; objets d</v>
      </c>
    </row>
    <row r="8122" spans="1:4" x14ac:dyDescent="0.25">
      <c r="A8122" t="str">
        <f>T("   ZZZ_Monde")</f>
        <v xml:space="preserve">   ZZZ_Monde</v>
      </c>
      <c r="B8122" t="str">
        <f>T("   ZZZ_Monde")</f>
        <v xml:space="preserve">   ZZZ_Monde</v>
      </c>
      <c r="C8122">
        <v>11978149</v>
      </c>
      <c r="D8122">
        <v>54030.21</v>
      </c>
    </row>
    <row r="8123" spans="1:4" x14ac:dyDescent="0.25">
      <c r="A8123" t="str">
        <f>T("   AE")</f>
        <v xml:space="preserve">   AE</v>
      </c>
      <c r="B8123" t="str">
        <f>T("   Emirats Arabes Unis")</f>
        <v xml:space="preserve">   Emirats Arabes Unis</v>
      </c>
      <c r="C8123">
        <v>179277</v>
      </c>
      <c r="D8123">
        <v>855</v>
      </c>
    </row>
    <row r="8124" spans="1:4" x14ac:dyDescent="0.25">
      <c r="A8124" t="str">
        <f>T("   CN")</f>
        <v xml:space="preserve">   CN</v>
      </c>
      <c r="B8124" t="str">
        <f>T("   Chine")</f>
        <v xml:space="preserve">   Chine</v>
      </c>
      <c r="C8124">
        <v>1781523</v>
      </c>
      <c r="D8124">
        <v>5175.21</v>
      </c>
    </row>
    <row r="8125" spans="1:4" x14ac:dyDescent="0.25">
      <c r="A8125" t="str">
        <f>T("   ES")</f>
        <v xml:space="preserve">   ES</v>
      </c>
      <c r="B8125" t="str">
        <f>T("   Espagne")</f>
        <v xml:space="preserve">   Espagne</v>
      </c>
      <c r="C8125">
        <v>10017349</v>
      </c>
      <c r="D8125">
        <v>48000</v>
      </c>
    </row>
    <row r="8126" spans="1:4" x14ac:dyDescent="0.25">
      <c r="A8126" t="str">
        <f>T("680293")</f>
        <v>680293</v>
      </c>
      <c r="B8126" t="str">
        <f>T("GRANIT DE N'IMPORTE QUELLE FORME, POLI, DÉCORÉ OU AUTREMENT TRAVAILLÉ (SAUF OUVRAGES DU 6802.10; BIJOUX DE FANTAISIE; PENDULES ET ARTICLES D'HORLOGERIE, APPAREILS D'ÉCLAIRAGE ET LEURS PARTIES; OBJETS D'ART ORIGINAUX SCULPTÉS)")</f>
        <v>GRANIT DE N'IMPORTE QUELLE FORME, POLI, DÉCORÉ OU AUTREMENT TRAVAILLÉ (SAUF OUVRAGES DU 6802.10; BIJOUX DE FANTAISIE; PENDULES ET ARTICLES D'HORLOGERIE, APPAREILS D'ÉCLAIRAGE ET LEURS PARTIES; OBJETS D'ART ORIGINAUX SCULPTÉS)</v>
      </c>
    </row>
    <row r="8127" spans="1:4" x14ac:dyDescent="0.25">
      <c r="A8127" t="str">
        <f>T("   ZZZ_Monde")</f>
        <v xml:space="preserve">   ZZZ_Monde</v>
      </c>
      <c r="B8127" t="str">
        <f>T("   ZZZ_Monde")</f>
        <v xml:space="preserve">   ZZZ_Monde</v>
      </c>
      <c r="C8127">
        <v>109230</v>
      </c>
      <c r="D8127">
        <v>2300</v>
      </c>
    </row>
    <row r="8128" spans="1:4" x14ac:dyDescent="0.25">
      <c r="A8128" t="str">
        <f>T("   TG")</f>
        <v xml:space="preserve">   TG</v>
      </c>
      <c r="B8128" t="str">
        <f>T("   Togo")</f>
        <v xml:space="preserve">   Togo</v>
      </c>
      <c r="C8128">
        <v>109230</v>
      </c>
      <c r="D8128">
        <v>2300</v>
      </c>
    </row>
    <row r="8129" spans="1:4" x14ac:dyDescent="0.25">
      <c r="A8129" t="str">
        <f>T("680299")</f>
        <v>680299</v>
      </c>
      <c r="B8129" t="str">
        <f>T("PIERRES DE TAILLE OU DE CONSTRUCTION, NATURELLES, AUTRES QUE LES PIERRES CALCAIRES, LE GRANIT, L'ARDOISE, DE N'IMPORTE QUELLE FORME, POLIES, DÉCORÉES OU AUTREMENT TRAVAILLÉES (SAUF OUVRAGES DU 6802.10; ARTICLES EN BASALTE FONDU OU EN STÉATITE CÉRAMIQUE; B")</f>
        <v>PIERRES DE TAILLE OU DE CONSTRUCTION, NATURELLES, AUTRES QUE LES PIERRES CALCAIRES, LE GRANIT, L'ARDOISE, DE N'IMPORTE QUELLE FORME, POLIES, DÉCORÉES OU AUTREMENT TRAVAILLÉES (SAUF OUVRAGES DU 6802.10; ARTICLES EN BASALTE FONDU OU EN STÉATITE CÉRAMIQUE; B</v>
      </c>
    </row>
    <row r="8130" spans="1:4" x14ac:dyDescent="0.25">
      <c r="A8130" t="str">
        <f>T("   ZZZ_Monde")</f>
        <v xml:space="preserve">   ZZZ_Monde</v>
      </c>
      <c r="B8130" t="str">
        <f>T("   ZZZ_Monde")</f>
        <v xml:space="preserve">   ZZZ_Monde</v>
      </c>
      <c r="C8130">
        <v>27557463</v>
      </c>
      <c r="D8130">
        <v>296593</v>
      </c>
    </row>
    <row r="8131" spans="1:4" x14ac:dyDescent="0.25">
      <c r="A8131" t="str">
        <f>T("   BE")</f>
        <v xml:space="preserve">   BE</v>
      </c>
      <c r="B8131" t="str">
        <f>T("   Belgique")</f>
        <v xml:space="preserve">   Belgique</v>
      </c>
      <c r="C8131">
        <v>22418720</v>
      </c>
      <c r="D8131">
        <v>264480</v>
      </c>
    </row>
    <row r="8132" spans="1:4" x14ac:dyDescent="0.25">
      <c r="A8132" t="str">
        <f>T("   CN")</f>
        <v xml:space="preserve">   CN</v>
      </c>
      <c r="B8132" t="str">
        <f>T("   Chine")</f>
        <v xml:space="preserve">   Chine</v>
      </c>
      <c r="C8132">
        <v>4274215</v>
      </c>
      <c r="D8132">
        <v>30000</v>
      </c>
    </row>
    <row r="8133" spans="1:4" x14ac:dyDescent="0.25">
      <c r="A8133" t="str">
        <f>T("   FR")</f>
        <v xml:space="preserve">   FR</v>
      </c>
      <c r="B8133" t="str">
        <f>T("   France")</f>
        <v xml:space="preserve">   France</v>
      </c>
      <c r="C8133">
        <v>784528</v>
      </c>
      <c r="D8133">
        <v>410</v>
      </c>
    </row>
    <row r="8134" spans="1:4" x14ac:dyDescent="0.25">
      <c r="A8134" t="str">
        <f>T("   TG")</f>
        <v xml:space="preserve">   TG</v>
      </c>
      <c r="B8134" t="str">
        <f>T("   Togo")</f>
        <v xml:space="preserve">   Togo</v>
      </c>
      <c r="C8134">
        <v>80000</v>
      </c>
      <c r="D8134">
        <v>1703</v>
      </c>
    </row>
    <row r="8135" spans="1:4" x14ac:dyDescent="0.25">
      <c r="A8135" t="str">
        <f>T("680410")</f>
        <v>680410</v>
      </c>
      <c r="B8135" t="str">
        <f>T("Meules à moudre ou à défibrer (sans bâtis), en pierres naturelles, en abrasifs naturels ou artificiels agglomérés ou en céramique")</f>
        <v>Meules à moudre ou à défibrer (sans bâtis), en pierres naturelles, en abrasifs naturels ou artificiels agglomérés ou en céramique</v>
      </c>
    </row>
    <row r="8136" spans="1:4" x14ac:dyDescent="0.25">
      <c r="A8136" t="str">
        <f>T("   ZZZ_Monde")</f>
        <v xml:space="preserve">   ZZZ_Monde</v>
      </c>
      <c r="B8136" t="str">
        <f>T("   ZZZ_Monde")</f>
        <v xml:space="preserve">   ZZZ_Monde</v>
      </c>
      <c r="C8136">
        <v>2523478</v>
      </c>
      <c r="D8136">
        <v>3390</v>
      </c>
    </row>
    <row r="8137" spans="1:4" x14ac:dyDescent="0.25">
      <c r="A8137" t="str">
        <f>T("   IT")</f>
        <v xml:space="preserve">   IT</v>
      </c>
      <c r="B8137" t="str">
        <f>T("   Italie")</f>
        <v xml:space="preserve">   Italie</v>
      </c>
      <c r="C8137">
        <v>2523478</v>
      </c>
      <c r="D8137">
        <v>3390</v>
      </c>
    </row>
    <row r="8138" spans="1:4" x14ac:dyDescent="0.25">
      <c r="A8138" t="str">
        <f>T("680422")</f>
        <v>680422</v>
      </c>
      <c r="B8138" t="str">
        <f>T("Meules et articles simil., sans bâtis, à broyer, aiguiser, polir, rectifier, trancher ou tronçonner, en abrasifs agglomérés ou en céramique (sauf diamants naturels ou synthétiques agglomérés et sauf pierres à aiguiser ou à polir à la main, la pierre ponce")</f>
        <v>Meules et articles simil., sans bâtis, à broyer, aiguiser, polir, rectifier, trancher ou tronçonner, en abrasifs agglomérés ou en céramique (sauf diamants naturels ou synthétiques agglomérés et sauf pierres à aiguiser ou à polir à la main, la pierre ponce</v>
      </c>
    </row>
    <row r="8139" spans="1:4" x14ac:dyDescent="0.25">
      <c r="A8139" t="str">
        <f>T("   ZZZ_Monde")</f>
        <v xml:space="preserve">   ZZZ_Monde</v>
      </c>
      <c r="B8139" t="str">
        <f>T("   ZZZ_Monde")</f>
        <v xml:space="preserve">   ZZZ_Monde</v>
      </c>
      <c r="C8139">
        <v>15101062</v>
      </c>
      <c r="D8139">
        <v>16317</v>
      </c>
    </row>
    <row r="8140" spans="1:4" x14ac:dyDescent="0.25">
      <c r="A8140" t="str">
        <f>T("   FR")</f>
        <v xml:space="preserve">   FR</v>
      </c>
      <c r="B8140" t="str">
        <f>T("   France")</f>
        <v xml:space="preserve">   France</v>
      </c>
      <c r="C8140">
        <v>9508965</v>
      </c>
      <c r="D8140">
        <v>4447</v>
      </c>
    </row>
    <row r="8141" spans="1:4" x14ac:dyDescent="0.25">
      <c r="A8141" t="str">
        <f>T("   IN")</f>
        <v xml:space="preserve">   IN</v>
      </c>
      <c r="B8141" t="str">
        <f>T("   Inde")</f>
        <v xml:space="preserve">   Inde</v>
      </c>
      <c r="C8141">
        <v>5592097</v>
      </c>
      <c r="D8141">
        <v>11870</v>
      </c>
    </row>
    <row r="8142" spans="1:4" x14ac:dyDescent="0.25">
      <c r="A8142" t="str">
        <f>T("680430")</f>
        <v>680430</v>
      </c>
      <c r="B8142" t="str">
        <f>T("Pierres à aiguiser ou à polir à la main")</f>
        <v>Pierres à aiguiser ou à polir à la main</v>
      </c>
    </row>
    <row r="8143" spans="1:4" x14ac:dyDescent="0.25">
      <c r="A8143" t="str">
        <f>T("   ZZZ_Monde")</f>
        <v xml:space="preserve">   ZZZ_Monde</v>
      </c>
      <c r="B8143" t="str">
        <f>T("   ZZZ_Monde")</f>
        <v xml:space="preserve">   ZZZ_Monde</v>
      </c>
      <c r="C8143">
        <v>2146957</v>
      </c>
      <c r="D8143">
        <v>3234</v>
      </c>
    </row>
    <row r="8144" spans="1:4" x14ac:dyDescent="0.25">
      <c r="A8144" t="str">
        <f>T("   FR")</f>
        <v xml:space="preserve">   FR</v>
      </c>
      <c r="B8144" t="str">
        <f>T("   France")</f>
        <v xml:space="preserve">   France</v>
      </c>
      <c r="C8144">
        <v>2146957</v>
      </c>
      <c r="D8144">
        <v>3234</v>
      </c>
    </row>
    <row r="8145" spans="1:4" x14ac:dyDescent="0.25">
      <c r="A8145" t="str">
        <f>T("680510")</f>
        <v>680510</v>
      </c>
      <c r="B8145" t="str">
        <f>T("Abrasifs naturels ou artificiels en poudre ou en grains, appliqués sur fond en matières textiles seulement, même découpés, cousus ou autrement assemblés")</f>
        <v>Abrasifs naturels ou artificiels en poudre ou en grains, appliqués sur fond en matières textiles seulement, même découpés, cousus ou autrement assemblés</v>
      </c>
    </row>
    <row r="8146" spans="1:4" x14ac:dyDescent="0.25">
      <c r="A8146" t="str">
        <f>T("   ZZZ_Monde")</f>
        <v xml:space="preserve">   ZZZ_Monde</v>
      </c>
      <c r="B8146" t="str">
        <f>T("   ZZZ_Monde")</f>
        <v xml:space="preserve">   ZZZ_Monde</v>
      </c>
      <c r="C8146">
        <v>409975</v>
      </c>
      <c r="D8146">
        <v>135</v>
      </c>
    </row>
    <row r="8147" spans="1:4" x14ac:dyDescent="0.25">
      <c r="A8147" t="str">
        <f>T("   FR")</f>
        <v xml:space="preserve">   FR</v>
      </c>
      <c r="B8147" t="str">
        <f>T("   France")</f>
        <v xml:space="preserve">   France</v>
      </c>
      <c r="C8147">
        <v>409975</v>
      </c>
      <c r="D8147">
        <v>135</v>
      </c>
    </row>
    <row r="8148" spans="1:4" x14ac:dyDescent="0.25">
      <c r="A8148" t="str">
        <f>T("680520")</f>
        <v>680520</v>
      </c>
      <c r="B8148" t="str">
        <f>T("ABRASIFS NATURELS OU ARTIFICIELS EN POUDRE OU EN GRAINS, APPLIQUÉS SUR FOND EN MATIÈRES TEXTILES SEULEMENT, MÊME DÉCOUPÉS, COUSUS OU AUTREMENT ASSEMBLÉS")</f>
        <v>ABRASIFS NATURELS OU ARTIFICIELS EN POUDRE OU EN GRAINS, APPLIQUÉS SUR FOND EN MATIÈRES TEXTILES SEULEMENT, MÊME DÉCOUPÉS, COUSUS OU AUTREMENT ASSEMBLÉS</v>
      </c>
    </row>
    <row r="8149" spans="1:4" x14ac:dyDescent="0.25">
      <c r="A8149" t="str">
        <f>T("   ZZZ_Monde")</f>
        <v xml:space="preserve">   ZZZ_Monde</v>
      </c>
      <c r="B8149" t="str">
        <f>T("   ZZZ_Monde")</f>
        <v xml:space="preserve">   ZZZ_Monde</v>
      </c>
      <c r="C8149">
        <v>4877895</v>
      </c>
      <c r="D8149">
        <v>11994</v>
      </c>
    </row>
    <row r="8150" spans="1:4" x14ac:dyDescent="0.25">
      <c r="A8150" t="str">
        <f>T("   AT")</f>
        <v xml:space="preserve">   AT</v>
      </c>
      <c r="B8150" t="str">
        <f>T("   Autriche")</f>
        <v xml:space="preserve">   Autriche</v>
      </c>
      <c r="C8150">
        <v>352906</v>
      </c>
      <c r="D8150">
        <v>22</v>
      </c>
    </row>
    <row r="8151" spans="1:4" x14ac:dyDescent="0.25">
      <c r="A8151" t="str">
        <f>T("   FR")</f>
        <v xml:space="preserve">   FR</v>
      </c>
      <c r="B8151" t="str">
        <f>T("   France")</f>
        <v xml:space="preserve">   France</v>
      </c>
      <c r="C8151">
        <v>4253521</v>
      </c>
      <c r="D8151">
        <v>11271</v>
      </c>
    </row>
    <row r="8152" spans="1:4" x14ac:dyDescent="0.25">
      <c r="A8152" t="str">
        <f>T("   LB")</f>
        <v xml:space="preserve">   LB</v>
      </c>
      <c r="B8152" t="str">
        <f>T("   Liban")</f>
        <v xml:space="preserve">   Liban</v>
      </c>
      <c r="C8152">
        <v>271468</v>
      </c>
      <c r="D8152">
        <v>701</v>
      </c>
    </row>
    <row r="8153" spans="1:4" x14ac:dyDescent="0.25">
      <c r="A8153" t="str">
        <f>T("680530")</f>
        <v>680530</v>
      </c>
      <c r="B8153" t="str">
        <f>T("Abrasifs naturels ou artificiels en poudre ou en grains, appliqués sur un autre fond que des matières textiles seulement ou que du papier ou du carton seulement, même découpés, cousus ou autrement assemblés")</f>
        <v>Abrasifs naturels ou artificiels en poudre ou en grains, appliqués sur un autre fond que des matières textiles seulement ou que du papier ou du carton seulement, même découpés, cousus ou autrement assemblés</v>
      </c>
    </row>
    <row r="8154" spans="1:4" x14ac:dyDescent="0.25">
      <c r="A8154" t="str">
        <f>T("   ZZZ_Monde")</f>
        <v xml:space="preserve">   ZZZ_Monde</v>
      </c>
      <c r="B8154" t="str">
        <f>T("   ZZZ_Monde")</f>
        <v xml:space="preserve">   ZZZ_Monde</v>
      </c>
      <c r="C8154">
        <v>1866219</v>
      </c>
      <c r="D8154">
        <v>3178</v>
      </c>
    </row>
    <row r="8155" spans="1:4" x14ac:dyDescent="0.25">
      <c r="A8155" t="str">
        <f>T("   FR")</f>
        <v xml:space="preserve">   FR</v>
      </c>
      <c r="B8155" t="str">
        <f>T("   France")</f>
        <v xml:space="preserve">   France</v>
      </c>
      <c r="C8155">
        <v>1866219</v>
      </c>
      <c r="D8155">
        <v>3178</v>
      </c>
    </row>
    <row r="8156" spans="1:4" x14ac:dyDescent="0.25">
      <c r="A8156" t="str">
        <f>T("680610")</f>
        <v>680610</v>
      </c>
      <c r="B8156" t="str">
        <f>T("Laines de laitier, de scories, de roche et laines minérales simil., même mélangées entre elles, en masses, feuilles ou rouleaux")</f>
        <v>Laines de laitier, de scories, de roche et laines minérales simil., même mélangées entre elles, en masses, feuilles ou rouleaux</v>
      </c>
    </row>
    <row r="8157" spans="1:4" x14ac:dyDescent="0.25">
      <c r="A8157" t="str">
        <f>T("   ZZZ_Monde")</f>
        <v xml:space="preserve">   ZZZ_Monde</v>
      </c>
      <c r="B8157" t="str">
        <f>T("   ZZZ_Monde")</f>
        <v xml:space="preserve">   ZZZ_Monde</v>
      </c>
      <c r="C8157">
        <v>2732440</v>
      </c>
      <c r="D8157">
        <v>456</v>
      </c>
    </row>
    <row r="8158" spans="1:4" x14ac:dyDescent="0.25">
      <c r="A8158" t="str">
        <f>T("   AE")</f>
        <v xml:space="preserve">   AE</v>
      </c>
      <c r="B8158" t="str">
        <f>T("   Emirats Arabes Unis")</f>
        <v xml:space="preserve">   Emirats Arabes Unis</v>
      </c>
      <c r="C8158">
        <v>1834430</v>
      </c>
      <c r="D8158">
        <v>314</v>
      </c>
    </row>
    <row r="8159" spans="1:4" x14ac:dyDescent="0.25">
      <c r="A8159" t="str">
        <f>T("   FR")</f>
        <v xml:space="preserve">   FR</v>
      </c>
      <c r="B8159" t="str">
        <f>T("   France")</f>
        <v xml:space="preserve">   France</v>
      </c>
      <c r="C8159">
        <v>898010</v>
      </c>
      <c r="D8159">
        <v>142</v>
      </c>
    </row>
    <row r="8160" spans="1:4" x14ac:dyDescent="0.25">
      <c r="A8160" t="str">
        <f>T("680690")</f>
        <v>680690</v>
      </c>
      <c r="B8160" t="str">
        <f>T("Mélanges et ouvrages en matières minérales à usage d'isolants thermiques ou sonores ou pour l'absorption du son (sauf laines de laitier, de scories, de roche et laines minérales simil.; vermiculite expansée, argile expansée, mousse de scories et produits")</f>
        <v>Mélanges et ouvrages en matières minérales à usage d'isolants thermiques ou sonores ou pour l'absorption du son (sauf laines de laitier, de scories, de roche et laines minérales simil.; vermiculite expansée, argile expansée, mousse de scories et produits</v>
      </c>
    </row>
    <row r="8161" spans="1:4" x14ac:dyDescent="0.25">
      <c r="A8161" t="str">
        <f>T("   ZZZ_Monde")</f>
        <v xml:space="preserve">   ZZZ_Monde</v>
      </c>
      <c r="B8161" t="str">
        <f>T("   ZZZ_Monde")</f>
        <v xml:space="preserve">   ZZZ_Monde</v>
      </c>
      <c r="C8161">
        <v>94626449</v>
      </c>
      <c r="D8161">
        <v>67027</v>
      </c>
    </row>
    <row r="8162" spans="1:4" x14ac:dyDescent="0.25">
      <c r="A8162" t="str">
        <f>T("   DE")</f>
        <v xml:space="preserve">   DE</v>
      </c>
      <c r="B8162" t="str">
        <f>T("   Allemagne")</f>
        <v xml:space="preserve">   Allemagne</v>
      </c>
      <c r="C8162">
        <v>3641890</v>
      </c>
      <c r="D8162">
        <v>3752</v>
      </c>
    </row>
    <row r="8163" spans="1:4" x14ac:dyDescent="0.25">
      <c r="A8163" t="str">
        <f>T("   ES")</f>
        <v xml:space="preserve">   ES</v>
      </c>
      <c r="B8163" t="str">
        <f>T("   Espagne")</f>
        <v xml:space="preserve">   Espagne</v>
      </c>
      <c r="C8163">
        <v>79977268</v>
      </c>
      <c r="D8163">
        <v>48574</v>
      </c>
    </row>
    <row r="8164" spans="1:4" x14ac:dyDescent="0.25">
      <c r="A8164" t="str">
        <f>T("   FR")</f>
        <v xml:space="preserve">   FR</v>
      </c>
      <c r="B8164" t="str">
        <f>T("   France")</f>
        <v xml:space="preserve">   France</v>
      </c>
      <c r="C8164">
        <v>5037773</v>
      </c>
      <c r="D8164">
        <v>9465</v>
      </c>
    </row>
    <row r="8165" spans="1:4" x14ac:dyDescent="0.25">
      <c r="A8165" t="str">
        <f>T("   IT")</f>
        <v xml:space="preserve">   IT</v>
      </c>
      <c r="B8165" t="str">
        <f>T("   Italie")</f>
        <v xml:space="preserve">   Italie</v>
      </c>
      <c r="C8165">
        <v>83307</v>
      </c>
      <c r="D8165">
        <v>150</v>
      </c>
    </row>
    <row r="8166" spans="1:4" x14ac:dyDescent="0.25">
      <c r="A8166" t="str">
        <f>T("   NO")</f>
        <v xml:space="preserve">   NO</v>
      </c>
      <c r="B8166" t="str">
        <f>T("   Norvège")</f>
        <v xml:space="preserve">   Norvège</v>
      </c>
      <c r="C8166">
        <v>5886211</v>
      </c>
      <c r="D8166">
        <v>5086</v>
      </c>
    </row>
    <row r="8167" spans="1:4" x14ac:dyDescent="0.25">
      <c r="A8167" t="str">
        <f>T("680710")</f>
        <v>680710</v>
      </c>
      <c r="B8167" t="str">
        <f>T("Ouvrages en asphalte ou en produits simil., p.ex. poix de pétrole, brais, en rouleaux")</f>
        <v>Ouvrages en asphalte ou en produits simil., p.ex. poix de pétrole, brais, en rouleaux</v>
      </c>
    </row>
    <row r="8168" spans="1:4" x14ac:dyDescent="0.25">
      <c r="A8168" t="str">
        <f>T("   ZZZ_Monde")</f>
        <v xml:space="preserve">   ZZZ_Monde</v>
      </c>
      <c r="B8168" t="str">
        <f>T("   ZZZ_Monde")</f>
        <v xml:space="preserve">   ZZZ_Monde</v>
      </c>
      <c r="C8168">
        <v>157483869</v>
      </c>
      <c r="D8168">
        <v>425380</v>
      </c>
    </row>
    <row r="8169" spans="1:4" x14ac:dyDescent="0.25">
      <c r="A8169" t="str">
        <f>T("   CI")</f>
        <v xml:space="preserve">   CI</v>
      </c>
      <c r="B8169" t="str">
        <f>T("   Côte d'Ivoire")</f>
        <v xml:space="preserve">   Côte d'Ivoire</v>
      </c>
      <c r="C8169">
        <v>6714221</v>
      </c>
      <c r="D8169">
        <v>15543</v>
      </c>
    </row>
    <row r="8170" spans="1:4" x14ac:dyDescent="0.25">
      <c r="A8170" t="str">
        <f>T("   ES")</f>
        <v xml:space="preserve">   ES</v>
      </c>
      <c r="B8170" t="str">
        <f>T("   Espagne")</f>
        <v xml:space="preserve">   Espagne</v>
      </c>
      <c r="C8170">
        <v>41916244</v>
      </c>
      <c r="D8170">
        <v>118230</v>
      </c>
    </row>
    <row r="8171" spans="1:4" x14ac:dyDescent="0.25">
      <c r="A8171" t="str">
        <f>T("   FR")</f>
        <v xml:space="preserve">   FR</v>
      </c>
      <c r="B8171" t="str">
        <f>T("   France")</f>
        <v xml:space="preserve">   France</v>
      </c>
      <c r="C8171">
        <v>108853404</v>
      </c>
      <c r="D8171">
        <v>291607</v>
      </c>
    </row>
    <row r="8172" spans="1:4" x14ac:dyDescent="0.25">
      <c r="A8172" t="str">
        <f>T("680790")</f>
        <v>680790</v>
      </c>
      <c r="B8172" t="str">
        <f>T("Ouvrages en asphalte ou en produits simil., p.ex. poix de pétrole, brais (autres qu'en rouleaux)")</f>
        <v>Ouvrages en asphalte ou en produits simil., p.ex. poix de pétrole, brais (autres qu'en rouleaux)</v>
      </c>
    </row>
    <row r="8173" spans="1:4" x14ac:dyDescent="0.25">
      <c r="A8173" t="str">
        <f>T("   ZZZ_Monde")</f>
        <v xml:space="preserve">   ZZZ_Monde</v>
      </c>
      <c r="B8173" t="str">
        <f>T("   ZZZ_Monde")</f>
        <v xml:space="preserve">   ZZZ_Monde</v>
      </c>
      <c r="C8173">
        <v>74258363</v>
      </c>
      <c r="D8173">
        <v>179278</v>
      </c>
    </row>
    <row r="8174" spans="1:4" x14ac:dyDescent="0.25">
      <c r="A8174" t="str">
        <f>T("   FR")</f>
        <v xml:space="preserve">   FR</v>
      </c>
      <c r="B8174" t="str">
        <f>T("   France")</f>
        <v xml:space="preserve">   France</v>
      </c>
      <c r="C8174">
        <v>3675755</v>
      </c>
      <c r="D8174">
        <v>5685</v>
      </c>
    </row>
    <row r="8175" spans="1:4" x14ac:dyDescent="0.25">
      <c r="A8175" t="str">
        <f>T("   IT")</f>
        <v xml:space="preserve">   IT</v>
      </c>
      <c r="B8175" t="str">
        <f>T("   Italie")</f>
        <v xml:space="preserve">   Italie</v>
      </c>
      <c r="C8175">
        <v>70582608</v>
      </c>
      <c r="D8175">
        <v>173593</v>
      </c>
    </row>
    <row r="8176" spans="1:4" x14ac:dyDescent="0.25">
      <c r="A8176" t="str">
        <f>T("680911")</f>
        <v>680911</v>
      </c>
      <c r="B8176" t="str">
        <f>T("Planches, plaques, panneaux, carreaux et articles simil., en plâtre ou en compositions à base de plâtre, non ornementés, revêtus ou renforcés de papier ou de carton uniquement (sauf ouvrages à liaison en plâtre à usage d'isolants thermiques ou sonores ou")</f>
        <v>Planches, plaques, panneaux, carreaux et articles simil., en plâtre ou en compositions à base de plâtre, non ornementés, revêtus ou renforcés de papier ou de carton uniquement (sauf ouvrages à liaison en plâtre à usage d'isolants thermiques ou sonores ou</v>
      </c>
    </row>
    <row r="8177" spans="1:4" x14ac:dyDescent="0.25">
      <c r="A8177" t="str">
        <f>T("   ZZZ_Monde")</f>
        <v xml:space="preserve">   ZZZ_Monde</v>
      </c>
      <c r="B8177" t="str">
        <f>T("   ZZZ_Monde")</f>
        <v xml:space="preserve">   ZZZ_Monde</v>
      </c>
      <c r="C8177">
        <v>19262471</v>
      </c>
      <c r="D8177">
        <v>48899</v>
      </c>
    </row>
    <row r="8178" spans="1:4" x14ac:dyDescent="0.25">
      <c r="A8178" t="str">
        <f>T("   CN")</f>
        <v xml:space="preserve">   CN</v>
      </c>
      <c r="B8178" t="str">
        <f>T("   Chine")</f>
        <v xml:space="preserve">   Chine</v>
      </c>
      <c r="C8178">
        <v>17189592</v>
      </c>
      <c r="D8178">
        <v>48500</v>
      </c>
    </row>
    <row r="8179" spans="1:4" x14ac:dyDescent="0.25">
      <c r="A8179" t="str">
        <f>T("   GB")</f>
        <v xml:space="preserve">   GB</v>
      </c>
      <c r="B8179" t="str">
        <f>T("   Royaume-Uni")</f>
        <v xml:space="preserve">   Royaume-Uni</v>
      </c>
      <c r="C8179">
        <v>2072879</v>
      </c>
      <c r="D8179">
        <v>399</v>
      </c>
    </row>
    <row r="8180" spans="1:4" x14ac:dyDescent="0.25">
      <c r="A8180" t="str">
        <f>T("680919")</f>
        <v>680919</v>
      </c>
      <c r="B8180" t="str">
        <f>T("Planches, plaques, panneaux, carreaux et articles simil., en plâtre ou en compositions à base de plâtre, non ornementés (sauf revêtus ou renforcés de papier ou de carton uniquement et sauf ouvrages à liaison en plâtre à usage d'isolants thermiques ou sono")</f>
        <v>Planches, plaques, panneaux, carreaux et articles simil., en plâtre ou en compositions à base de plâtre, non ornementés (sauf revêtus ou renforcés de papier ou de carton uniquement et sauf ouvrages à liaison en plâtre à usage d'isolants thermiques ou sono</v>
      </c>
    </row>
    <row r="8181" spans="1:4" x14ac:dyDescent="0.25">
      <c r="A8181" t="str">
        <f>T("   ZZZ_Monde")</f>
        <v xml:space="preserve">   ZZZ_Monde</v>
      </c>
      <c r="B8181" t="str">
        <f>T("   ZZZ_Monde")</f>
        <v xml:space="preserve">   ZZZ_Monde</v>
      </c>
      <c r="C8181">
        <v>48505892</v>
      </c>
      <c r="D8181">
        <v>738938</v>
      </c>
    </row>
    <row r="8182" spans="1:4" x14ac:dyDescent="0.25">
      <c r="A8182" t="str">
        <f>T("   BE")</f>
        <v xml:space="preserve">   BE</v>
      </c>
      <c r="B8182" t="str">
        <f>T("   Belgique")</f>
        <v xml:space="preserve">   Belgique</v>
      </c>
      <c r="C8182">
        <v>3871791</v>
      </c>
      <c r="D8182">
        <v>16000</v>
      </c>
    </row>
    <row r="8183" spans="1:4" x14ac:dyDescent="0.25">
      <c r="A8183" t="str">
        <f>T("   CN")</f>
        <v xml:space="preserve">   CN</v>
      </c>
      <c r="B8183" t="str">
        <f>T("   Chine")</f>
        <v xml:space="preserve">   Chine</v>
      </c>
      <c r="C8183">
        <v>21475163</v>
      </c>
      <c r="D8183">
        <v>137248</v>
      </c>
    </row>
    <row r="8184" spans="1:4" x14ac:dyDescent="0.25">
      <c r="A8184" t="str">
        <f>T("   FR")</f>
        <v xml:space="preserve">   FR</v>
      </c>
      <c r="B8184" t="str">
        <f>T("   France")</f>
        <v xml:space="preserve">   France</v>
      </c>
      <c r="C8184">
        <v>19903938</v>
      </c>
      <c r="D8184">
        <v>421050</v>
      </c>
    </row>
    <row r="8185" spans="1:4" x14ac:dyDescent="0.25">
      <c r="A8185" t="str">
        <f>T("   Z2")</f>
        <v xml:space="preserve">   Z2</v>
      </c>
      <c r="B8185" t="str">
        <f>T("   Pays non défini")</f>
        <v xml:space="preserve">   Pays non défini</v>
      </c>
      <c r="C8185">
        <v>3255000</v>
      </c>
      <c r="D8185">
        <v>164640</v>
      </c>
    </row>
    <row r="8186" spans="1:4" x14ac:dyDescent="0.25">
      <c r="A8186" t="str">
        <f>T("680990")</f>
        <v>680990</v>
      </c>
      <c r="B8186" t="str">
        <f>T("Ouvrages en plâtre ou en compositions à base de plâtre (sauf plâtre en bandes et attelles en plâtre pour le traitement de fractures des os; cloisons légères ou ouvrages à usage d'isolants thermiques ou sonores ou pour l'absorption du son, à liaison en plâ")</f>
        <v>Ouvrages en plâtre ou en compositions à base de plâtre (sauf plâtre en bandes et attelles en plâtre pour le traitement de fractures des os; cloisons légères ou ouvrages à usage d'isolants thermiques ou sonores ou pour l'absorption du son, à liaison en plâ</v>
      </c>
    </row>
    <row r="8187" spans="1:4" x14ac:dyDescent="0.25">
      <c r="A8187" t="str">
        <f>T("   ZZZ_Monde")</f>
        <v xml:space="preserve">   ZZZ_Monde</v>
      </c>
      <c r="B8187" t="str">
        <f>T("   ZZZ_Monde")</f>
        <v xml:space="preserve">   ZZZ_Monde</v>
      </c>
      <c r="C8187">
        <v>46145351</v>
      </c>
      <c r="D8187">
        <v>525372</v>
      </c>
    </row>
    <row r="8188" spans="1:4" x14ac:dyDescent="0.25">
      <c r="A8188" t="str">
        <f>T("   BE")</f>
        <v xml:space="preserve">   BE</v>
      </c>
      <c r="B8188" t="str">
        <f>T("   Belgique")</f>
        <v xml:space="preserve">   Belgique</v>
      </c>
      <c r="C8188">
        <v>11697453</v>
      </c>
      <c r="D8188">
        <v>51013</v>
      </c>
    </row>
    <row r="8189" spans="1:4" x14ac:dyDescent="0.25">
      <c r="A8189" t="str">
        <f>T("   DE")</f>
        <v xml:space="preserve">   DE</v>
      </c>
      <c r="B8189" t="str">
        <f>T("   Allemagne")</f>
        <v xml:space="preserve">   Allemagne</v>
      </c>
      <c r="C8189">
        <v>4371974</v>
      </c>
      <c r="D8189">
        <v>5510</v>
      </c>
    </row>
    <row r="8190" spans="1:4" x14ac:dyDescent="0.25">
      <c r="A8190" t="str">
        <f>T("   ES")</f>
        <v xml:space="preserve">   ES</v>
      </c>
      <c r="B8190" t="str">
        <f>T("   Espagne")</f>
        <v xml:space="preserve">   Espagne</v>
      </c>
      <c r="C8190">
        <v>7767301</v>
      </c>
      <c r="D8190">
        <v>30759</v>
      </c>
    </row>
    <row r="8191" spans="1:4" x14ac:dyDescent="0.25">
      <c r="A8191" t="str">
        <f>T("   FR")</f>
        <v xml:space="preserve">   FR</v>
      </c>
      <c r="B8191" t="str">
        <f>T("   France")</f>
        <v xml:space="preserve">   France</v>
      </c>
      <c r="C8191">
        <v>17284321</v>
      </c>
      <c r="D8191">
        <v>421050</v>
      </c>
    </row>
    <row r="8192" spans="1:4" x14ac:dyDescent="0.25">
      <c r="A8192" t="str">
        <f>T("   NG")</f>
        <v xml:space="preserve">   NG</v>
      </c>
      <c r="B8192" t="str">
        <f>T("   Nigéria")</f>
        <v xml:space="preserve">   Nigéria</v>
      </c>
      <c r="C8192">
        <v>4001900</v>
      </c>
      <c r="D8192">
        <v>11434</v>
      </c>
    </row>
    <row r="8193" spans="1:4" x14ac:dyDescent="0.25">
      <c r="A8193" t="str">
        <f>T("   TG")</f>
        <v xml:space="preserve">   TG</v>
      </c>
      <c r="B8193" t="str">
        <f>T("   Togo")</f>
        <v xml:space="preserve">   Togo</v>
      </c>
      <c r="C8193">
        <v>1022402</v>
      </c>
      <c r="D8193">
        <v>5606</v>
      </c>
    </row>
    <row r="8194" spans="1:4" x14ac:dyDescent="0.25">
      <c r="A8194" t="str">
        <f>T("681011")</f>
        <v>681011</v>
      </c>
      <c r="B8194" t="str">
        <f>T("Blocs et briques pour la construction, en ciment, en béton ou en pierre artificielle, même armés")</f>
        <v>Blocs et briques pour la construction, en ciment, en béton ou en pierre artificielle, même armés</v>
      </c>
    </row>
    <row r="8195" spans="1:4" x14ac:dyDescent="0.25">
      <c r="A8195" t="str">
        <f>T("   ZZZ_Monde")</f>
        <v xml:space="preserve">   ZZZ_Monde</v>
      </c>
      <c r="B8195" t="str">
        <f>T("   ZZZ_Monde")</f>
        <v xml:space="preserve">   ZZZ_Monde</v>
      </c>
      <c r="C8195">
        <v>70856941</v>
      </c>
      <c r="D8195">
        <v>856352</v>
      </c>
    </row>
    <row r="8196" spans="1:4" x14ac:dyDescent="0.25">
      <c r="A8196" t="str">
        <f>T("   NL")</f>
        <v xml:space="preserve">   NL</v>
      </c>
      <c r="B8196" t="str">
        <f>T("   Pays-bas")</f>
        <v xml:space="preserve">   Pays-bas</v>
      </c>
      <c r="C8196">
        <v>62130941</v>
      </c>
      <c r="D8196">
        <v>632665</v>
      </c>
    </row>
    <row r="8197" spans="1:4" x14ac:dyDescent="0.25">
      <c r="A8197" t="str">
        <f>T("   Z2")</f>
        <v xml:space="preserve">   Z2</v>
      </c>
      <c r="B8197" t="str">
        <f>T("   Pays non défini")</f>
        <v xml:space="preserve">   Pays non défini</v>
      </c>
      <c r="C8197">
        <v>8726000</v>
      </c>
      <c r="D8197">
        <v>223687</v>
      </c>
    </row>
    <row r="8198" spans="1:4" x14ac:dyDescent="0.25">
      <c r="A8198" t="str">
        <f>T("681019")</f>
        <v>681019</v>
      </c>
      <c r="B8198" t="str">
        <f>T("Tuiles, carreaux, dalles et articles simil., en ciment, en béton ou en pierre artificielle (autres que blocs et briques pour la construction)")</f>
        <v>Tuiles, carreaux, dalles et articles simil., en ciment, en béton ou en pierre artificielle (autres que blocs et briques pour la construction)</v>
      </c>
    </row>
    <row r="8199" spans="1:4" x14ac:dyDescent="0.25">
      <c r="A8199" t="str">
        <f>T("   ZZZ_Monde")</f>
        <v xml:space="preserve">   ZZZ_Monde</v>
      </c>
      <c r="B8199" t="str">
        <f>T("   ZZZ_Monde")</f>
        <v xml:space="preserve">   ZZZ_Monde</v>
      </c>
      <c r="C8199">
        <v>302495467</v>
      </c>
      <c r="D8199">
        <v>3331120</v>
      </c>
    </row>
    <row r="8200" spans="1:4" x14ac:dyDescent="0.25">
      <c r="A8200" t="str">
        <f>T("   CN")</f>
        <v xml:space="preserve">   CN</v>
      </c>
      <c r="B8200" t="str">
        <f>T("   Chine")</f>
        <v xml:space="preserve">   Chine</v>
      </c>
      <c r="C8200">
        <v>199109532</v>
      </c>
      <c r="D8200">
        <v>2080325</v>
      </c>
    </row>
    <row r="8201" spans="1:4" x14ac:dyDescent="0.25">
      <c r="A8201" t="str">
        <f>T("   FR")</f>
        <v xml:space="preserve">   FR</v>
      </c>
      <c r="B8201" t="str">
        <f>T("   France")</f>
        <v xml:space="preserve">   France</v>
      </c>
      <c r="C8201">
        <v>2231761</v>
      </c>
      <c r="D8201">
        <v>3465</v>
      </c>
    </row>
    <row r="8202" spans="1:4" x14ac:dyDescent="0.25">
      <c r="A8202" t="str">
        <f>T("   IN")</f>
        <v xml:space="preserve">   IN</v>
      </c>
      <c r="B8202" t="str">
        <f>T("   Inde")</f>
        <v xml:space="preserve">   Inde</v>
      </c>
      <c r="C8202">
        <v>6116985</v>
      </c>
      <c r="D8202">
        <v>109980</v>
      </c>
    </row>
    <row r="8203" spans="1:4" x14ac:dyDescent="0.25">
      <c r="A8203" t="str">
        <f>T("   IT")</f>
        <v xml:space="preserve">   IT</v>
      </c>
      <c r="B8203" t="str">
        <f>T("   Italie")</f>
        <v xml:space="preserve">   Italie</v>
      </c>
      <c r="C8203">
        <v>4550231</v>
      </c>
      <c r="D8203">
        <v>40000</v>
      </c>
    </row>
    <row r="8204" spans="1:4" x14ac:dyDescent="0.25">
      <c r="A8204" t="str">
        <f>T("   VN")</f>
        <v xml:space="preserve">   VN</v>
      </c>
      <c r="B8204" t="str">
        <f>T("   Vietnam")</f>
        <v xml:space="preserve">   Vietnam</v>
      </c>
      <c r="C8204">
        <v>90486958</v>
      </c>
      <c r="D8204">
        <v>1097350</v>
      </c>
    </row>
    <row r="8205" spans="1:4" x14ac:dyDescent="0.25">
      <c r="A8205" t="str">
        <f>T("681091")</f>
        <v>681091</v>
      </c>
      <c r="B8205" t="str">
        <f>T("ÉLÉMENTS PRÉFABRIQUÉS POUR LE BÂTIMENT OU LE GÉNIE CIVIL, EN CIMENT, EN BÉTON OU EN PIERRE ARTIFICIELLE, MÊME ARMÉS")</f>
        <v>ÉLÉMENTS PRÉFABRIQUÉS POUR LE BÂTIMENT OU LE GÉNIE CIVIL, EN CIMENT, EN BÉTON OU EN PIERRE ARTIFICIELLE, MÊME ARMÉS</v>
      </c>
    </row>
    <row r="8206" spans="1:4" x14ac:dyDescent="0.25">
      <c r="A8206" t="str">
        <f>T("   ZZZ_Monde")</f>
        <v xml:space="preserve">   ZZZ_Monde</v>
      </c>
      <c r="B8206" t="str">
        <f>T("   ZZZ_Monde")</f>
        <v xml:space="preserve">   ZZZ_Monde</v>
      </c>
      <c r="C8206">
        <v>354874</v>
      </c>
      <c r="D8206">
        <v>1311</v>
      </c>
    </row>
    <row r="8207" spans="1:4" x14ac:dyDescent="0.25">
      <c r="A8207" t="str">
        <f>T("   FR")</f>
        <v xml:space="preserve">   FR</v>
      </c>
      <c r="B8207" t="str">
        <f>T("   France")</f>
        <v xml:space="preserve">   France</v>
      </c>
      <c r="C8207">
        <v>354874</v>
      </c>
      <c r="D8207">
        <v>1311</v>
      </c>
    </row>
    <row r="8208" spans="1:4" x14ac:dyDescent="0.25">
      <c r="A8208" t="str">
        <f>T("681099")</f>
        <v>681099</v>
      </c>
      <c r="B8208" t="str">
        <f>T("Ouvrages en ciment, en béton ou en pierres artificielles, même armés (sauf éléments préfabriqués pour le bâtiment ou le génie civil; tuiles, carreaux, dalles, briques et articles simil.)")</f>
        <v>Ouvrages en ciment, en béton ou en pierres artificielles, même armés (sauf éléments préfabriqués pour le bâtiment ou le génie civil; tuiles, carreaux, dalles, briques et articles simil.)</v>
      </c>
    </row>
    <row r="8209" spans="1:4" x14ac:dyDescent="0.25">
      <c r="A8209" t="str">
        <f>T("   ZZZ_Monde")</f>
        <v xml:space="preserve">   ZZZ_Monde</v>
      </c>
      <c r="B8209" t="str">
        <f>T("   ZZZ_Monde")</f>
        <v xml:space="preserve">   ZZZ_Monde</v>
      </c>
      <c r="C8209">
        <v>4653380</v>
      </c>
      <c r="D8209">
        <v>21990</v>
      </c>
    </row>
    <row r="8210" spans="1:4" x14ac:dyDescent="0.25">
      <c r="A8210" t="str">
        <f>T("   FR")</f>
        <v xml:space="preserve">   FR</v>
      </c>
      <c r="B8210" t="str">
        <f>T("   France")</f>
        <v xml:space="preserve">   France</v>
      </c>
      <c r="C8210">
        <v>4653380</v>
      </c>
      <c r="D8210">
        <v>21990</v>
      </c>
    </row>
    <row r="8211" spans="1:4" x14ac:dyDescent="0.25">
      <c r="A8211" t="str">
        <f>T("681110")</f>
        <v>681110</v>
      </c>
      <c r="B8211" t="str">
        <f>T("Plaques ondulées en amiante-ciment, cellulose-ciment ou simil.")</f>
        <v>Plaques ondulées en amiante-ciment, cellulose-ciment ou simil.</v>
      </c>
    </row>
    <row r="8212" spans="1:4" x14ac:dyDescent="0.25">
      <c r="A8212" t="str">
        <f>T("   ZZZ_Monde")</f>
        <v xml:space="preserve">   ZZZ_Monde</v>
      </c>
      <c r="B8212" t="str">
        <f>T("   ZZZ_Monde")</f>
        <v xml:space="preserve">   ZZZ_Monde</v>
      </c>
      <c r="C8212">
        <v>462014417</v>
      </c>
      <c r="D8212">
        <v>1960057</v>
      </c>
    </row>
    <row r="8213" spans="1:4" x14ac:dyDescent="0.25">
      <c r="A8213" t="str">
        <f>T("   ES")</f>
        <v xml:space="preserve">   ES</v>
      </c>
      <c r="B8213" t="str">
        <f>T("   Espagne")</f>
        <v xml:space="preserve">   Espagne</v>
      </c>
      <c r="C8213">
        <v>811423</v>
      </c>
      <c r="D8213">
        <v>1067</v>
      </c>
    </row>
    <row r="8214" spans="1:4" x14ac:dyDescent="0.25">
      <c r="A8214" t="str">
        <f>T("   IT")</f>
        <v xml:space="preserve">   IT</v>
      </c>
      <c r="B8214" t="str">
        <f>T("   Italie")</f>
        <v xml:space="preserve">   Italie</v>
      </c>
      <c r="C8214">
        <v>1035105</v>
      </c>
      <c r="D8214">
        <v>1490</v>
      </c>
    </row>
    <row r="8215" spans="1:4" x14ac:dyDescent="0.25">
      <c r="A8215" t="str">
        <f>T("   NG")</f>
        <v xml:space="preserve">   NG</v>
      </c>
      <c r="B8215" t="str">
        <f>T("   Nigéria")</f>
        <v xml:space="preserve">   Nigéria</v>
      </c>
      <c r="C8215">
        <v>392046980</v>
      </c>
      <c r="D8215">
        <v>1305000</v>
      </c>
    </row>
    <row r="8216" spans="1:4" x14ac:dyDescent="0.25">
      <c r="A8216" t="str">
        <f>T("   SE")</f>
        <v xml:space="preserve">   SE</v>
      </c>
      <c r="B8216" t="str">
        <f>T("   Suède")</f>
        <v xml:space="preserve">   Suède</v>
      </c>
      <c r="C8216">
        <v>68120909</v>
      </c>
      <c r="D8216">
        <v>652500</v>
      </c>
    </row>
    <row r="8217" spans="1:4" x14ac:dyDescent="0.25">
      <c r="A8217" t="str">
        <f>T("681120")</f>
        <v>681120</v>
      </c>
      <c r="B8217" t="str">
        <f>T("Plaques, panneaux, carreaux, tuiles et articles simil., en amiante-ciment, cellulose-ciment ou simil. (sauf plaques ondulées)")</f>
        <v>Plaques, panneaux, carreaux, tuiles et articles simil., en amiante-ciment, cellulose-ciment ou simil. (sauf plaques ondulées)</v>
      </c>
    </row>
    <row r="8218" spans="1:4" x14ac:dyDescent="0.25">
      <c r="A8218" t="str">
        <f>T("   ZZZ_Monde")</f>
        <v xml:space="preserve">   ZZZ_Monde</v>
      </c>
      <c r="B8218" t="str">
        <f>T("   ZZZ_Monde")</f>
        <v xml:space="preserve">   ZZZ_Monde</v>
      </c>
      <c r="C8218">
        <v>106530311</v>
      </c>
      <c r="D8218">
        <v>1444704</v>
      </c>
    </row>
    <row r="8219" spans="1:4" x14ac:dyDescent="0.25">
      <c r="A8219" t="str">
        <f>T("   AE")</f>
        <v xml:space="preserve">   AE</v>
      </c>
      <c r="B8219" t="str">
        <f>T("   Emirats Arabes Unis")</f>
        <v xml:space="preserve">   Emirats Arabes Unis</v>
      </c>
      <c r="C8219">
        <v>1820070</v>
      </c>
      <c r="D8219">
        <v>9690</v>
      </c>
    </row>
    <row r="8220" spans="1:4" x14ac:dyDescent="0.25">
      <c r="A8220" t="str">
        <f>T("   CN")</f>
        <v xml:space="preserve">   CN</v>
      </c>
      <c r="B8220" t="str">
        <f>T("   Chine")</f>
        <v xml:space="preserve">   Chine</v>
      </c>
      <c r="C8220">
        <v>31839406</v>
      </c>
      <c r="D8220">
        <v>502440</v>
      </c>
    </row>
    <row r="8221" spans="1:4" x14ac:dyDescent="0.25">
      <c r="A8221" t="str">
        <f>T("   FR")</f>
        <v xml:space="preserve">   FR</v>
      </c>
      <c r="B8221" t="str">
        <f>T("   France")</f>
        <v xml:space="preserve">   France</v>
      </c>
      <c r="C8221">
        <v>28554594</v>
      </c>
      <c r="D8221">
        <v>335503</v>
      </c>
    </row>
    <row r="8222" spans="1:4" x14ac:dyDescent="0.25">
      <c r="A8222" t="str">
        <f>T("   IT")</f>
        <v xml:space="preserve">   IT</v>
      </c>
      <c r="B8222" t="str">
        <f>T("   Italie")</f>
        <v xml:space="preserve">   Italie</v>
      </c>
      <c r="C8222">
        <v>32553242</v>
      </c>
      <c r="D8222">
        <v>449200</v>
      </c>
    </row>
    <row r="8223" spans="1:4" x14ac:dyDescent="0.25">
      <c r="A8223" t="str">
        <f>T("   NG")</f>
        <v xml:space="preserve">   NG</v>
      </c>
      <c r="B8223" t="str">
        <f>T("   Nigéria")</f>
        <v xml:space="preserve">   Nigéria</v>
      </c>
      <c r="C8223">
        <v>20000</v>
      </c>
      <c r="D8223">
        <v>40</v>
      </c>
    </row>
    <row r="8224" spans="1:4" x14ac:dyDescent="0.25">
      <c r="A8224" t="str">
        <f>T("   PT")</f>
        <v xml:space="preserve">   PT</v>
      </c>
      <c r="B8224" t="str">
        <f>T("   Portugal")</f>
        <v xml:space="preserve">   Portugal</v>
      </c>
      <c r="C8224">
        <v>10513071</v>
      </c>
      <c r="D8224">
        <v>139100</v>
      </c>
    </row>
    <row r="8225" spans="1:4" x14ac:dyDescent="0.25">
      <c r="A8225" t="str">
        <f>T("   TG")</f>
        <v xml:space="preserve">   TG</v>
      </c>
      <c r="B8225" t="str">
        <f>T("   Togo")</f>
        <v xml:space="preserve">   Togo</v>
      </c>
      <c r="C8225">
        <v>1229928</v>
      </c>
      <c r="D8225">
        <v>8731</v>
      </c>
    </row>
    <row r="8226" spans="1:4" x14ac:dyDescent="0.25">
      <c r="A8226" t="str">
        <f>T("681210")</f>
        <v>681210</v>
      </c>
      <c r="B8226" t="str">
        <f>T("AMIANTE TRAVAILLÉ, EN FIBRES; MÉLANGES A BASE D'AMIANTE OU A BASE D'AMIANTE ET DE CARBONATE DE MAGNESIUM")</f>
        <v>AMIANTE TRAVAILLÉ, EN FIBRES; MÉLANGES A BASE D'AMIANTE OU A BASE D'AMIANTE ET DE CARBONATE DE MAGNESIUM</v>
      </c>
    </row>
    <row r="8227" spans="1:4" x14ac:dyDescent="0.25">
      <c r="A8227" t="str">
        <f>T("   ZZZ_Monde")</f>
        <v xml:space="preserve">   ZZZ_Monde</v>
      </c>
      <c r="B8227" t="str">
        <f>T("   ZZZ_Monde")</f>
        <v xml:space="preserve">   ZZZ_Monde</v>
      </c>
      <c r="C8227">
        <v>5012000</v>
      </c>
      <c r="D8227">
        <v>81900</v>
      </c>
    </row>
    <row r="8228" spans="1:4" x14ac:dyDescent="0.25">
      <c r="A8228" t="str">
        <f>T("   Z2")</f>
        <v xml:space="preserve">   Z2</v>
      </c>
      <c r="B8228" t="str">
        <f>T("   Pays non défini")</f>
        <v xml:space="preserve">   Pays non défini</v>
      </c>
      <c r="C8228">
        <v>5012000</v>
      </c>
      <c r="D8228">
        <v>81900</v>
      </c>
    </row>
    <row r="8229" spans="1:4" x14ac:dyDescent="0.25">
      <c r="A8229" t="str">
        <f>T("681220")</f>
        <v>681220</v>
      </c>
      <c r="B8229" t="str">
        <f>T("FILS EN AMIANTE OU EN MÉLANGES A BASE D'AMIANTE OU A BASE D'AMIANTE ET DE CARBONATE DE MAGNESIUM")</f>
        <v>FILS EN AMIANTE OU EN MÉLANGES A BASE D'AMIANTE OU A BASE D'AMIANTE ET DE CARBONATE DE MAGNESIUM</v>
      </c>
    </row>
    <row r="8230" spans="1:4" x14ac:dyDescent="0.25">
      <c r="A8230" t="str">
        <f>T("   ZZZ_Monde")</f>
        <v xml:space="preserve">   ZZZ_Monde</v>
      </c>
      <c r="B8230" t="str">
        <f>T("   ZZZ_Monde")</f>
        <v xml:space="preserve">   ZZZ_Monde</v>
      </c>
      <c r="C8230">
        <v>10635000</v>
      </c>
      <c r="D8230">
        <v>174500</v>
      </c>
    </row>
    <row r="8231" spans="1:4" x14ac:dyDescent="0.25">
      <c r="A8231" t="str">
        <f>T("   Z2")</f>
        <v xml:space="preserve">   Z2</v>
      </c>
      <c r="B8231" t="str">
        <f>T("   Pays non défini")</f>
        <v xml:space="preserve">   Pays non défini</v>
      </c>
      <c r="C8231">
        <v>10635000</v>
      </c>
      <c r="D8231">
        <v>174500</v>
      </c>
    </row>
    <row r="8232" spans="1:4" x14ac:dyDescent="0.25">
      <c r="A8232" t="str">
        <f>T("681240")</f>
        <v>681240</v>
      </c>
      <c r="B8232" t="str">
        <f>T("TISSUS ET ETOFFES DE BONNETERIE EN AMIANTE OU EN MÉLANGES A BASE D'AMIANTE OU A BASE D'AMIANTE ET DE CARBONATE DE MAGNESIUM")</f>
        <v>TISSUS ET ETOFFES DE BONNETERIE EN AMIANTE OU EN MÉLANGES A BASE D'AMIANTE OU A BASE D'AMIANTE ET DE CARBONATE DE MAGNESIUM</v>
      </c>
    </row>
    <row r="8233" spans="1:4" x14ac:dyDescent="0.25">
      <c r="A8233" t="str">
        <f>T("   ZZZ_Monde")</f>
        <v xml:space="preserve">   ZZZ_Monde</v>
      </c>
      <c r="B8233" t="str">
        <f>T("   ZZZ_Monde")</f>
        <v xml:space="preserve">   ZZZ_Monde</v>
      </c>
      <c r="C8233">
        <v>218460</v>
      </c>
      <c r="D8233">
        <v>100</v>
      </c>
    </row>
    <row r="8234" spans="1:4" x14ac:dyDescent="0.25">
      <c r="A8234" t="str">
        <f>T("   TG")</f>
        <v xml:space="preserve">   TG</v>
      </c>
      <c r="B8234" t="str">
        <f>T("   Togo")</f>
        <v xml:space="preserve">   Togo</v>
      </c>
      <c r="C8234">
        <v>218460</v>
      </c>
      <c r="D8234">
        <v>100</v>
      </c>
    </row>
    <row r="8235" spans="1:4" x14ac:dyDescent="0.25">
      <c r="A8235" t="str">
        <f>T("681290")</f>
        <v>681290</v>
      </c>
      <c r="B8235" t="str">
        <f>T("Amiante [asbeste] travaillé en fibres; mélanges à base d'amiante ou à base d'amiante et de carbonate de magnésium; ouvrages en ces mélanges ou en amiante [p.ex. fils cordes, cordons, tissus, joints], même armés (sauf feuilles en amiante et élastomères com")</f>
        <v>Amiante [asbeste] travaillé en fibres; mélanges à base d'amiante ou à base d'amiante et de carbonate de magnésium; ouvrages en ces mélanges ou en amiante [p.ex. fils cordes, cordons, tissus, joints], même armés (sauf feuilles en amiante et élastomères com</v>
      </c>
    </row>
    <row r="8236" spans="1:4" x14ac:dyDescent="0.25">
      <c r="A8236" t="str">
        <f>T("   ZZZ_Monde")</f>
        <v xml:space="preserve">   ZZZ_Monde</v>
      </c>
      <c r="B8236" t="str">
        <f>T("   ZZZ_Monde")</f>
        <v xml:space="preserve">   ZZZ_Monde</v>
      </c>
      <c r="C8236">
        <v>306262</v>
      </c>
      <c r="D8236">
        <v>5000</v>
      </c>
    </row>
    <row r="8237" spans="1:4" x14ac:dyDescent="0.25">
      <c r="A8237" t="str">
        <f>T("   CN")</f>
        <v xml:space="preserve">   CN</v>
      </c>
      <c r="B8237" t="str">
        <f>T("   Chine")</f>
        <v xml:space="preserve">   Chine</v>
      </c>
      <c r="C8237">
        <v>306262</v>
      </c>
      <c r="D8237">
        <v>5000</v>
      </c>
    </row>
    <row r="8238" spans="1:4" x14ac:dyDescent="0.25">
      <c r="A8238" t="str">
        <f>T("681310")</f>
        <v>681310</v>
      </c>
      <c r="B8238" t="str">
        <f>T("Garnitures de freins et plaquettes de freins, à base d'amiante, d'autres substances minérales ou de cellulose, même combinées à des matières textiles ou d'autres matières et destinées aux aéronefs civils")</f>
        <v>Garnitures de freins et plaquettes de freins, à base d'amiante, d'autres substances minérales ou de cellulose, même combinées à des matières textiles ou d'autres matières et destinées aux aéronefs civils</v>
      </c>
    </row>
    <row r="8239" spans="1:4" x14ac:dyDescent="0.25">
      <c r="A8239" t="str">
        <f>T("   ZZZ_Monde")</f>
        <v xml:space="preserve">   ZZZ_Monde</v>
      </c>
      <c r="B8239" t="str">
        <f>T("   ZZZ_Monde")</f>
        <v xml:space="preserve">   ZZZ_Monde</v>
      </c>
      <c r="C8239">
        <v>335745</v>
      </c>
      <c r="D8239">
        <v>12</v>
      </c>
    </row>
    <row r="8240" spans="1:4" x14ac:dyDescent="0.25">
      <c r="A8240" t="str">
        <f>T("   FR")</f>
        <v xml:space="preserve">   FR</v>
      </c>
      <c r="B8240" t="str">
        <f>T("   France")</f>
        <v xml:space="preserve">   France</v>
      </c>
      <c r="C8240">
        <v>335745</v>
      </c>
      <c r="D8240">
        <v>12</v>
      </c>
    </row>
    <row r="8241" spans="1:4" x14ac:dyDescent="0.25">
      <c r="A8241" t="str">
        <f>T("681390")</f>
        <v>681390</v>
      </c>
      <c r="B8241" t="str">
        <f>T("Garnitures de friction [p.ex. plaques, rouleaux, bandes, segments, disques, rondelles, plaquettes], pour embrayages ou autres organes de frottement, à base d'amiante, d'autres substances minérales ou de cellulose, même combinées à des matières textiles ou")</f>
        <v>Garnitures de friction [p.ex. plaques, rouleaux, bandes, segments, disques, rondelles, plaquettes], pour embrayages ou autres organes de frottement, à base d'amiante, d'autres substances minérales ou de cellulose, même combinées à des matières textiles ou</v>
      </c>
    </row>
    <row r="8242" spans="1:4" x14ac:dyDescent="0.25">
      <c r="A8242" t="str">
        <f>T("   ZZZ_Monde")</f>
        <v xml:space="preserve">   ZZZ_Monde</v>
      </c>
      <c r="B8242" t="str">
        <f>T("   ZZZ_Monde")</f>
        <v xml:space="preserve">   ZZZ_Monde</v>
      </c>
      <c r="C8242">
        <v>2439515</v>
      </c>
      <c r="D8242">
        <v>17</v>
      </c>
    </row>
    <row r="8243" spans="1:4" x14ac:dyDescent="0.25">
      <c r="A8243" t="str">
        <f>T("   DK")</f>
        <v xml:space="preserve">   DK</v>
      </c>
      <c r="B8243" t="str">
        <f>T("   Danemark")</f>
        <v xml:space="preserve">   Danemark</v>
      </c>
      <c r="C8243">
        <v>2439515</v>
      </c>
      <c r="D8243">
        <v>17</v>
      </c>
    </row>
    <row r="8244" spans="1:4" x14ac:dyDescent="0.25">
      <c r="A8244" t="str">
        <f>T("690100")</f>
        <v>690100</v>
      </c>
      <c r="B8244" t="str">
        <f>T("Briques, dalles, carreaux et autres pièces céramiques, en farines siliceuses fossiles [p.ex. kieselguhr, tripolite, diatomite], ou en terres siliceuses analogues")</f>
        <v>Briques, dalles, carreaux et autres pièces céramiques, en farines siliceuses fossiles [p.ex. kieselguhr, tripolite, diatomite], ou en terres siliceuses analogues</v>
      </c>
    </row>
    <row r="8245" spans="1:4" x14ac:dyDescent="0.25">
      <c r="A8245" t="str">
        <f>T("   ZZZ_Monde")</f>
        <v xml:space="preserve">   ZZZ_Monde</v>
      </c>
      <c r="B8245" t="str">
        <f>T("   ZZZ_Monde")</f>
        <v xml:space="preserve">   ZZZ_Monde</v>
      </c>
      <c r="C8245">
        <v>520000</v>
      </c>
      <c r="D8245">
        <v>1537</v>
      </c>
    </row>
    <row r="8246" spans="1:4" x14ac:dyDescent="0.25">
      <c r="A8246" t="str">
        <f>T("   BE")</f>
        <v xml:space="preserve">   BE</v>
      </c>
      <c r="B8246" t="str">
        <f>T("   Belgique")</f>
        <v xml:space="preserve">   Belgique</v>
      </c>
      <c r="C8246">
        <v>520000</v>
      </c>
      <c r="D8246">
        <v>1537</v>
      </c>
    </row>
    <row r="8247" spans="1:4" x14ac:dyDescent="0.25">
      <c r="A8247" t="str">
        <f>T("690210")</f>
        <v>690210</v>
      </c>
      <c r="B8247" t="str">
        <f>T("Briques, dalles, carreaux et pièces céramiques de construction analogues, réfractaires, teneur en poids en éléments Mg, Ca ou Cr, pris isolément ou ensemble et exprimés en MgO, CaO ou Cr2O3 &gt; 50%")</f>
        <v>Briques, dalles, carreaux et pièces céramiques de construction analogues, réfractaires, teneur en poids en éléments Mg, Ca ou Cr, pris isolément ou ensemble et exprimés en MgO, CaO ou Cr2O3 &gt; 50%</v>
      </c>
    </row>
    <row r="8248" spans="1:4" x14ac:dyDescent="0.25">
      <c r="A8248" t="str">
        <f>T("   ZZZ_Monde")</f>
        <v xml:space="preserve">   ZZZ_Monde</v>
      </c>
      <c r="B8248" t="str">
        <f>T("   ZZZ_Monde")</f>
        <v xml:space="preserve">   ZZZ_Monde</v>
      </c>
      <c r="C8248">
        <v>13498346</v>
      </c>
      <c r="D8248">
        <v>57963</v>
      </c>
    </row>
    <row r="8249" spans="1:4" x14ac:dyDescent="0.25">
      <c r="A8249" t="str">
        <f>T("   CN")</f>
        <v xml:space="preserve">   CN</v>
      </c>
      <c r="B8249" t="str">
        <f>T("   Chine")</f>
        <v xml:space="preserve">   Chine</v>
      </c>
      <c r="C8249">
        <v>4356887</v>
      </c>
      <c r="D8249">
        <v>24976</v>
      </c>
    </row>
    <row r="8250" spans="1:4" x14ac:dyDescent="0.25">
      <c r="A8250" t="str">
        <f>T("   DE")</f>
        <v xml:space="preserve">   DE</v>
      </c>
      <c r="B8250" t="str">
        <f>T("   Allemagne")</f>
        <v xml:space="preserve">   Allemagne</v>
      </c>
      <c r="C8250">
        <v>9141459</v>
      </c>
      <c r="D8250">
        <v>32987</v>
      </c>
    </row>
    <row r="8251" spans="1:4" x14ac:dyDescent="0.25">
      <c r="A8251" t="str">
        <f>T("690220")</f>
        <v>690220</v>
      </c>
      <c r="B8251" t="str">
        <f>T("Briques, dalles, carreaux et pièces céramiques de construction analogues, réfractaires, teneur en poids en alumine -Al2O3-, silice SiO2, ou un mélange ou combinaison de ces matières &gt; 50% (autres que ceux en farines siliceuses fossiles ou en terres silice")</f>
        <v>Briques, dalles, carreaux et pièces céramiques de construction analogues, réfractaires, teneur en poids en alumine -Al2O3-, silice SiO2, ou un mélange ou combinaison de ces matières &gt; 50% (autres que ceux en farines siliceuses fossiles ou en terres silice</v>
      </c>
    </row>
    <row r="8252" spans="1:4" x14ac:dyDescent="0.25">
      <c r="A8252" t="str">
        <f>T("   ZZZ_Monde")</f>
        <v xml:space="preserve">   ZZZ_Monde</v>
      </c>
      <c r="B8252" t="str">
        <f>T("   ZZZ_Monde")</f>
        <v xml:space="preserve">   ZZZ_Monde</v>
      </c>
      <c r="C8252">
        <v>33513653</v>
      </c>
      <c r="D8252">
        <v>86701</v>
      </c>
    </row>
    <row r="8253" spans="1:4" x14ac:dyDescent="0.25">
      <c r="A8253" t="str">
        <f>T("   ES")</f>
        <v xml:space="preserve">   ES</v>
      </c>
      <c r="B8253" t="str">
        <f>T("   Espagne")</f>
        <v xml:space="preserve">   Espagne</v>
      </c>
      <c r="C8253">
        <v>33513653</v>
      </c>
      <c r="D8253">
        <v>86701</v>
      </c>
    </row>
    <row r="8254" spans="1:4" x14ac:dyDescent="0.25">
      <c r="A8254" t="str">
        <f>T("690290")</f>
        <v>690290</v>
      </c>
      <c r="B8254" t="str">
        <f>T("Briques, dalles, carreaux et pièces céramiques de construction analogues, réfractaires (autres qu'avec une teneur en poids en éléments Mg, Ca ou Cr pris isolément ou ensemble et exprimés en MgO, CaO ou Cr2O3 &gt; 50% ou avec une teneur en poids en alumine -A")</f>
        <v>Briques, dalles, carreaux et pièces céramiques de construction analogues, réfractaires (autres qu'avec une teneur en poids en éléments Mg, Ca ou Cr pris isolément ou ensemble et exprimés en MgO, CaO ou Cr2O3 &gt; 50% ou avec une teneur en poids en alumine -A</v>
      </c>
    </row>
    <row r="8255" spans="1:4" x14ac:dyDescent="0.25">
      <c r="A8255" t="str">
        <f>T("   ZZZ_Monde")</f>
        <v xml:space="preserve">   ZZZ_Monde</v>
      </c>
      <c r="B8255" t="str">
        <f>T("   ZZZ_Monde")</f>
        <v xml:space="preserve">   ZZZ_Monde</v>
      </c>
      <c r="C8255">
        <v>11598987</v>
      </c>
      <c r="D8255">
        <v>17083</v>
      </c>
    </row>
    <row r="8256" spans="1:4" x14ac:dyDescent="0.25">
      <c r="A8256" t="str">
        <f>T("   ES")</f>
        <v xml:space="preserve">   ES</v>
      </c>
      <c r="B8256" t="str">
        <f>T("   Espagne")</f>
        <v xml:space="preserve">   Espagne</v>
      </c>
      <c r="C8256">
        <v>11475364</v>
      </c>
      <c r="D8256">
        <v>16083</v>
      </c>
    </row>
    <row r="8257" spans="1:4" x14ac:dyDescent="0.25">
      <c r="A8257" t="str">
        <f>T("   IN")</f>
        <v xml:space="preserve">   IN</v>
      </c>
      <c r="B8257" t="str">
        <f>T("   Inde")</f>
        <v xml:space="preserve">   Inde</v>
      </c>
      <c r="C8257">
        <v>123623</v>
      </c>
      <c r="D8257">
        <v>1000</v>
      </c>
    </row>
    <row r="8258" spans="1:4" x14ac:dyDescent="0.25">
      <c r="A8258" t="str">
        <f>T("690390")</f>
        <v>690390</v>
      </c>
      <c r="B8258" t="str">
        <f>T("Cornues, creusets, moufles, busettes, tampons, supports, coupelles, tubes, tuyaux, gaines et autres articles céramiques réfractaires (sauf produits en farines siliceuses fossiles ou en terres siliceuses analogues; briques, dalles, carreaux et pièces de co")</f>
        <v>Cornues, creusets, moufles, busettes, tampons, supports, coupelles, tubes, tuyaux, gaines et autres articles céramiques réfractaires (sauf produits en farines siliceuses fossiles ou en terres siliceuses analogues; briques, dalles, carreaux et pièces de co</v>
      </c>
    </row>
    <row r="8259" spans="1:4" x14ac:dyDescent="0.25">
      <c r="A8259" t="str">
        <f>T("   ZZZ_Monde")</f>
        <v xml:space="preserve">   ZZZ_Monde</v>
      </c>
      <c r="B8259" t="str">
        <f>T("   ZZZ_Monde")</f>
        <v xml:space="preserve">   ZZZ_Monde</v>
      </c>
      <c r="C8259">
        <v>960325</v>
      </c>
      <c r="D8259">
        <v>1</v>
      </c>
    </row>
    <row r="8260" spans="1:4" x14ac:dyDescent="0.25">
      <c r="A8260" t="str">
        <f>T("   FR")</f>
        <v xml:space="preserve">   FR</v>
      </c>
      <c r="B8260" t="str">
        <f>T("   France")</f>
        <v xml:space="preserve">   France</v>
      </c>
      <c r="C8260">
        <v>960325</v>
      </c>
      <c r="D8260">
        <v>1</v>
      </c>
    </row>
    <row r="8261" spans="1:4" x14ac:dyDescent="0.25">
      <c r="A8261" t="str">
        <f>T("690510")</f>
        <v>690510</v>
      </c>
      <c r="B8261" t="str">
        <f>T("Tuiles")</f>
        <v>Tuiles</v>
      </c>
    </row>
    <row r="8262" spans="1:4" x14ac:dyDescent="0.25">
      <c r="A8262" t="str">
        <f>T("   ZZZ_Monde")</f>
        <v xml:space="preserve">   ZZZ_Monde</v>
      </c>
      <c r="B8262" t="str">
        <f>T("   ZZZ_Monde")</f>
        <v xml:space="preserve">   ZZZ_Monde</v>
      </c>
      <c r="C8262">
        <v>159639913</v>
      </c>
      <c r="D8262">
        <v>1906232</v>
      </c>
    </row>
    <row r="8263" spans="1:4" x14ac:dyDescent="0.25">
      <c r="A8263" t="str">
        <f>T("   CN")</f>
        <v xml:space="preserve">   CN</v>
      </c>
      <c r="B8263" t="str">
        <f>T("   Chine")</f>
        <v xml:space="preserve">   Chine</v>
      </c>
      <c r="C8263">
        <v>6776424</v>
      </c>
      <c r="D8263">
        <v>34678</v>
      </c>
    </row>
    <row r="8264" spans="1:4" x14ac:dyDescent="0.25">
      <c r="A8264" t="str">
        <f>T("   ES")</f>
        <v xml:space="preserve">   ES</v>
      </c>
      <c r="B8264" t="str">
        <f>T("   Espagne")</f>
        <v xml:space="preserve">   Espagne</v>
      </c>
      <c r="C8264">
        <v>27404586</v>
      </c>
      <c r="D8264">
        <v>283317</v>
      </c>
    </row>
    <row r="8265" spans="1:4" x14ac:dyDescent="0.25">
      <c r="A8265" t="str">
        <f>T("   FR")</f>
        <v xml:space="preserve">   FR</v>
      </c>
      <c r="B8265" t="str">
        <f>T("   France")</f>
        <v xml:space="preserve">   France</v>
      </c>
      <c r="C8265">
        <v>21990378</v>
      </c>
      <c r="D8265">
        <v>182537</v>
      </c>
    </row>
    <row r="8266" spans="1:4" x14ac:dyDescent="0.25">
      <c r="A8266" t="str">
        <f>T("   IT")</f>
        <v xml:space="preserve">   IT</v>
      </c>
      <c r="B8266" t="str">
        <f>T("   Italie")</f>
        <v xml:space="preserve">   Italie</v>
      </c>
      <c r="C8266">
        <v>19700000</v>
      </c>
      <c r="D8266">
        <v>117890</v>
      </c>
    </row>
    <row r="8267" spans="1:4" x14ac:dyDescent="0.25">
      <c r="A8267" t="str">
        <f>T("   PT")</f>
        <v xml:space="preserve">   PT</v>
      </c>
      <c r="B8267" t="str">
        <f>T("   Portugal")</f>
        <v xml:space="preserve">   Portugal</v>
      </c>
      <c r="C8267">
        <v>22350525</v>
      </c>
      <c r="D8267">
        <v>194700</v>
      </c>
    </row>
    <row r="8268" spans="1:4" x14ac:dyDescent="0.25">
      <c r="A8268" t="str">
        <f>T("   VN")</f>
        <v xml:space="preserve">   VN</v>
      </c>
      <c r="B8268" t="str">
        <f>T("   Vietnam")</f>
        <v xml:space="preserve">   Vietnam</v>
      </c>
      <c r="C8268">
        <v>61418000</v>
      </c>
      <c r="D8268">
        <v>1093110</v>
      </c>
    </row>
    <row r="8269" spans="1:4" x14ac:dyDescent="0.25">
      <c r="A8269" t="str">
        <f>T("690590")</f>
        <v>690590</v>
      </c>
      <c r="B8269" t="str">
        <f>T("Tuiles, éléments de cheminée, conduits de fumée, ornements architectoniques et autres poteries de bâtiment, en céramique (autres qu'en farines siliceuses fossiles ou en terres siliceuses analogues, sauf pièces céramiques de construction et sauf tuyaux et")</f>
        <v>Tuiles, éléments de cheminée, conduits de fumée, ornements architectoniques et autres poteries de bâtiment, en céramique (autres qu'en farines siliceuses fossiles ou en terres siliceuses analogues, sauf pièces céramiques de construction et sauf tuyaux et</v>
      </c>
    </row>
    <row r="8270" spans="1:4" x14ac:dyDescent="0.25">
      <c r="A8270" t="str">
        <f>T("   ZZZ_Monde")</f>
        <v xml:space="preserve">   ZZZ_Monde</v>
      </c>
      <c r="B8270" t="str">
        <f>T("   ZZZ_Monde")</f>
        <v xml:space="preserve">   ZZZ_Monde</v>
      </c>
      <c r="C8270">
        <v>8716053</v>
      </c>
      <c r="D8270">
        <v>82265</v>
      </c>
    </row>
    <row r="8271" spans="1:4" x14ac:dyDescent="0.25">
      <c r="A8271" t="str">
        <f>T("   FR")</f>
        <v xml:space="preserve">   FR</v>
      </c>
      <c r="B8271" t="str">
        <f>T("   France")</f>
        <v xml:space="preserve">   France</v>
      </c>
      <c r="C8271">
        <v>4344080</v>
      </c>
      <c r="D8271">
        <v>41315</v>
      </c>
    </row>
    <row r="8272" spans="1:4" x14ac:dyDescent="0.25">
      <c r="A8272" t="str">
        <f>T("   PT")</f>
        <v xml:space="preserve">   PT</v>
      </c>
      <c r="B8272" t="str">
        <f>T("   Portugal")</f>
        <v xml:space="preserve">   Portugal</v>
      </c>
      <c r="C8272">
        <v>4371973</v>
      </c>
      <c r="D8272">
        <v>40950</v>
      </c>
    </row>
    <row r="8273" spans="1:4" x14ac:dyDescent="0.25">
      <c r="A8273" t="str">
        <f>T("690600")</f>
        <v>690600</v>
      </c>
      <c r="B8273" t="str">
        <f>T("Tuyaux, conduits, gouttières et pièces d'assemblage pour tuyaux, pièces d'obturation de tuyaux, raccords de tuyaux et autres accessoires de tuyauterie, en céramique (sauf articles en farines siliceuses fossiles ou en terres siliceuses analogues; articles")</f>
        <v>Tuyaux, conduits, gouttières et pièces d'assemblage pour tuyaux, pièces d'obturation de tuyaux, raccords de tuyaux et autres accessoires de tuyauterie, en céramique (sauf articles en farines siliceuses fossiles ou en terres siliceuses analogues; articles</v>
      </c>
    </row>
    <row r="8274" spans="1:4" x14ac:dyDescent="0.25">
      <c r="A8274" t="str">
        <f>T("   ZZZ_Monde")</f>
        <v xml:space="preserve">   ZZZ_Monde</v>
      </c>
      <c r="B8274" t="str">
        <f>T("   ZZZ_Monde")</f>
        <v xml:space="preserve">   ZZZ_Monde</v>
      </c>
      <c r="C8274">
        <v>584818</v>
      </c>
      <c r="D8274">
        <v>1456</v>
      </c>
    </row>
    <row r="8275" spans="1:4" x14ac:dyDescent="0.25">
      <c r="A8275" t="str">
        <f>T("   BE")</f>
        <v xml:space="preserve">   BE</v>
      </c>
      <c r="B8275" t="str">
        <f>T("   Belgique")</f>
        <v xml:space="preserve">   Belgique</v>
      </c>
      <c r="C8275">
        <v>358174</v>
      </c>
      <c r="D8275">
        <v>10</v>
      </c>
    </row>
    <row r="8276" spans="1:4" x14ac:dyDescent="0.25">
      <c r="A8276" t="str">
        <f>T("   TG")</f>
        <v xml:space="preserve">   TG</v>
      </c>
      <c r="B8276" t="str">
        <f>T("   Togo")</f>
        <v xml:space="preserve">   Togo</v>
      </c>
      <c r="C8276">
        <v>226644</v>
      </c>
      <c r="D8276">
        <v>1446</v>
      </c>
    </row>
    <row r="8277" spans="1:4" x14ac:dyDescent="0.25">
      <c r="A8277" t="str">
        <f>T("690710")</f>
        <v>690710</v>
      </c>
      <c r="B8277" t="str">
        <f>T("Carreaux, cubes, dés et articles simil., en céramique, pour mosaïques, non vernissés ni émaillés, même de forme autre que carrée ou rectangulaire, dont la plus grande surface peut être inscrite dans un carré de côté &lt; 7 cm, même sur support")</f>
        <v>Carreaux, cubes, dés et articles simil., en céramique, pour mosaïques, non vernissés ni émaillés, même de forme autre que carrée ou rectangulaire, dont la plus grande surface peut être inscrite dans un carré de côté &lt; 7 cm, même sur support</v>
      </c>
    </row>
    <row r="8278" spans="1:4" x14ac:dyDescent="0.25">
      <c r="A8278" t="str">
        <f>T("   ZZZ_Monde")</f>
        <v xml:space="preserve">   ZZZ_Monde</v>
      </c>
      <c r="B8278" t="str">
        <f>T("   ZZZ_Monde")</f>
        <v xml:space="preserve">   ZZZ_Monde</v>
      </c>
      <c r="C8278">
        <v>52169052</v>
      </c>
      <c r="D8278">
        <v>331516</v>
      </c>
    </row>
    <row r="8279" spans="1:4" x14ac:dyDescent="0.25">
      <c r="A8279" t="str">
        <f>T("   AE")</f>
        <v xml:space="preserve">   AE</v>
      </c>
      <c r="B8279" t="str">
        <f>T("   Emirats Arabes Unis")</f>
        <v xml:space="preserve">   Emirats Arabes Unis</v>
      </c>
      <c r="C8279">
        <v>8738000</v>
      </c>
      <c r="D8279">
        <v>42240</v>
      </c>
    </row>
    <row r="8280" spans="1:4" x14ac:dyDescent="0.25">
      <c r="A8280" t="str">
        <f>T("   CN")</f>
        <v xml:space="preserve">   CN</v>
      </c>
      <c r="B8280" t="str">
        <f>T("   Chine")</f>
        <v xml:space="preserve">   Chine</v>
      </c>
      <c r="C8280">
        <v>22907214</v>
      </c>
      <c r="D8280">
        <v>188910</v>
      </c>
    </row>
    <row r="8281" spans="1:4" x14ac:dyDescent="0.25">
      <c r="A8281" t="str">
        <f>T("   IN")</f>
        <v xml:space="preserve">   IN</v>
      </c>
      <c r="B8281" t="str">
        <f>T("   Inde")</f>
        <v xml:space="preserve">   Inde</v>
      </c>
      <c r="C8281">
        <v>8738838</v>
      </c>
      <c r="D8281">
        <v>54000</v>
      </c>
    </row>
    <row r="8282" spans="1:4" x14ac:dyDescent="0.25">
      <c r="A8282" t="str">
        <f>T("   PT")</f>
        <v xml:space="preserve">   PT</v>
      </c>
      <c r="B8282" t="str">
        <f>T("   Portugal")</f>
        <v xml:space="preserve">   Portugal</v>
      </c>
      <c r="C8282">
        <v>11785000</v>
      </c>
      <c r="D8282">
        <v>46366</v>
      </c>
    </row>
    <row r="8283" spans="1:4" x14ac:dyDescent="0.25">
      <c r="A8283" t="str">
        <f>T("690790")</f>
        <v>690790</v>
      </c>
      <c r="B8283" t="str">
        <f>T("CARREAUX ET DALLES DE PAVEMENT ET DE REVÊTEMENT, EN CÉRAMIQUE, NON-VERNISSÉS NI ÉMAILLÉS (SAUF ARTICLES EN FARINES SILICEUSES FOSSILES OU EN TERRES SILICEUSES ANALOGUES, ARTICLES CÉRAMIQUES RÉFRACTAIRES, CARREAUX SERVANT DE DESSOUS-DE-PLAT, OBJETS D'ORNEM")</f>
        <v>CARREAUX ET DALLES DE PAVEMENT ET DE REVÊTEMENT, EN CÉRAMIQUE, NON-VERNISSÉS NI ÉMAILLÉS (SAUF ARTICLES EN FARINES SILICEUSES FOSSILES OU EN TERRES SILICEUSES ANALOGUES, ARTICLES CÉRAMIQUES RÉFRACTAIRES, CARREAUX SERVANT DE DESSOUS-DE-PLAT, OBJETS D'ORNEM</v>
      </c>
    </row>
    <row r="8284" spans="1:4" x14ac:dyDescent="0.25">
      <c r="A8284" t="str">
        <f>T("   ZZZ_Monde")</f>
        <v xml:space="preserve">   ZZZ_Monde</v>
      </c>
      <c r="B8284" t="str">
        <f>T("   ZZZ_Monde")</f>
        <v xml:space="preserve">   ZZZ_Monde</v>
      </c>
      <c r="C8284">
        <v>567772666</v>
      </c>
      <c r="D8284">
        <v>4275225</v>
      </c>
    </row>
    <row r="8285" spans="1:4" x14ac:dyDescent="0.25">
      <c r="A8285" t="str">
        <f>T("   BE")</f>
        <v xml:space="preserve">   BE</v>
      </c>
      <c r="B8285" t="str">
        <f>T("   Belgique")</f>
        <v xml:space="preserve">   Belgique</v>
      </c>
      <c r="C8285">
        <v>24253488</v>
      </c>
      <c r="D8285">
        <v>102910</v>
      </c>
    </row>
    <row r="8286" spans="1:4" x14ac:dyDescent="0.25">
      <c r="A8286" t="str">
        <f>T("   CN")</f>
        <v xml:space="preserve">   CN</v>
      </c>
      <c r="B8286" t="str">
        <f>T("   Chine")</f>
        <v xml:space="preserve">   Chine</v>
      </c>
      <c r="C8286">
        <v>387132612</v>
      </c>
      <c r="D8286">
        <v>2709357</v>
      </c>
    </row>
    <row r="8287" spans="1:4" x14ac:dyDescent="0.25">
      <c r="A8287" t="str">
        <f>T("   ES")</f>
        <v xml:space="preserve">   ES</v>
      </c>
      <c r="B8287" t="str">
        <f>T("   Espagne")</f>
        <v xml:space="preserve">   Espagne</v>
      </c>
      <c r="C8287">
        <v>3001018</v>
      </c>
      <c r="D8287">
        <v>24400</v>
      </c>
    </row>
    <row r="8288" spans="1:4" x14ac:dyDescent="0.25">
      <c r="A8288" t="str">
        <f>T("   FR")</f>
        <v xml:space="preserve">   FR</v>
      </c>
      <c r="B8288" t="str">
        <f>T("   France")</f>
        <v xml:space="preserve">   France</v>
      </c>
      <c r="C8288">
        <v>43699701</v>
      </c>
      <c r="D8288">
        <v>219480</v>
      </c>
    </row>
    <row r="8289" spans="1:4" x14ac:dyDescent="0.25">
      <c r="A8289" t="str">
        <f>T("   IN")</f>
        <v xml:space="preserve">   IN</v>
      </c>
      <c r="B8289" t="str">
        <f>T("   Inde")</f>
        <v xml:space="preserve">   Inde</v>
      </c>
      <c r="C8289">
        <v>5100000</v>
      </c>
      <c r="D8289">
        <v>25000</v>
      </c>
    </row>
    <row r="8290" spans="1:4" x14ac:dyDescent="0.25">
      <c r="A8290" t="str">
        <f>T("   IT")</f>
        <v xml:space="preserve">   IT</v>
      </c>
      <c r="B8290" t="str">
        <f>T("   Italie")</f>
        <v xml:space="preserve">   Italie</v>
      </c>
      <c r="C8290">
        <v>25440668</v>
      </c>
      <c r="D8290">
        <v>247076</v>
      </c>
    </row>
    <row r="8291" spans="1:4" x14ac:dyDescent="0.25">
      <c r="A8291" t="str">
        <f>T("   PL")</f>
        <v xml:space="preserve">   PL</v>
      </c>
      <c r="B8291" t="str">
        <f>T("   Pologne")</f>
        <v xml:space="preserve">   Pologne</v>
      </c>
      <c r="C8291">
        <v>1917749</v>
      </c>
      <c r="D8291">
        <v>27000</v>
      </c>
    </row>
    <row r="8292" spans="1:4" x14ac:dyDescent="0.25">
      <c r="A8292" t="str">
        <f>T("   PT")</f>
        <v xml:space="preserve">   PT</v>
      </c>
      <c r="B8292" t="str">
        <f>T("   Portugal")</f>
        <v xml:space="preserve">   Portugal</v>
      </c>
      <c r="C8292">
        <v>77227430</v>
      </c>
      <c r="D8292">
        <v>920002</v>
      </c>
    </row>
    <row r="8293" spans="1:4" x14ac:dyDescent="0.25">
      <c r="A8293" t="str">
        <f>T("690810")</f>
        <v>690810</v>
      </c>
      <c r="B8293" t="str">
        <f>T("Carreaux, cubes, dés et simil., en céramique, pour mosaïques, vernissés ou émaillés, même de forme autre que carrée ou rectangulaire, dont la plus grande surface peut être inscrite dans un carré de côté &lt; 7 cm, même sur support")</f>
        <v>Carreaux, cubes, dés et simil., en céramique, pour mosaïques, vernissés ou émaillés, même de forme autre que carrée ou rectangulaire, dont la plus grande surface peut être inscrite dans un carré de côté &lt; 7 cm, même sur support</v>
      </c>
    </row>
    <row r="8294" spans="1:4" x14ac:dyDescent="0.25">
      <c r="A8294" t="str">
        <f>T("   ZZZ_Monde")</f>
        <v xml:space="preserve">   ZZZ_Monde</v>
      </c>
      <c r="B8294" t="str">
        <f>T("   ZZZ_Monde")</f>
        <v xml:space="preserve">   ZZZ_Monde</v>
      </c>
      <c r="C8294">
        <v>219196929</v>
      </c>
      <c r="D8294">
        <v>1355969</v>
      </c>
    </row>
    <row r="8295" spans="1:4" x14ac:dyDescent="0.25">
      <c r="A8295" t="str">
        <f>T("   CN")</f>
        <v xml:space="preserve">   CN</v>
      </c>
      <c r="B8295" t="str">
        <f>T("   Chine")</f>
        <v xml:space="preserve">   Chine</v>
      </c>
      <c r="C8295">
        <v>195017787</v>
      </c>
      <c r="D8295">
        <v>1155645</v>
      </c>
    </row>
    <row r="8296" spans="1:4" x14ac:dyDescent="0.25">
      <c r="A8296" t="str">
        <f>T("   ES")</f>
        <v xml:space="preserve">   ES</v>
      </c>
      <c r="B8296" t="str">
        <f>T("   Espagne")</f>
        <v xml:space="preserve">   Espagne</v>
      </c>
      <c r="C8296">
        <v>3628029</v>
      </c>
      <c r="D8296">
        <v>24245</v>
      </c>
    </row>
    <row r="8297" spans="1:4" x14ac:dyDescent="0.25">
      <c r="A8297" t="str">
        <f>T("   FR")</f>
        <v xml:space="preserve">   FR</v>
      </c>
      <c r="B8297" t="str">
        <f>T("   France")</f>
        <v xml:space="preserve">   France</v>
      </c>
      <c r="C8297">
        <v>13165826</v>
      </c>
      <c r="D8297">
        <v>149760</v>
      </c>
    </row>
    <row r="8298" spans="1:4" x14ac:dyDescent="0.25">
      <c r="A8298" t="str">
        <f>T("   IT")</f>
        <v xml:space="preserve">   IT</v>
      </c>
      <c r="B8298" t="str">
        <f>T("   Italie")</f>
        <v xml:space="preserve">   Italie</v>
      </c>
      <c r="C8298">
        <v>7183687</v>
      </c>
      <c r="D8298">
        <v>26019</v>
      </c>
    </row>
    <row r="8299" spans="1:4" x14ac:dyDescent="0.25">
      <c r="A8299" t="str">
        <f>T("   NG")</f>
        <v xml:space="preserve">   NG</v>
      </c>
      <c r="B8299" t="str">
        <f>T("   Nigéria")</f>
        <v xml:space="preserve">   Nigéria</v>
      </c>
      <c r="C8299">
        <v>201600</v>
      </c>
      <c r="D8299">
        <v>300</v>
      </c>
    </row>
    <row r="8300" spans="1:4" x14ac:dyDescent="0.25">
      <c r="A8300" t="str">
        <f>T("690890")</f>
        <v>690890</v>
      </c>
      <c r="B8300" t="str">
        <f>T("Carreaux et dalles de pavement ou de revêtement, en céramique, vernissés ou émaillés (sauf articles en farines siliceuses fossiles ou en terres siliceuses analogues, articles céramiques réfractaires, carreaux servant de dessous-de-plat, objets d'ornementa")</f>
        <v>Carreaux et dalles de pavement ou de revêtement, en céramique, vernissés ou émaillés (sauf articles en farines siliceuses fossiles ou en terres siliceuses analogues, articles céramiques réfractaires, carreaux servant de dessous-de-plat, objets d'ornementa</v>
      </c>
    </row>
    <row r="8301" spans="1:4" x14ac:dyDescent="0.25">
      <c r="A8301" t="str">
        <f>T("   ZZZ_Monde")</f>
        <v xml:space="preserve">   ZZZ_Monde</v>
      </c>
      <c r="B8301" t="str">
        <f>T("   ZZZ_Monde")</f>
        <v xml:space="preserve">   ZZZ_Monde</v>
      </c>
      <c r="C8301">
        <v>6379216950</v>
      </c>
      <c r="D8301">
        <v>50693209</v>
      </c>
    </row>
    <row r="8302" spans="1:4" x14ac:dyDescent="0.25">
      <c r="A8302" t="str">
        <f>T("   AE")</f>
        <v xml:space="preserve">   AE</v>
      </c>
      <c r="B8302" t="str">
        <f>T("   Emirats Arabes Unis")</f>
        <v xml:space="preserve">   Emirats Arabes Unis</v>
      </c>
      <c r="C8302">
        <v>126548793</v>
      </c>
      <c r="D8302">
        <v>1139000</v>
      </c>
    </row>
    <row r="8303" spans="1:4" x14ac:dyDescent="0.25">
      <c r="A8303" t="str">
        <f>T("   BE")</f>
        <v xml:space="preserve">   BE</v>
      </c>
      <c r="B8303" t="str">
        <f>T("   Belgique")</f>
        <v xml:space="preserve">   Belgique</v>
      </c>
      <c r="C8303">
        <v>1594737445</v>
      </c>
      <c r="D8303">
        <v>15492965</v>
      </c>
    </row>
    <row r="8304" spans="1:4" x14ac:dyDescent="0.25">
      <c r="A8304" t="str">
        <f>T("   BR")</f>
        <v xml:space="preserve">   BR</v>
      </c>
      <c r="B8304" t="str">
        <f>T("   Brésil")</f>
        <v xml:space="preserve">   Brésil</v>
      </c>
      <c r="C8304">
        <v>17995101</v>
      </c>
      <c r="D8304">
        <v>135758</v>
      </c>
    </row>
    <row r="8305" spans="1:4" x14ac:dyDescent="0.25">
      <c r="A8305" t="str">
        <f>T("   CN")</f>
        <v xml:space="preserve">   CN</v>
      </c>
      <c r="B8305" t="str">
        <f>T("   Chine")</f>
        <v xml:space="preserve">   Chine</v>
      </c>
      <c r="C8305">
        <v>2756386901</v>
      </c>
      <c r="D8305">
        <v>20617990</v>
      </c>
    </row>
    <row r="8306" spans="1:4" x14ac:dyDescent="0.25">
      <c r="A8306" t="str">
        <f>T("   ES")</f>
        <v xml:space="preserve">   ES</v>
      </c>
      <c r="B8306" t="str">
        <f>T("   Espagne")</f>
        <v xml:space="preserve">   Espagne</v>
      </c>
      <c r="C8306">
        <v>778287077</v>
      </c>
      <c r="D8306">
        <v>4417038</v>
      </c>
    </row>
    <row r="8307" spans="1:4" x14ac:dyDescent="0.25">
      <c r="A8307" t="str">
        <f>T("   FR")</f>
        <v xml:space="preserve">   FR</v>
      </c>
      <c r="B8307" t="str">
        <f>T("   France")</f>
        <v xml:space="preserve">   France</v>
      </c>
      <c r="C8307">
        <v>492930807</v>
      </c>
      <c r="D8307">
        <v>4322015</v>
      </c>
    </row>
    <row r="8308" spans="1:4" x14ac:dyDescent="0.25">
      <c r="A8308" t="str">
        <f>T("   GH")</f>
        <v xml:space="preserve">   GH</v>
      </c>
      <c r="B8308" t="str">
        <f>T("   Ghana")</f>
        <v xml:space="preserve">   Ghana</v>
      </c>
      <c r="C8308">
        <v>820312</v>
      </c>
      <c r="D8308">
        <v>2450</v>
      </c>
    </row>
    <row r="8309" spans="1:4" x14ac:dyDescent="0.25">
      <c r="A8309" t="str">
        <f>T("   HK")</f>
        <v xml:space="preserve">   HK</v>
      </c>
      <c r="B8309" t="str">
        <f>T("   Hong-Kong")</f>
        <v xml:space="preserve">   Hong-Kong</v>
      </c>
      <c r="C8309">
        <v>1953351</v>
      </c>
      <c r="D8309">
        <v>19132</v>
      </c>
    </row>
    <row r="8310" spans="1:4" x14ac:dyDescent="0.25">
      <c r="A8310" t="str">
        <f>T("   IN")</f>
        <v xml:space="preserve">   IN</v>
      </c>
      <c r="B8310" t="str">
        <f>T("   Inde")</f>
        <v xml:space="preserve">   Inde</v>
      </c>
      <c r="C8310">
        <v>33082432</v>
      </c>
      <c r="D8310">
        <v>382400</v>
      </c>
    </row>
    <row r="8311" spans="1:4" x14ac:dyDescent="0.25">
      <c r="A8311" t="str">
        <f>T("   IT")</f>
        <v xml:space="preserve">   IT</v>
      </c>
      <c r="B8311" t="str">
        <f>T("   Italie")</f>
        <v xml:space="preserve">   Italie</v>
      </c>
      <c r="C8311">
        <v>183363933</v>
      </c>
      <c r="D8311">
        <v>1252319</v>
      </c>
    </row>
    <row r="8312" spans="1:4" x14ac:dyDescent="0.25">
      <c r="A8312" t="str">
        <f>T("   KR")</f>
        <v xml:space="preserve">   KR</v>
      </c>
      <c r="B8312" t="str">
        <f>T("   Corée, République de")</f>
        <v xml:space="preserve">   Corée, République de</v>
      </c>
      <c r="C8312">
        <v>12603550</v>
      </c>
      <c r="D8312">
        <v>18800</v>
      </c>
    </row>
    <row r="8313" spans="1:4" x14ac:dyDescent="0.25">
      <c r="A8313" t="str">
        <f>T("   LB")</f>
        <v xml:space="preserve">   LB</v>
      </c>
      <c r="B8313" t="str">
        <f>T("   Liban")</f>
        <v xml:space="preserve">   Liban</v>
      </c>
      <c r="C8313">
        <v>33536421</v>
      </c>
      <c r="D8313">
        <v>293150</v>
      </c>
    </row>
    <row r="8314" spans="1:4" x14ac:dyDescent="0.25">
      <c r="A8314" t="str">
        <f>T("   MC")</f>
        <v xml:space="preserve">   MC</v>
      </c>
      <c r="B8314" t="str">
        <f>T("   Monaco")</f>
        <v xml:space="preserve">   Monaco</v>
      </c>
      <c r="C8314">
        <v>3076019</v>
      </c>
      <c r="D8314">
        <v>26000</v>
      </c>
    </row>
    <row r="8315" spans="1:4" x14ac:dyDescent="0.25">
      <c r="A8315" t="str">
        <f>T("   PA")</f>
        <v xml:space="preserve">   PA</v>
      </c>
      <c r="B8315" t="str">
        <f>T("   Panama")</f>
        <v xml:space="preserve">   Panama</v>
      </c>
      <c r="C8315">
        <v>8739000</v>
      </c>
      <c r="D8315">
        <v>51600</v>
      </c>
    </row>
    <row r="8316" spans="1:4" x14ac:dyDescent="0.25">
      <c r="A8316" t="str">
        <f>T("   PT")</f>
        <v xml:space="preserve">   PT</v>
      </c>
      <c r="B8316" t="str">
        <f>T("   Portugal")</f>
        <v xml:space="preserve">   Portugal</v>
      </c>
      <c r="C8316">
        <v>110482756</v>
      </c>
      <c r="D8316">
        <v>606228</v>
      </c>
    </row>
    <row r="8317" spans="1:4" x14ac:dyDescent="0.25">
      <c r="A8317" t="str">
        <f>T("   SE")</f>
        <v xml:space="preserve">   SE</v>
      </c>
      <c r="B8317" t="str">
        <f>T("   Suède")</f>
        <v xml:space="preserve">   Suède</v>
      </c>
      <c r="C8317">
        <v>180275746</v>
      </c>
      <c r="D8317">
        <v>1600434</v>
      </c>
    </row>
    <row r="8318" spans="1:4" x14ac:dyDescent="0.25">
      <c r="A8318" t="str">
        <f>T("   SG")</f>
        <v xml:space="preserve">   SG</v>
      </c>
      <c r="B8318" t="str">
        <f>T("   Singapour")</f>
        <v xml:space="preserve">   Singapour</v>
      </c>
      <c r="C8318">
        <v>3092848</v>
      </c>
      <c r="D8318">
        <v>27440</v>
      </c>
    </row>
    <row r="8319" spans="1:4" x14ac:dyDescent="0.25">
      <c r="A8319" t="str">
        <f>T("   TG")</f>
        <v xml:space="preserve">   TG</v>
      </c>
      <c r="B8319" t="str">
        <f>T("   Togo")</f>
        <v xml:space="preserve">   Togo</v>
      </c>
      <c r="C8319">
        <v>12580773</v>
      </c>
      <c r="D8319">
        <v>102880</v>
      </c>
    </row>
    <row r="8320" spans="1:4" x14ac:dyDescent="0.25">
      <c r="A8320" t="str">
        <f>T("   TH")</f>
        <v xml:space="preserve">   TH</v>
      </c>
      <c r="B8320" t="str">
        <f>T("   Thaïlande")</f>
        <v xml:space="preserve">   Thaïlande</v>
      </c>
      <c r="C8320">
        <v>12650526</v>
      </c>
      <c r="D8320">
        <v>17255</v>
      </c>
    </row>
    <row r="8321" spans="1:4" x14ac:dyDescent="0.25">
      <c r="A8321" t="str">
        <f>T("   TN")</f>
        <v xml:space="preserve">   TN</v>
      </c>
      <c r="B8321" t="str">
        <f>T("   Tunisie")</f>
        <v xml:space="preserve">   Tunisie</v>
      </c>
      <c r="C8321">
        <v>13981787</v>
      </c>
      <c r="D8321">
        <v>159560</v>
      </c>
    </row>
    <row r="8322" spans="1:4" x14ac:dyDescent="0.25">
      <c r="A8322" t="str">
        <f>T("   US")</f>
        <v xml:space="preserve">   US</v>
      </c>
      <c r="B8322" t="str">
        <f>T("   Etats-Unis")</f>
        <v xml:space="preserve">   Etats-Unis</v>
      </c>
      <c r="C8322">
        <v>2091372</v>
      </c>
      <c r="D8322">
        <v>8795</v>
      </c>
    </row>
    <row r="8323" spans="1:4" x14ac:dyDescent="0.25">
      <c r="A8323" t="str">
        <f>T("690911")</f>
        <v>690911</v>
      </c>
      <c r="B8323" t="str">
        <f>T("Appareils et articles en porcelaine, pour usages chimiques ou autres usages techniques (sauf articles céramiques réfractaires et sauf appareils électriques, isolateurs et autres pièces isolantes électriques)")</f>
        <v>Appareils et articles en porcelaine, pour usages chimiques ou autres usages techniques (sauf articles céramiques réfractaires et sauf appareils électriques, isolateurs et autres pièces isolantes électriques)</v>
      </c>
    </row>
    <row r="8324" spans="1:4" x14ac:dyDescent="0.25">
      <c r="A8324" t="str">
        <f>T("   ZZZ_Monde")</f>
        <v xml:space="preserve">   ZZZ_Monde</v>
      </c>
      <c r="B8324" t="str">
        <f>T("   ZZZ_Monde")</f>
        <v xml:space="preserve">   ZZZ_Monde</v>
      </c>
      <c r="C8324">
        <v>59036</v>
      </c>
      <c r="D8324">
        <v>5</v>
      </c>
    </row>
    <row r="8325" spans="1:4" x14ac:dyDescent="0.25">
      <c r="A8325" t="str">
        <f>T("   FR")</f>
        <v xml:space="preserve">   FR</v>
      </c>
      <c r="B8325" t="str">
        <f>T("   France")</f>
        <v xml:space="preserve">   France</v>
      </c>
      <c r="C8325">
        <v>59036</v>
      </c>
      <c r="D8325">
        <v>5</v>
      </c>
    </row>
    <row r="8326" spans="1:4" x14ac:dyDescent="0.25">
      <c r="A8326" t="str">
        <f>T("691010")</f>
        <v>691010</v>
      </c>
      <c r="B8326" t="str">
        <f>T("ÉVIERS, LAVABOS, COLONNES DE LAVABOS, BAIGNOIRES, BIDETS, CUVETTES D'AISANCE, RÉSERVOIRS DE CHASSE, URINOIRS ET APPAREILS FIXES SIMIL. POUR USAGES SANITAIRES, EN PORCELAINE (SAUF PORTE-SAVON, PORTE-ÉPONGE, PORTE-BROSSE À DENTS, PORTE-SERVIETTES ET PORTE-P")</f>
        <v>ÉVIERS, LAVABOS, COLONNES DE LAVABOS, BAIGNOIRES, BIDETS, CUVETTES D'AISANCE, RÉSERVOIRS DE CHASSE, URINOIRS ET APPAREILS FIXES SIMIL. POUR USAGES SANITAIRES, EN PORCELAINE (SAUF PORTE-SAVON, PORTE-ÉPONGE, PORTE-BROSSE À DENTS, PORTE-SERVIETTES ET PORTE-P</v>
      </c>
    </row>
    <row r="8327" spans="1:4" x14ac:dyDescent="0.25">
      <c r="A8327" t="str">
        <f>T("   ZZZ_Monde")</f>
        <v xml:space="preserve">   ZZZ_Monde</v>
      </c>
      <c r="B8327" t="str">
        <f>T("   ZZZ_Monde")</f>
        <v xml:space="preserve">   ZZZ_Monde</v>
      </c>
      <c r="C8327">
        <v>140080335</v>
      </c>
      <c r="D8327">
        <v>331864</v>
      </c>
    </row>
    <row r="8328" spans="1:4" x14ac:dyDescent="0.25">
      <c r="A8328" t="str">
        <f>T("   AE")</f>
        <v xml:space="preserve">   AE</v>
      </c>
      <c r="B8328" t="str">
        <f>T("   Emirats Arabes Unis")</f>
        <v xml:space="preserve">   Emirats Arabes Unis</v>
      </c>
      <c r="C8328">
        <v>6666932</v>
      </c>
      <c r="D8328">
        <v>26580</v>
      </c>
    </row>
    <row r="8329" spans="1:4" x14ac:dyDescent="0.25">
      <c r="A8329" t="str">
        <f>T("   CN")</f>
        <v xml:space="preserve">   CN</v>
      </c>
      <c r="B8329" t="str">
        <f>T("   Chine")</f>
        <v xml:space="preserve">   Chine</v>
      </c>
      <c r="C8329">
        <v>51014831</v>
      </c>
      <c r="D8329">
        <v>127391</v>
      </c>
    </row>
    <row r="8330" spans="1:4" x14ac:dyDescent="0.25">
      <c r="A8330" t="str">
        <f>T("   ES")</f>
        <v xml:space="preserve">   ES</v>
      </c>
      <c r="B8330" t="str">
        <f>T("   Espagne")</f>
        <v xml:space="preserve">   Espagne</v>
      </c>
      <c r="C8330">
        <v>35449818</v>
      </c>
      <c r="D8330">
        <v>19829</v>
      </c>
    </row>
    <row r="8331" spans="1:4" x14ac:dyDescent="0.25">
      <c r="A8331" t="str">
        <f>T("   FR")</f>
        <v xml:space="preserve">   FR</v>
      </c>
      <c r="B8331" t="str">
        <f>T("   France")</f>
        <v xml:space="preserve">   France</v>
      </c>
      <c r="C8331">
        <v>8515014</v>
      </c>
      <c r="D8331">
        <v>16436</v>
      </c>
    </row>
    <row r="8332" spans="1:4" x14ac:dyDescent="0.25">
      <c r="A8332" t="str">
        <f>T("   IN")</f>
        <v xml:space="preserve">   IN</v>
      </c>
      <c r="B8332" t="str">
        <f>T("   Inde")</f>
        <v xml:space="preserve">   Inde</v>
      </c>
      <c r="C8332">
        <v>22693510</v>
      </c>
      <c r="D8332">
        <v>92568</v>
      </c>
    </row>
    <row r="8333" spans="1:4" x14ac:dyDescent="0.25">
      <c r="A8333" t="str">
        <f>T("   LB")</f>
        <v xml:space="preserve">   LB</v>
      </c>
      <c r="B8333" t="str">
        <f>T("   Liban")</f>
        <v xml:space="preserve">   Liban</v>
      </c>
      <c r="C8333">
        <v>7000000</v>
      </c>
      <c r="D8333">
        <v>12750</v>
      </c>
    </row>
    <row r="8334" spans="1:4" x14ac:dyDescent="0.25">
      <c r="A8334" t="str">
        <f>T("   NG")</f>
        <v xml:space="preserve">   NG</v>
      </c>
      <c r="B8334" t="str">
        <f>T("   Nigéria")</f>
        <v xml:space="preserve">   Nigéria</v>
      </c>
      <c r="C8334">
        <v>344800</v>
      </c>
      <c r="D8334">
        <v>450</v>
      </c>
    </row>
    <row r="8335" spans="1:4" x14ac:dyDescent="0.25">
      <c r="A8335" t="str">
        <f>T("   TG")</f>
        <v xml:space="preserve">   TG</v>
      </c>
      <c r="B8335" t="str">
        <f>T("   Togo")</f>
        <v xml:space="preserve">   Togo</v>
      </c>
      <c r="C8335">
        <v>7937791</v>
      </c>
      <c r="D8335">
        <v>23860</v>
      </c>
    </row>
    <row r="8336" spans="1:4" x14ac:dyDescent="0.25">
      <c r="A8336" t="str">
        <f>T("   Z2")</f>
        <v xml:space="preserve">   Z2</v>
      </c>
      <c r="B8336" t="str">
        <f>T("   Pays non défini")</f>
        <v xml:space="preserve">   Pays non défini</v>
      </c>
      <c r="C8336">
        <v>457639</v>
      </c>
      <c r="D8336">
        <v>12000</v>
      </c>
    </row>
    <row r="8337" spans="1:4" x14ac:dyDescent="0.25">
      <c r="A8337" t="str">
        <f>T("691090")</f>
        <v>691090</v>
      </c>
      <c r="B8337" t="str">
        <f>T("ÉVIERS, LAVABOS, COLONNES DE LAVABOS, BAIGNOIRES, BIDETS, CUVETTES D'AISANCE, RÉSERVOIRS DE CHASSE, URINOIRS ET APPAREILS FIXES SIMIL. POUR USAGES SANITAIRES EN CÉRAMIQUE (AUTRES QU'EN PORCELAINE ET SAUF PORTE-SAVON, PORTE-ÉPONGE, PORTE-BROSSE À DENTS, PO")</f>
        <v>ÉVIERS, LAVABOS, COLONNES DE LAVABOS, BAIGNOIRES, BIDETS, CUVETTES D'AISANCE, RÉSERVOIRS DE CHASSE, URINOIRS ET APPAREILS FIXES SIMIL. POUR USAGES SANITAIRES EN CÉRAMIQUE (AUTRES QU'EN PORCELAINE ET SAUF PORTE-SAVON, PORTE-ÉPONGE, PORTE-BROSSE À DENTS, PO</v>
      </c>
    </row>
    <row r="8338" spans="1:4" x14ac:dyDescent="0.25">
      <c r="A8338" t="str">
        <f>T("   ZZZ_Monde")</f>
        <v xml:space="preserve">   ZZZ_Monde</v>
      </c>
      <c r="B8338" t="str">
        <f>T("   ZZZ_Monde")</f>
        <v xml:space="preserve">   ZZZ_Monde</v>
      </c>
      <c r="C8338">
        <v>703543915</v>
      </c>
      <c r="D8338">
        <v>2345333.5</v>
      </c>
    </row>
    <row r="8339" spans="1:4" x14ac:dyDescent="0.25">
      <c r="A8339" t="str">
        <f>T("   AE")</f>
        <v xml:space="preserve">   AE</v>
      </c>
      <c r="B8339" t="str">
        <f>T("   Emirats Arabes Unis")</f>
        <v xml:space="preserve">   Emirats Arabes Unis</v>
      </c>
      <c r="C8339">
        <v>23202059</v>
      </c>
      <c r="D8339">
        <v>76881</v>
      </c>
    </row>
    <row r="8340" spans="1:4" x14ac:dyDescent="0.25">
      <c r="A8340" t="str">
        <f>T("   CN")</f>
        <v xml:space="preserve">   CN</v>
      </c>
      <c r="B8340" t="str">
        <f>T("   Chine")</f>
        <v xml:space="preserve">   Chine</v>
      </c>
      <c r="C8340">
        <v>265594053</v>
      </c>
      <c r="D8340">
        <v>1204811.5</v>
      </c>
    </row>
    <row r="8341" spans="1:4" x14ac:dyDescent="0.25">
      <c r="A8341" t="str">
        <f>T("   EG")</f>
        <v xml:space="preserve">   EG</v>
      </c>
      <c r="B8341" t="str">
        <f>T("   Egypte")</f>
        <v xml:space="preserve">   Egypte</v>
      </c>
      <c r="C8341">
        <v>21341258</v>
      </c>
      <c r="D8341">
        <v>52354</v>
      </c>
    </row>
    <row r="8342" spans="1:4" x14ac:dyDescent="0.25">
      <c r="A8342" t="str">
        <f>T("   ES")</f>
        <v xml:space="preserve">   ES</v>
      </c>
      <c r="B8342" t="str">
        <f>T("   Espagne")</f>
        <v xml:space="preserve">   Espagne</v>
      </c>
      <c r="C8342">
        <v>43882059</v>
      </c>
      <c r="D8342">
        <v>19847</v>
      </c>
    </row>
    <row r="8343" spans="1:4" x14ac:dyDescent="0.25">
      <c r="A8343" t="str">
        <f>T("   FR")</f>
        <v xml:space="preserve">   FR</v>
      </c>
      <c r="B8343" t="str">
        <f>T("   France")</f>
        <v xml:space="preserve">   France</v>
      </c>
      <c r="C8343">
        <v>62650297</v>
      </c>
      <c r="D8343">
        <v>191876</v>
      </c>
    </row>
    <row r="8344" spans="1:4" x14ac:dyDescent="0.25">
      <c r="A8344" t="str">
        <f>T("   GH")</f>
        <v xml:space="preserve">   GH</v>
      </c>
      <c r="B8344" t="str">
        <f>T("   Ghana")</f>
        <v xml:space="preserve">   Ghana</v>
      </c>
      <c r="C8344">
        <v>1224485</v>
      </c>
      <c r="D8344">
        <v>1200</v>
      </c>
    </row>
    <row r="8345" spans="1:4" x14ac:dyDescent="0.25">
      <c r="A8345" t="str">
        <f>T("   IN")</f>
        <v xml:space="preserve">   IN</v>
      </c>
      <c r="B8345" t="str">
        <f>T("   Inde")</f>
        <v xml:space="preserve">   Inde</v>
      </c>
      <c r="C8345">
        <v>165903382</v>
      </c>
      <c r="D8345">
        <v>669914</v>
      </c>
    </row>
    <row r="8346" spans="1:4" x14ac:dyDescent="0.25">
      <c r="A8346" t="str">
        <f>T("   IT")</f>
        <v xml:space="preserve">   IT</v>
      </c>
      <c r="B8346" t="str">
        <f>T("   Italie")</f>
        <v xml:space="preserve">   Italie</v>
      </c>
      <c r="C8346">
        <v>69292719</v>
      </c>
      <c r="D8346">
        <v>22905</v>
      </c>
    </row>
    <row r="8347" spans="1:4" x14ac:dyDescent="0.25">
      <c r="A8347" t="str">
        <f>T("   MA")</f>
        <v xml:space="preserve">   MA</v>
      </c>
      <c r="B8347" t="str">
        <f>T("   Maroc")</f>
        <v xml:space="preserve">   Maroc</v>
      </c>
      <c r="C8347">
        <v>12427092</v>
      </c>
      <c r="D8347">
        <v>13574</v>
      </c>
    </row>
    <row r="8348" spans="1:4" x14ac:dyDescent="0.25">
      <c r="A8348" t="str">
        <f>T("   NG")</f>
        <v xml:space="preserve">   NG</v>
      </c>
      <c r="B8348" t="str">
        <f>T("   Nigéria")</f>
        <v xml:space="preserve">   Nigéria</v>
      </c>
      <c r="C8348">
        <v>28761</v>
      </c>
      <c r="D8348">
        <v>505</v>
      </c>
    </row>
    <row r="8349" spans="1:4" x14ac:dyDescent="0.25">
      <c r="A8349" t="str">
        <f>T("   SE")</f>
        <v xml:space="preserve">   SE</v>
      </c>
      <c r="B8349" t="str">
        <f>T("   Suède")</f>
        <v xml:space="preserve">   Suède</v>
      </c>
      <c r="C8349">
        <v>19345129</v>
      </c>
      <c r="D8349">
        <v>48817</v>
      </c>
    </row>
    <row r="8350" spans="1:4" x14ac:dyDescent="0.25">
      <c r="A8350" t="str">
        <f>T("   TN")</f>
        <v xml:space="preserve">   TN</v>
      </c>
      <c r="B8350" t="str">
        <f>T("   Tunisie")</f>
        <v xml:space="preserve">   Tunisie</v>
      </c>
      <c r="C8350">
        <v>18102371</v>
      </c>
      <c r="D8350">
        <v>36352</v>
      </c>
    </row>
    <row r="8351" spans="1:4" x14ac:dyDescent="0.25">
      <c r="A8351" t="str">
        <f>T("   US")</f>
        <v xml:space="preserve">   US</v>
      </c>
      <c r="B8351" t="str">
        <f>T("   Etats-Unis")</f>
        <v xml:space="preserve">   Etats-Unis</v>
      </c>
      <c r="C8351">
        <v>550250</v>
      </c>
      <c r="D8351">
        <v>6297</v>
      </c>
    </row>
    <row r="8352" spans="1:4" x14ac:dyDescent="0.25">
      <c r="A8352" t="str">
        <f>T("691110")</f>
        <v>691110</v>
      </c>
      <c r="B8352" t="str">
        <f>T("Articles pour le service de la table ou de la cuisine en porcelaine (sauf objets d'ornementation; cruchons, cornues et récipients simil. de transport ou d'emballage; moulins à café et moulins à épices avec récipient en céramique et élément de travail en m")</f>
        <v>Articles pour le service de la table ou de la cuisine en porcelaine (sauf objets d'ornementation; cruchons, cornues et récipients simil. de transport ou d'emballage; moulins à café et moulins à épices avec récipient en céramique et élément de travail en m</v>
      </c>
    </row>
    <row r="8353" spans="1:4" x14ac:dyDescent="0.25">
      <c r="A8353" t="str">
        <f>T("   ZZZ_Monde")</f>
        <v xml:space="preserve">   ZZZ_Monde</v>
      </c>
      <c r="B8353" t="str">
        <f>T("   ZZZ_Monde")</f>
        <v xml:space="preserve">   ZZZ_Monde</v>
      </c>
      <c r="C8353">
        <v>107342139</v>
      </c>
      <c r="D8353">
        <v>179766.94</v>
      </c>
    </row>
    <row r="8354" spans="1:4" x14ac:dyDescent="0.25">
      <c r="A8354" t="str">
        <f>T("   AE")</f>
        <v xml:space="preserve">   AE</v>
      </c>
      <c r="B8354" t="str">
        <f>T("   Emirats Arabes Unis")</f>
        <v xml:space="preserve">   Emirats Arabes Unis</v>
      </c>
      <c r="C8354">
        <v>462141</v>
      </c>
      <c r="D8354">
        <v>1366</v>
      </c>
    </row>
    <row r="8355" spans="1:4" x14ac:dyDescent="0.25">
      <c r="A8355" t="str">
        <f>T("   BR")</f>
        <v xml:space="preserve">   BR</v>
      </c>
      <c r="B8355" t="str">
        <f>T("   Brésil")</f>
        <v xml:space="preserve">   Brésil</v>
      </c>
      <c r="C8355">
        <v>11184221</v>
      </c>
      <c r="D8355">
        <v>35061.94</v>
      </c>
    </row>
    <row r="8356" spans="1:4" x14ac:dyDescent="0.25">
      <c r="A8356" t="str">
        <f>T("   CN")</f>
        <v xml:space="preserve">   CN</v>
      </c>
      <c r="B8356" t="str">
        <f>T("   Chine")</f>
        <v xml:space="preserve">   Chine</v>
      </c>
      <c r="C8356">
        <v>45428722</v>
      </c>
      <c r="D8356">
        <v>124424</v>
      </c>
    </row>
    <row r="8357" spans="1:4" x14ac:dyDescent="0.25">
      <c r="A8357" t="str">
        <f>T("   DE")</f>
        <v xml:space="preserve">   DE</v>
      </c>
      <c r="B8357" t="str">
        <f>T("   Allemagne")</f>
        <v xml:space="preserve">   Allemagne</v>
      </c>
      <c r="C8357">
        <v>121178</v>
      </c>
      <c r="D8357">
        <v>950</v>
      </c>
    </row>
    <row r="8358" spans="1:4" x14ac:dyDescent="0.25">
      <c r="A8358" t="str">
        <f>T("   FR")</f>
        <v xml:space="preserve">   FR</v>
      </c>
      <c r="B8358" t="str">
        <f>T("   France")</f>
        <v xml:space="preserve">   France</v>
      </c>
      <c r="C8358">
        <v>49273720</v>
      </c>
      <c r="D8358">
        <v>13491</v>
      </c>
    </row>
    <row r="8359" spans="1:4" x14ac:dyDescent="0.25">
      <c r="A8359" t="str">
        <f>T("   NG")</f>
        <v xml:space="preserve">   NG</v>
      </c>
      <c r="B8359" t="str">
        <f>T("   Nigéria")</f>
        <v xml:space="preserve">   Nigéria</v>
      </c>
      <c r="C8359">
        <v>175000</v>
      </c>
      <c r="D8359">
        <v>165</v>
      </c>
    </row>
    <row r="8360" spans="1:4" x14ac:dyDescent="0.25">
      <c r="A8360" t="str">
        <f>T("   TG")</f>
        <v xml:space="preserve">   TG</v>
      </c>
      <c r="B8360" t="str">
        <f>T("   Togo")</f>
        <v xml:space="preserve">   Togo</v>
      </c>
      <c r="C8360">
        <v>697157</v>
      </c>
      <c r="D8360">
        <v>4309</v>
      </c>
    </row>
    <row r="8361" spans="1:4" x14ac:dyDescent="0.25">
      <c r="A8361" t="str">
        <f>T("691190")</f>
        <v>691190</v>
      </c>
      <c r="B8361" t="str">
        <f>T("Vaisselle et autres articles de ménage ou d'économie domestique et articles d'hygiène et de toilette en porcelaine (sauf articles pour le service de table ou de cuisine; baignoires, éviers et autres appareils fixes simil.; statuettes et autres objets d'or")</f>
        <v>Vaisselle et autres articles de ménage ou d'économie domestique et articles d'hygiène et de toilette en porcelaine (sauf articles pour le service de table ou de cuisine; baignoires, éviers et autres appareils fixes simil.; statuettes et autres objets d'or</v>
      </c>
    </row>
    <row r="8362" spans="1:4" x14ac:dyDescent="0.25">
      <c r="A8362" t="str">
        <f>T("   ZZZ_Monde")</f>
        <v xml:space="preserve">   ZZZ_Monde</v>
      </c>
      <c r="B8362" t="str">
        <f>T("   ZZZ_Monde")</f>
        <v xml:space="preserve">   ZZZ_Monde</v>
      </c>
      <c r="C8362">
        <v>26262454</v>
      </c>
      <c r="D8362">
        <v>69192</v>
      </c>
    </row>
    <row r="8363" spans="1:4" x14ac:dyDescent="0.25">
      <c r="A8363" t="str">
        <f>T("   CI")</f>
        <v xml:space="preserve">   CI</v>
      </c>
      <c r="B8363" t="str">
        <f>T("   Côte d'Ivoire")</f>
        <v xml:space="preserve">   Côte d'Ivoire</v>
      </c>
      <c r="C8363">
        <v>13119</v>
      </c>
      <c r="D8363">
        <v>20</v>
      </c>
    </row>
    <row r="8364" spans="1:4" x14ac:dyDescent="0.25">
      <c r="A8364" t="str">
        <f>T("   CN")</f>
        <v xml:space="preserve">   CN</v>
      </c>
      <c r="B8364" t="str">
        <f>T("   Chine")</f>
        <v xml:space="preserve">   Chine</v>
      </c>
      <c r="C8364">
        <v>19641764</v>
      </c>
      <c r="D8364">
        <v>58214</v>
      </c>
    </row>
    <row r="8365" spans="1:4" x14ac:dyDescent="0.25">
      <c r="A8365" t="str">
        <f>T("   FR")</f>
        <v xml:space="preserve">   FR</v>
      </c>
      <c r="B8365" t="str">
        <f>T("   France")</f>
        <v xml:space="preserve">   France</v>
      </c>
      <c r="C8365">
        <v>5269413</v>
      </c>
      <c r="D8365">
        <v>10620</v>
      </c>
    </row>
    <row r="8366" spans="1:4" x14ac:dyDescent="0.25">
      <c r="A8366" t="str">
        <f>T("   IT")</f>
        <v xml:space="preserve">   IT</v>
      </c>
      <c r="B8366" t="str">
        <f>T("   Italie")</f>
        <v xml:space="preserve">   Italie</v>
      </c>
      <c r="C8366">
        <v>1338158</v>
      </c>
      <c r="D8366">
        <v>338</v>
      </c>
    </row>
    <row r="8367" spans="1:4" x14ac:dyDescent="0.25">
      <c r="A8367" t="str">
        <f>T("691200")</f>
        <v>691200</v>
      </c>
      <c r="B8367" t="str">
        <f>T("Vaisselle, autres articles de ménage ou d'économie domestique et articles d'hygiène ou de toilette en céramique, autres que la porcelaine (sauf baignoires, bidets, éviers et autres appareils fixes simil.; statuettes et autres objets d'ornementation; cruch")</f>
        <v>Vaisselle, autres articles de ménage ou d'économie domestique et articles d'hygiène ou de toilette en céramique, autres que la porcelaine (sauf baignoires, bidets, éviers et autres appareils fixes simil.; statuettes et autres objets d'ornementation; cruch</v>
      </c>
    </row>
    <row r="8368" spans="1:4" x14ac:dyDescent="0.25">
      <c r="A8368" t="str">
        <f>T("   ZZZ_Monde")</f>
        <v xml:space="preserve">   ZZZ_Monde</v>
      </c>
      <c r="B8368" t="str">
        <f>T("   ZZZ_Monde")</f>
        <v xml:space="preserve">   ZZZ_Monde</v>
      </c>
      <c r="C8368">
        <v>47178604</v>
      </c>
      <c r="D8368">
        <v>139720.70000000001</v>
      </c>
    </row>
    <row r="8369" spans="1:4" x14ac:dyDescent="0.25">
      <c r="A8369" t="str">
        <f>T("   CN")</f>
        <v xml:space="preserve">   CN</v>
      </c>
      <c r="B8369" t="str">
        <f>T("   Chine")</f>
        <v xml:space="preserve">   Chine</v>
      </c>
      <c r="C8369">
        <v>21449323</v>
      </c>
      <c r="D8369">
        <v>77608</v>
      </c>
    </row>
    <row r="8370" spans="1:4" x14ac:dyDescent="0.25">
      <c r="A8370" t="str">
        <f>T("   ES")</f>
        <v xml:space="preserve">   ES</v>
      </c>
      <c r="B8370" t="str">
        <f>T("   Espagne")</f>
        <v xml:space="preserve">   Espagne</v>
      </c>
      <c r="C8370">
        <v>142311</v>
      </c>
      <c r="D8370">
        <v>665</v>
      </c>
    </row>
    <row r="8371" spans="1:4" x14ac:dyDescent="0.25">
      <c r="A8371" t="str">
        <f>T("   FR")</f>
        <v xml:space="preserve">   FR</v>
      </c>
      <c r="B8371" t="str">
        <f>T("   France")</f>
        <v xml:space="preserve">   France</v>
      </c>
      <c r="C8371">
        <v>2903951</v>
      </c>
      <c r="D8371">
        <v>2622</v>
      </c>
    </row>
    <row r="8372" spans="1:4" x14ac:dyDescent="0.25">
      <c r="A8372" t="str">
        <f>T("   GB")</f>
        <v xml:space="preserve">   GB</v>
      </c>
      <c r="B8372" t="str">
        <f>T("   Royaume-Uni")</f>
        <v xml:space="preserve">   Royaume-Uni</v>
      </c>
      <c r="C8372">
        <v>72886</v>
      </c>
      <c r="D8372">
        <v>15</v>
      </c>
    </row>
    <row r="8373" spans="1:4" x14ac:dyDescent="0.25">
      <c r="A8373" t="str">
        <f>T("   GH")</f>
        <v xml:space="preserve">   GH</v>
      </c>
      <c r="B8373" t="str">
        <f>T("   Ghana")</f>
        <v xml:space="preserve">   Ghana</v>
      </c>
      <c r="C8373">
        <v>8499904</v>
      </c>
      <c r="D8373">
        <v>26540.7</v>
      </c>
    </row>
    <row r="8374" spans="1:4" x14ac:dyDescent="0.25">
      <c r="A8374" t="str">
        <f>T("   GN")</f>
        <v xml:space="preserve">   GN</v>
      </c>
      <c r="B8374" t="str">
        <f>T("   Guinée")</f>
        <v xml:space="preserve">   Guinée</v>
      </c>
      <c r="C8374">
        <v>1967880</v>
      </c>
      <c r="D8374">
        <v>200</v>
      </c>
    </row>
    <row r="8375" spans="1:4" x14ac:dyDescent="0.25">
      <c r="A8375" t="str">
        <f>T("   IN")</f>
        <v xml:space="preserve">   IN</v>
      </c>
      <c r="B8375" t="str">
        <f>T("   Inde")</f>
        <v xml:space="preserve">   Inde</v>
      </c>
      <c r="C8375">
        <v>6555195</v>
      </c>
      <c r="D8375">
        <v>17862</v>
      </c>
    </row>
    <row r="8376" spans="1:4" x14ac:dyDescent="0.25">
      <c r="A8376" t="str">
        <f>T("   NG")</f>
        <v xml:space="preserve">   NG</v>
      </c>
      <c r="B8376" t="str">
        <f>T("   Nigéria")</f>
        <v xml:space="preserve">   Nigéria</v>
      </c>
      <c r="C8376">
        <v>219000</v>
      </c>
      <c r="D8376">
        <v>219</v>
      </c>
    </row>
    <row r="8377" spans="1:4" x14ac:dyDescent="0.25">
      <c r="A8377" t="str">
        <f>T("   TG")</f>
        <v xml:space="preserve">   TG</v>
      </c>
      <c r="B8377" t="str">
        <f>T("   Togo")</f>
        <v xml:space="preserve">   Togo</v>
      </c>
      <c r="C8377">
        <v>327688</v>
      </c>
      <c r="D8377">
        <v>6760</v>
      </c>
    </row>
    <row r="8378" spans="1:4" x14ac:dyDescent="0.25">
      <c r="A8378" t="str">
        <f>T("   US")</f>
        <v xml:space="preserve">   US</v>
      </c>
      <c r="B8378" t="str">
        <f>T("   Etats-Unis")</f>
        <v xml:space="preserve">   Etats-Unis</v>
      </c>
      <c r="C8378">
        <v>5040466</v>
      </c>
      <c r="D8378">
        <v>7229</v>
      </c>
    </row>
    <row r="8379" spans="1:4" x14ac:dyDescent="0.25">
      <c r="A8379" t="str">
        <f>T("691310")</f>
        <v>691310</v>
      </c>
      <c r="B8379" t="str">
        <f>T("Statuettes et autres objets d'ornementation en porcelaine n.d.a.")</f>
        <v>Statuettes et autres objets d'ornementation en porcelaine n.d.a.</v>
      </c>
    </row>
    <row r="8380" spans="1:4" x14ac:dyDescent="0.25">
      <c r="A8380" t="str">
        <f>T("   ZZZ_Monde")</f>
        <v xml:space="preserve">   ZZZ_Monde</v>
      </c>
      <c r="B8380" t="str">
        <f>T("   ZZZ_Monde")</f>
        <v xml:space="preserve">   ZZZ_Monde</v>
      </c>
      <c r="C8380">
        <v>65192</v>
      </c>
      <c r="D8380">
        <v>100</v>
      </c>
    </row>
    <row r="8381" spans="1:4" x14ac:dyDescent="0.25">
      <c r="A8381" t="str">
        <f>T("   CN")</f>
        <v xml:space="preserve">   CN</v>
      </c>
      <c r="B8381" t="str">
        <f>T("   Chine")</f>
        <v xml:space="preserve">   Chine</v>
      </c>
      <c r="C8381">
        <v>65192</v>
      </c>
      <c r="D8381">
        <v>100</v>
      </c>
    </row>
    <row r="8382" spans="1:4" x14ac:dyDescent="0.25">
      <c r="A8382" t="str">
        <f>T("691390")</f>
        <v>691390</v>
      </c>
      <c r="B8382" t="str">
        <f>T("Statuettes et autres objets d'ornementation en céramique autres que la porcelaine n.d.a.")</f>
        <v>Statuettes et autres objets d'ornementation en céramique autres que la porcelaine n.d.a.</v>
      </c>
    </row>
    <row r="8383" spans="1:4" x14ac:dyDescent="0.25">
      <c r="A8383" t="str">
        <f>T("   ZZZ_Monde")</f>
        <v xml:space="preserve">   ZZZ_Monde</v>
      </c>
      <c r="B8383" t="str">
        <f>T("   ZZZ_Monde")</f>
        <v xml:space="preserve">   ZZZ_Monde</v>
      </c>
      <c r="C8383">
        <v>8593899</v>
      </c>
      <c r="D8383">
        <v>6079</v>
      </c>
    </row>
    <row r="8384" spans="1:4" x14ac:dyDescent="0.25">
      <c r="A8384" t="str">
        <f>T("   BE")</f>
        <v xml:space="preserve">   BE</v>
      </c>
      <c r="B8384" t="str">
        <f>T("   Belgique")</f>
        <v xml:space="preserve">   Belgique</v>
      </c>
      <c r="C8384">
        <v>1346686</v>
      </c>
      <c r="D8384">
        <v>393</v>
      </c>
    </row>
    <row r="8385" spans="1:4" x14ac:dyDescent="0.25">
      <c r="A8385" t="str">
        <f>T("   CN")</f>
        <v xml:space="preserve">   CN</v>
      </c>
      <c r="B8385" t="str">
        <f>T("   Chine")</f>
        <v xml:space="preserve">   Chine</v>
      </c>
      <c r="C8385">
        <v>4353118</v>
      </c>
      <c r="D8385">
        <v>5186</v>
      </c>
    </row>
    <row r="8386" spans="1:4" x14ac:dyDescent="0.25">
      <c r="A8386" t="str">
        <f>T("   FR")</f>
        <v xml:space="preserve">   FR</v>
      </c>
      <c r="B8386" t="str">
        <f>T("   France")</f>
        <v xml:space="preserve">   France</v>
      </c>
      <c r="C8386">
        <v>2894095</v>
      </c>
      <c r="D8386">
        <v>500</v>
      </c>
    </row>
    <row r="8387" spans="1:4" x14ac:dyDescent="0.25">
      <c r="A8387" t="str">
        <f>T("691410")</f>
        <v>691410</v>
      </c>
      <c r="B8387" t="str">
        <f>T("Ouvrages en porcelaine n.d.a.")</f>
        <v>Ouvrages en porcelaine n.d.a.</v>
      </c>
    </row>
    <row r="8388" spans="1:4" x14ac:dyDescent="0.25">
      <c r="A8388" t="str">
        <f>T("   ZZZ_Monde")</f>
        <v xml:space="preserve">   ZZZ_Monde</v>
      </c>
      <c r="B8388" t="str">
        <f>T("   ZZZ_Monde")</f>
        <v xml:space="preserve">   ZZZ_Monde</v>
      </c>
      <c r="C8388">
        <v>15900611</v>
      </c>
      <c r="D8388">
        <v>168821</v>
      </c>
    </row>
    <row r="8389" spans="1:4" x14ac:dyDescent="0.25">
      <c r="A8389" t="str">
        <f>T("   AE")</f>
        <v xml:space="preserve">   AE</v>
      </c>
      <c r="B8389" t="str">
        <f>T("   Emirats Arabes Unis")</f>
        <v xml:space="preserve">   Emirats Arabes Unis</v>
      </c>
      <c r="C8389">
        <v>10148298</v>
      </c>
      <c r="D8389">
        <v>110532</v>
      </c>
    </row>
    <row r="8390" spans="1:4" x14ac:dyDescent="0.25">
      <c r="A8390" t="str">
        <f>T("   CN")</f>
        <v xml:space="preserve">   CN</v>
      </c>
      <c r="B8390" t="str">
        <f>T("   Chine")</f>
        <v xml:space="preserve">   Chine</v>
      </c>
      <c r="C8390">
        <v>5220669</v>
      </c>
      <c r="D8390">
        <v>55932</v>
      </c>
    </row>
    <row r="8391" spans="1:4" x14ac:dyDescent="0.25">
      <c r="A8391" t="str">
        <f>T("   TG")</f>
        <v xml:space="preserve">   TG</v>
      </c>
      <c r="B8391" t="str">
        <f>T("   Togo")</f>
        <v xml:space="preserve">   Togo</v>
      </c>
      <c r="C8391">
        <v>531644</v>
      </c>
      <c r="D8391">
        <v>2357</v>
      </c>
    </row>
    <row r="8392" spans="1:4" x14ac:dyDescent="0.25">
      <c r="A8392" t="str">
        <f>T("691490")</f>
        <v>691490</v>
      </c>
      <c r="B8392" t="str">
        <f>T("Ouvrages en céramique autres que la porcelaine n.d.a.")</f>
        <v>Ouvrages en céramique autres que la porcelaine n.d.a.</v>
      </c>
    </row>
    <row r="8393" spans="1:4" x14ac:dyDescent="0.25">
      <c r="A8393" t="str">
        <f>T("   ZZZ_Monde")</f>
        <v xml:space="preserve">   ZZZ_Monde</v>
      </c>
      <c r="B8393" t="str">
        <f>T("   ZZZ_Monde")</f>
        <v xml:space="preserve">   ZZZ_Monde</v>
      </c>
      <c r="C8393">
        <v>39453154</v>
      </c>
      <c r="D8393">
        <v>180548</v>
      </c>
    </row>
    <row r="8394" spans="1:4" x14ac:dyDescent="0.25">
      <c r="A8394" t="str">
        <f>T("   CN")</f>
        <v xml:space="preserve">   CN</v>
      </c>
      <c r="B8394" t="str">
        <f>T("   Chine")</f>
        <v xml:space="preserve">   Chine</v>
      </c>
      <c r="C8394">
        <v>27077427</v>
      </c>
      <c r="D8394">
        <v>135920</v>
      </c>
    </row>
    <row r="8395" spans="1:4" x14ac:dyDescent="0.25">
      <c r="A8395" t="str">
        <f>T("   IN")</f>
        <v xml:space="preserve">   IN</v>
      </c>
      <c r="B8395" t="str">
        <f>T("   Inde")</f>
        <v xml:space="preserve">   Inde</v>
      </c>
      <c r="C8395">
        <v>11338063</v>
      </c>
      <c r="D8395">
        <v>42408</v>
      </c>
    </row>
    <row r="8396" spans="1:4" x14ac:dyDescent="0.25">
      <c r="A8396" t="str">
        <f>T("   TG")</f>
        <v xml:space="preserve">   TG</v>
      </c>
      <c r="B8396" t="str">
        <f>T("   Togo")</f>
        <v xml:space="preserve">   Togo</v>
      </c>
      <c r="C8396">
        <v>34864</v>
      </c>
      <c r="D8396">
        <v>1320</v>
      </c>
    </row>
    <row r="8397" spans="1:4" x14ac:dyDescent="0.25">
      <c r="A8397" t="str">
        <f>T("   TN")</f>
        <v xml:space="preserve">   TN</v>
      </c>
      <c r="B8397" t="str">
        <f>T("   Tunisie")</f>
        <v xml:space="preserve">   Tunisie</v>
      </c>
      <c r="C8397">
        <v>1002800</v>
      </c>
      <c r="D8397">
        <v>900</v>
      </c>
    </row>
    <row r="8398" spans="1:4" x14ac:dyDescent="0.25">
      <c r="A8398" t="str">
        <f>T("700239")</f>
        <v>700239</v>
      </c>
      <c r="B8398" t="str">
        <f>T("Tubes en verre non travaillé (sauf à coefficient de dilatation linéaire &lt;= 5 x 10-6, par kelvin entre 0°C et 300°C et sauf en quartz fondu ou en un autre silice fondu)")</f>
        <v>Tubes en verre non travaillé (sauf à coefficient de dilatation linéaire &lt;= 5 x 10-6, par kelvin entre 0°C et 300°C et sauf en quartz fondu ou en un autre silice fondu)</v>
      </c>
    </row>
    <row r="8399" spans="1:4" x14ac:dyDescent="0.25">
      <c r="A8399" t="str">
        <f>T("   ZZZ_Monde")</f>
        <v xml:space="preserve">   ZZZ_Monde</v>
      </c>
      <c r="B8399" t="str">
        <f>T("   ZZZ_Monde")</f>
        <v xml:space="preserve">   ZZZ_Monde</v>
      </c>
      <c r="C8399">
        <v>1462299</v>
      </c>
      <c r="D8399">
        <v>9139</v>
      </c>
    </row>
    <row r="8400" spans="1:4" x14ac:dyDescent="0.25">
      <c r="A8400" t="str">
        <f>T("   FR")</f>
        <v xml:space="preserve">   FR</v>
      </c>
      <c r="B8400" t="str">
        <f>T("   France")</f>
        <v xml:space="preserve">   France</v>
      </c>
      <c r="C8400">
        <v>955299</v>
      </c>
      <c r="D8400">
        <v>274</v>
      </c>
    </row>
    <row r="8401" spans="1:4" x14ac:dyDescent="0.25">
      <c r="A8401" t="str">
        <f>T("   Z2")</f>
        <v xml:space="preserve">   Z2</v>
      </c>
      <c r="B8401" t="str">
        <f>T("   Pays non défini")</f>
        <v xml:space="preserve">   Pays non défini</v>
      </c>
      <c r="C8401">
        <v>507000</v>
      </c>
      <c r="D8401">
        <v>8865</v>
      </c>
    </row>
    <row r="8402" spans="1:4" x14ac:dyDescent="0.25">
      <c r="A8402" t="str">
        <f>T("700319")</f>
        <v>700319</v>
      </c>
      <c r="B8402" t="str">
        <f>T("PLAQUES ET FEUILLES EN VERRE DIT 'COULÉ', MAIS NON AUTREMENT TRAVAILLÉ (AUTRES QUE COLORÉES DANS LA MASSE, OPACIFIÉES, PLAQUÉES [DOUBLÉES], OU À COUCHE RÉFLÉCHISSANTE OU NON-RÉFLÉCHISSANTE ET SAUF EN VERRE ARMÉ)")</f>
        <v>PLAQUES ET FEUILLES EN VERRE DIT 'COULÉ', MAIS NON AUTREMENT TRAVAILLÉ (AUTRES QUE COLORÉES DANS LA MASSE, OPACIFIÉES, PLAQUÉES [DOUBLÉES], OU À COUCHE RÉFLÉCHISSANTE OU NON-RÉFLÉCHISSANTE ET SAUF EN VERRE ARMÉ)</v>
      </c>
    </row>
    <row r="8403" spans="1:4" x14ac:dyDescent="0.25">
      <c r="A8403" t="str">
        <f>T("   ZZZ_Monde")</f>
        <v xml:space="preserve">   ZZZ_Monde</v>
      </c>
      <c r="B8403" t="str">
        <f>T("   ZZZ_Monde")</f>
        <v xml:space="preserve">   ZZZ_Monde</v>
      </c>
      <c r="C8403">
        <v>5286865</v>
      </c>
      <c r="D8403">
        <v>16000</v>
      </c>
    </row>
    <row r="8404" spans="1:4" x14ac:dyDescent="0.25">
      <c r="A8404" t="str">
        <f>T("   AE")</f>
        <v xml:space="preserve">   AE</v>
      </c>
      <c r="B8404" t="str">
        <f>T("   Emirats Arabes Unis")</f>
        <v xml:space="preserve">   Emirats Arabes Unis</v>
      </c>
      <c r="C8404">
        <v>3786865</v>
      </c>
      <c r="D8404">
        <v>10000</v>
      </c>
    </row>
    <row r="8405" spans="1:4" x14ac:dyDescent="0.25">
      <c r="A8405" t="str">
        <f>T("   TG")</f>
        <v xml:space="preserve">   TG</v>
      </c>
      <c r="B8405" t="str">
        <f>T("   Togo")</f>
        <v xml:space="preserve">   Togo</v>
      </c>
      <c r="C8405">
        <v>1500000</v>
      </c>
      <c r="D8405">
        <v>6000</v>
      </c>
    </row>
    <row r="8406" spans="1:4" x14ac:dyDescent="0.25">
      <c r="A8406" t="str">
        <f>T("700490")</f>
        <v>700490</v>
      </c>
      <c r="B8406" t="str">
        <f>T("FEUILLES EN VERRE ÉTIRÉ OU SOUFFLÉ MAIS NON AUTREMENT TRAVAILLÉ (AUTRES QU'EN VERRE COLORÉ DANS LA MASSE, OPACIFIÉ, PLAQUÉ [DOUBLÉ], OU À COUCHE ABSORBANTE, RÉFLÉCHISSANTE OU NON-RÉFLÉCHISSANTE)")</f>
        <v>FEUILLES EN VERRE ÉTIRÉ OU SOUFFLÉ MAIS NON AUTREMENT TRAVAILLÉ (AUTRES QU'EN VERRE COLORÉ DANS LA MASSE, OPACIFIÉ, PLAQUÉ [DOUBLÉ], OU À COUCHE ABSORBANTE, RÉFLÉCHISSANTE OU NON-RÉFLÉCHISSANTE)</v>
      </c>
    </row>
    <row r="8407" spans="1:4" x14ac:dyDescent="0.25">
      <c r="A8407" t="str">
        <f>T("   ZZZ_Monde")</f>
        <v xml:space="preserve">   ZZZ_Monde</v>
      </c>
      <c r="B8407" t="str">
        <f>T("   ZZZ_Monde")</f>
        <v xml:space="preserve">   ZZZ_Monde</v>
      </c>
      <c r="C8407">
        <v>31765370</v>
      </c>
      <c r="D8407">
        <v>177440</v>
      </c>
    </row>
    <row r="8408" spans="1:4" x14ac:dyDescent="0.25">
      <c r="A8408" t="str">
        <f>T("   CN")</f>
        <v xml:space="preserve">   CN</v>
      </c>
      <c r="B8408" t="str">
        <f>T("   Chine")</f>
        <v xml:space="preserve">   Chine</v>
      </c>
      <c r="C8408">
        <v>13169370</v>
      </c>
      <c r="D8408">
        <v>64000</v>
      </c>
    </row>
    <row r="8409" spans="1:4" x14ac:dyDescent="0.25">
      <c r="A8409" t="str">
        <f>T("   FR")</f>
        <v xml:space="preserve">   FR</v>
      </c>
      <c r="B8409" t="str">
        <f>T("   France")</f>
        <v xml:space="preserve">   France</v>
      </c>
      <c r="C8409">
        <v>12102000</v>
      </c>
      <c r="D8409">
        <v>52800</v>
      </c>
    </row>
    <row r="8410" spans="1:4" x14ac:dyDescent="0.25">
      <c r="A8410" t="str">
        <f>T("   GH")</f>
        <v xml:space="preserve">   GH</v>
      </c>
      <c r="B8410" t="str">
        <f>T("   Ghana")</f>
        <v xml:space="preserve">   Ghana</v>
      </c>
      <c r="C8410">
        <v>1815000</v>
      </c>
      <c r="D8410">
        <v>25774</v>
      </c>
    </row>
    <row r="8411" spans="1:4" x14ac:dyDescent="0.25">
      <c r="A8411" t="str">
        <f>T("   NG")</f>
        <v xml:space="preserve">   NG</v>
      </c>
      <c r="B8411" t="str">
        <f>T("   Nigéria")</f>
        <v xml:space="preserve">   Nigéria</v>
      </c>
      <c r="C8411">
        <v>2484000</v>
      </c>
      <c r="D8411">
        <v>15500</v>
      </c>
    </row>
    <row r="8412" spans="1:4" x14ac:dyDescent="0.25">
      <c r="A8412" t="str">
        <f>T("   TG")</f>
        <v xml:space="preserve">   TG</v>
      </c>
      <c r="B8412" t="str">
        <f>T("   Togo")</f>
        <v xml:space="preserve">   Togo</v>
      </c>
      <c r="C8412">
        <v>2195000</v>
      </c>
      <c r="D8412">
        <v>19366</v>
      </c>
    </row>
    <row r="8413" spans="1:4" x14ac:dyDescent="0.25">
      <c r="A8413" t="str">
        <f>T("700510")</f>
        <v>700510</v>
      </c>
      <c r="B8413" t="str">
        <f>T("PLAQUES OU FEUILLES EN GLACE [VERRE FLOTTÉ ET VERRE DOUCI OU POLI SUR UNE OU DEUX FACES], À COUCHE ABSORBANTE, RÉFLÉCHISSANTE OU NON-RÉFLÉCHISSANTE, MAIS NON AUTREMENT TRAVAILLÉE (SAUF ARMÉE)")</f>
        <v>PLAQUES OU FEUILLES EN GLACE [VERRE FLOTTÉ ET VERRE DOUCI OU POLI SUR UNE OU DEUX FACES], À COUCHE ABSORBANTE, RÉFLÉCHISSANTE OU NON-RÉFLÉCHISSANTE, MAIS NON AUTREMENT TRAVAILLÉE (SAUF ARMÉE)</v>
      </c>
    </row>
    <row r="8414" spans="1:4" x14ac:dyDescent="0.25">
      <c r="A8414" t="str">
        <f>T("   ZZZ_Monde")</f>
        <v xml:space="preserve">   ZZZ_Monde</v>
      </c>
      <c r="B8414" t="str">
        <f>T("   ZZZ_Monde")</f>
        <v xml:space="preserve">   ZZZ_Monde</v>
      </c>
      <c r="C8414">
        <v>154992721</v>
      </c>
      <c r="D8414">
        <v>659190</v>
      </c>
    </row>
    <row r="8415" spans="1:4" x14ac:dyDescent="0.25">
      <c r="A8415" t="str">
        <f>T("   CN")</f>
        <v xml:space="preserve">   CN</v>
      </c>
      <c r="B8415" t="str">
        <f>T("   Chine")</f>
        <v xml:space="preserve">   Chine</v>
      </c>
      <c r="C8415">
        <v>138683441</v>
      </c>
      <c r="D8415">
        <v>591612</v>
      </c>
    </row>
    <row r="8416" spans="1:4" x14ac:dyDescent="0.25">
      <c r="A8416" t="str">
        <f>T("   DE")</f>
        <v xml:space="preserve">   DE</v>
      </c>
      <c r="B8416" t="str">
        <f>T("   Allemagne")</f>
        <v xml:space="preserve">   Allemagne</v>
      </c>
      <c r="C8416">
        <v>6038358</v>
      </c>
      <c r="D8416">
        <v>23078</v>
      </c>
    </row>
    <row r="8417" spans="1:4" x14ac:dyDescent="0.25">
      <c r="A8417" t="str">
        <f>T("   NG")</f>
        <v xml:space="preserve">   NG</v>
      </c>
      <c r="B8417" t="str">
        <f>T("   Nigéria")</f>
        <v xml:space="preserve">   Nigéria</v>
      </c>
      <c r="C8417">
        <v>3120000</v>
      </c>
      <c r="D8417">
        <v>20000</v>
      </c>
    </row>
    <row r="8418" spans="1:4" x14ac:dyDescent="0.25">
      <c r="A8418" t="str">
        <f>T("   NL")</f>
        <v xml:space="preserve">   NL</v>
      </c>
      <c r="B8418" t="str">
        <f>T("   Pays-bas")</f>
        <v xml:space="preserve">   Pays-bas</v>
      </c>
      <c r="C8418">
        <v>7150922</v>
      </c>
      <c r="D8418">
        <v>24500</v>
      </c>
    </row>
    <row r="8419" spans="1:4" x14ac:dyDescent="0.25">
      <c r="A8419" t="str">
        <f>T("700521")</f>
        <v>700521</v>
      </c>
      <c r="B8419" t="str">
        <f>T("PLAQUES OU FEUILLES EN GLACE [VERRE FLOTTÉ ET VERRE DOUCI SUR UNE OU DEUX FACES], COLORÉE DANS LA MASSE, OPACIFIÉE, PLAQUÉE [DOUBLÉE] OU SIMPL. DOUCIE, MAIS NON AUTREMENT TRAVAILLÉE (AUTRE QU'ARMÉE ET AUTRE QU'À COUCHE ABSORBANTE, RÉFLÉCHISSANTE OU NON-RÉ")</f>
        <v>PLAQUES OU FEUILLES EN GLACE [VERRE FLOTTÉ ET VERRE DOUCI SUR UNE OU DEUX FACES], COLORÉE DANS LA MASSE, OPACIFIÉE, PLAQUÉE [DOUBLÉE] OU SIMPL. DOUCIE, MAIS NON AUTREMENT TRAVAILLÉE (AUTRE QU'ARMÉE ET AUTRE QU'À COUCHE ABSORBANTE, RÉFLÉCHISSANTE OU NON-RÉ</v>
      </c>
    </row>
    <row r="8420" spans="1:4" x14ac:dyDescent="0.25">
      <c r="A8420" t="str">
        <f>T("   ZZZ_Monde")</f>
        <v xml:space="preserve">   ZZZ_Monde</v>
      </c>
      <c r="B8420" t="str">
        <f>T("   ZZZ_Monde")</f>
        <v xml:space="preserve">   ZZZ_Monde</v>
      </c>
      <c r="C8420">
        <v>9880462</v>
      </c>
      <c r="D8420">
        <v>47602</v>
      </c>
    </row>
    <row r="8421" spans="1:4" x14ac:dyDescent="0.25">
      <c r="A8421" t="str">
        <f>T("   CN")</f>
        <v xml:space="preserve">   CN</v>
      </c>
      <c r="B8421" t="str">
        <f>T("   Chine")</f>
        <v xml:space="preserve">   Chine</v>
      </c>
      <c r="C8421">
        <v>2666624</v>
      </c>
      <c r="D8421">
        <v>12298</v>
      </c>
    </row>
    <row r="8422" spans="1:4" x14ac:dyDescent="0.25">
      <c r="A8422" t="str">
        <f>T("   DE")</f>
        <v xml:space="preserve">   DE</v>
      </c>
      <c r="B8422" t="str">
        <f>T("   Allemagne")</f>
        <v xml:space="preserve">   Allemagne</v>
      </c>
      <c r="C8422">
        <v>6038358</v>
      </c>
      <c r="D8422">
        <v>25000</v>
      </c>
    </row>
    <row r="8423" spans="1:4" x14ac:dyDescent="0.25">
      <c r="A8423" t="str">
        <f>T("   TN")</f>
        <v xml:space="preserve">   TN</v>
      </c>
      <c r="B8423" t="str">
        <f>T("   Tunisie")</f>
        <v xml:space="preserve">   Tunisie</v>
      </c>
      <c r="C8423">
        <v>1175480</v>
      </c>
      <c r="D8423">
        <v>10304</v>
      </c>
    </row>
    <row r="8424" spans="1:4" x14ac:dyDescent="0.25">
      <c r="A8424" t="str">
        <f>T("700529")</f>
        <v>700529</v>
      </c>
      <c r="B8424" t="str">
        <f>T("PLAQUES OU FEUILLES EN GLACE [VERRE FLOTTÉ ET VERRE DOUCI ET POLI SUR UNE OU DEUX FACES], NON AUTREMENT TRAVAILLÉE (AUTRE QU'ARMÉE, COLORÉE DANS LA MASSE, OPACIFIÉE, PLAQUÉE [DOUBLÉE] OU SIMPL. DOUCIE, OU À COUCHE ABSORBANTE, RÉFLÉCHISSANTE OU NON-RÉFLÉCH")</f>
        <v>PLAQUES OU FEUILLES EN GLACE [VERRE FLOTTÉ ET VERRE DOUCI ET POLI SUR UNE OU DEUX FACES], NON AUTREMENT TRAVAILLÉE (AUTRE QU'ARMÉE, COLORÉE DANS LA MASSE, OPACIFIÉE, PLAQUÉE [DOUBLÉE] OU SIMPL. DOUCIE, OU À COUCHE ABSORBANTE, RÉFLÉCHISSANTE OU NON-RÉFLÉCH</v>
      </c>
    </row>
    <row r="8425" spans="1:4" x14ac:dyDescent="0.25">
      <c r="A8425" t="str">
        <f>T("   ZZZ_Monde")</f>
        <v xml:space="preserve">   ZZZ_Monde</v>
      </c>
      <c r="B8425" t="str">
        <f>T("   ZZZ_Monde")</f>
        <v xml:space="preserve">   ZZZ_Monde</v>
      </c>
      <c r="C8425">
        <v>503960245</v>
      </c>
      <c r="D8425">
        <v>2273522</v>
      </c>
    </row>
    <row r="8426" spans="1:4" x14ac:dyDescent="0.25">
      <c r="A8426" t="str">
        <f>T("   AE")</f>
        <v xml:space="preserve">   AE</v>
      </c>
      <c r="B8426" t="str">
        <f>T("   Emirats Arabes Unis")</f>
        <v xml:space="preserve">   Emirats Arabes Unis</v>
      </c>
      <c r="C8426">
        <v>520258</v>
      </c>
      <c r="D8426">
        <v>3505</v>
      </c>
    </row>
    <row r="8427" spans="1:4" x14ac:dyDescent="0.25">
      <c r="A8427" t="str">
        <f>T("   BE")</f>
        <v xml:space="preserve">   BE</v>
      </c>
      <c r="B8427" t="str">
        <f>T("   Belgique")</f>
        <v xml:space="preserve">   Belgique</v>
      </c>
      <c r="C8427">
        <v>12171994</v>
      </c>
      <c r="D8427">
        <v>45509</v>
      </c>
    </row>
    <row r="8428" spans="1:4" x14ac:dyDescent="0.25">
      <c r="A8428" t="str">
        <f>T("   CN")</f>
        <v xml:space="preserve">   CN</v>
      </c>
      <c r="B8428" t="str">
        <f>T("   Chine")</f>
        <v xml:space="preserve">   Chine</v>
      </c>
      <c r="C8428">
        <v>454127661</v>
      </c>
      <c r="D8428">
        <v>2064058</v>
      </c>
    </row>
    <row r="8429" spans="1:4" x14ac:dyDescent="0.25">
      <c r="A8429" t="str">
        <f>T("   FR")</f>
        <v xml:space="preserve">   FR</v>
      </c>
      <c r="B8429" t="str">
        <f>T("   France")</f>
        <v xml:space="preserve">   France</v>
      </c>
      <c r="C8429">
        <v>4686178</v>
      </c>
      <c r="D8429">
        <v>25000</v>
      </c>
    </row>
    <row r="8430" spans="1:4" x14ac:dyDescent="0.25">
      <c r="A8430" t="str">
        <f>T("   GH")</f>
        <v xml:space="preserve">   GH</v>
      </c>
      <c r="B8430" t="str">
        <f>T("   Ghana")</f>
        <v xml:space="preserve">   Ghana</v>
      </c>
      <c r="C8430">
        <v>2900000</v>
      </c>
      <c r="D8430">
        <v>17650</v>
      </c>
    </row>
    <row r="8431" spans="1:4" x14ac:dyDescent="0.25">
      <c r="A8431" t="str">
        <f>T("   LB")</f>
        <v xml:space="preserve">   LB</v>
      </c>
      <c r="B8431" t="str">
        <f>T("   Liban")</f>
        <v xml:space="preserve">   Liban</v>
      </c>
      <c r="C8431">
        <v>4142404</v>
      </c>
      <c r="D8431">
        <v>176</v>
      </c>
    </row>
    <row r="8432" spans="1:4" x14ac:dyDescent="0.25">
      <c r="A8432" t="str">
        <f>T("   NG")</f>
        <v xml:space="preserve">   NG</v>
      </c>
      <c r="B8432" t="str">
        <f>T("   Nigéria")</f>
        <v xml:space="preserve">   Nigéria</v>
      </c>
      <c r="C8432">
        <v>21754750</v>
      </c>
      <c r="D8432">
        <v>97054</v>
      </c>
    </row>
    <row r="8433" spans="1:4" x14ac:dyDescent="0.25">
      <c r="A8433" t="str">
        <f>T("   TG")</f>
        <v xml:space="preserve">   TG</v>
      </c>
      <c r="B8433" t="str">
        <f>T("   Togo")</f>
        <v xml:space="preserve">   Togo</v>
      </c>
      <c r="C8433">
        <v>900000</v>
      </c>
      <c r="D8433">
        <v>8070</v>
      </c>
    </row>
    <row r="8434" spans="1:4" x14ac:dyDescent="0.25">
      <c r="A8434" t="str">
        <f>T("   TN")</f>
        <v xml:space="preserve">   TN</v>
      </c>
      <c r="B8434" t="str">
        <f>T("   Tunisie")</f>
        <v xml:space="preserve">   Tunisie</v>
      </c>
      <c r="C8434">
        <v>2757000</v>
      </c>
      <c r="D8434">
        <v>12500</v>
      </c>
    </row>
    <row r="8435" spans="1:4" x14ac:dyDescent="0.25">
      <c r="A8435" t="str">
        <f>T("700600")</f>
        <v>700600</v>
      </c>
      <c r="B8435" t="str">
        <f>T("PLAQUES, FEUILLES OU PROFILÉS EN VERRE, MÊME À COUCHE ABSORBANTE, RÉFLÉCHISSANTE OU NON-RÉFLÉCHISSANTE, COURBÉ, BISEAUTÉ, GRAVÉ, PERCÉ, ÉMAILLÉ OU AUTREMENT TRAVAILLÉ MAIS NON-ENCADRÉ NI ASSOCIÉ À D'AUTRES MATIÈRES (SAUF VERRE DE SÉCURITÉ, VITRAGE ISOLANT")</f>
        <v>PLAQUES, FEUILLES OU PROFILÉS EN VERRE, MÊME À COUCHE ABSORBANTE, RÉFLÉCHISSANTE OU NON-RÉFLÉCHISSANTE, COURBÉ, BISEAUTÉ, GRAVÉ, PERCÉ, ÉMAILLÉ OU AUTREMENT TRAVAILLÉ MAIS NON-ENCADRÉ NI ASSOCIÉ À D'AUTRES MATIÈRES (SAUF VERRE DE SÉCURITÉ, VITRAGE ISOLANT</v>
      </c>
    </row>
    <row r="8436" spans="1:4" x14ac:dyDescent="0.25">
      <c r="A8436" t="str">
        <f>T("   ZZZ_Monde")</f>
        <v xml:space="preserve">   ZZZ_Monde</v>
      </c>
      <c r="B8436" t="str">
        <f>T("   ZZZ_Monde")</f>
        <v xml:space="preserve">   ZZZ_Monde</v>
      </c>
      <c r="C8436">
        <v>75796455</v>
      </c>
      <c r="D8436">
        <v>747000</v>
      </c>
    </row>
    <row r="8437" spans="1:4" x14ac:dyDescent="0.25">
      <c r="A8437" t="str">
        <f>T("   BE")</f>
        <v xml:space="preserve">   BE</v>
      </c>
      <c r="B8437" t="str">
        <f>T("   Belgique")</f>
        <v xml:space="preserve">   Belgique</v>
      </c>
      <c r="C8437">
        <v>69313246</v>
      </c>
      <c r="D8437">
        <v>695000</v>
      </c>
    </row>
    <row r="8438" spans="1:4" x14ac:dyDescent="0.25">
      <c r="A8438" t="str">
        <f>T("   SE")</f>
        <v xml:space="preserve">   SE</v>
      </c>
      <c r="B8438" t="str">
        <f>T("   Suède")</f>
        <v xml:space="preserve">   Suède</v>
      </c>
      <c r="C8438">
        <v>6483209</v>
      </c>
      <c r="D8438">
        <v>52000</v>
      </c>
    </row>
    <row r="8439" spans="1:4" x14ac:dyDescent="0.25">
      <c r="A8439" t="str">
        <f>T("700711")</f>
        <v>700711</v>
      </c>
      <c r="B8439" t="str">
        <f>T("VERRES TREMPÉS DE DIMENSIONS ET FORMATS PERMETTANT LEUR EMPLOI DANS LES AUTOMOBILES, VÉHICULES AÉRIENS, BATEAUX OU AUTRES VÉHICULES [01/01/1988-31/12/1988: VERRES TREMPES, -DE SECURITE-, POUR AUTOMOBILES, AERODYNES, BATEAUX OU AUTRES VÉHICULES]")</f>
        <v>VERRES TREMPÉS DE DIMENSIONS ET FORMATS PERMETTANT LEUR EMPLOI DANS LES AUTOMOBILES, VÉHICULES AÉRIENS, BATEAUX OU AUTRES VÉHICULES [01/01/1988-31/12/1988: VERRES TREMPES, -DE SECURITE-, POUR AUTOMOBILES, AERODYNES, BATEAUX OU AUTRES VÉHICULES]</v>
      </c>
    </row>
    <row r="8440" spans="1:4" x14ac:dyDescent="0.25">
      <c r="A8440" t="str">
        <f>T("   ZZZ_Monde")</f>
        <v xml:space="preserve">   ZZZ_Monde</v>
      </c>
      <c r="B8440" t="str">
        <f>T("   ZZZ_Monde")</f>
        <v xml:space="preserve">   ZZZ_Monde</v>
      </c>
      <c r="C8440">
        <v>39769560</v>
      </c>
      <c r="D8440">
        <v>84591</v>
      </c>
    </row>
    <row r="8441" spans="1:4" x14ac:dyDescent="0.25">
      <c r="A8441" t="str">
        <f>T("   CN")</f>
        <v xml:space="preserve">   CN</v>
      </c>
      <c r="B8441" t="str">
        <f>T("   Chine")</f>
        <v xml:space="preserve">   Chine</v>
      </c>
      <c r="C8441">
        <v>28858632</v>
      </c>
      <c r="D8441">
        <v>68400</v>
      </c>
    </row>
    <row r="8442" spans="1:4" x14ac:dyDescent="0.25">
      <c r="A8442" t="str">
        <f>T("   EG")</f>
        <v xml:space="preserve">   EG</v>
      </c>
      <c r="B8442" t="str">
        <f>T("   Egypte")</f>
        <v xml:space="preserve">   Egypte</v>
      </c>
      <c r="C8442">
        <v>1650788</v>
      </c>
      <c r="D8442">
        <v>4350</v>
      </c>
    </row>
    <row r="8443" spans="1:4" x14ac:dyDescent="0.25">
      <c r="A8443" t="str">
        <f>T("   FR")</f>
        <v xml:space="preserve">   FR</v>
      </c>
      <c r="B8443" t="str">
        <f>T("   France")</f>
        <v xml:space="preserve">   France</v>
      </c>
      <c r="C8443">
        <v>5107199</v>
      </c>
      <c r="D8443">
        <v>954</v>
      </c>
    </row>
    <row r="8444" spans="1:4" x14ac:dyDescent="0.25">
      <c r="A8444" t="str">
        <f>T("   NG")</f>
        <v xml:space="preserve">   NG</v>
      </c>
      <c r="B8444" t="str">
        <f>T("   Nigéria")</f>
        <v xml:space="preserve">   Nigéria</v>
      </c>
      <c r="C8444">
        <v>4073200</v>
      </c>
      <c r="D8444">
        <v>10850</v>
      </c>
    </row>
    <row r="8445" spans="1:4" x14ac:dyDescent="0.25">
      <c r="A8445" t="str">
        <f>T("   TG")</f>
        <v xml:space="preserve">   TG</v>
      </c>
      <c r="B8445" t="str">
        <f>T("   Togo")</f>
        <v xml:space="preserve">   Togo</v>
      </c>
      <c r="C8445">
        <v>27012</v>
      </c>
      <c r="D8445">
        <v>35</v>
      </c>
    </row>
    <row r="8446" spans="1:4" x14ac:dyDescent="0.25">
      <c r="A8446" t="str">
        <f>T("   ZA")</f>
        <v xml:space="preserve">   ZA</v>
      </c>
      <c r="B8446" t="str">
        <f>T("   Afrique du Sud")</f>
        <v xml:space="preserve">   Afrique du Sud</v>
      </c>
      <c r="C8446">
        <v>52729</v>
      </c>
      <c r="D8446">
        <v>2</v>
      </c>
    </row>
    <row r="8447" spans="1:4" x14ac:dyDescent="0.25">
      <c r="A8447" t="str">
        <f>T("700719")</f>
        <v>700719</v>
      </c>
      <c r="B8447" t="str">
        <f>T("VERRES TREMPÉS (À L'EXCL. DES VERRES DE LUNETTERIE OU D'HORLOGERIE AINSI QUE DES VERRES DE DIMENSIONS ET FORMATS PERMETTANT LEUR EMPLOI DANS LES AUTOMOBILES, VÉHICULES AÉRIENS, BATEAUX OU AUTRES VÉHICULES) [01/01/1988-31/12/1988: VERRES TREMPES, -DE SECUR")</f>
        <v>VERRES TREMPÉS (À L'EXCL. DES VERRES DE LUNETTERIE OU D'HORLOGERIE AINSI QUE DES VERRES DE DIMENSIONS ET FORMATS PERMETTANT LEUR EMPLOI DANS LES AUTOMOBILES, VÉHICULES AÉRIENS, BATEAUX OU AUTRES VÉHICULES) [01/01/1988-31/12/1988: VERRES TREMPES, -DE SECUR</v>
      </c>
    </row>
    <row r="8448" spans="1:4" x14ac:dyDescent="0.25">
      <c r="A8448" t="str">
        <f>T("   ZZZ_Monde")</f>
        <v xml:space="preserve">   ZZZ_Monde</v>
      </c>
      <c r="B8448" t="str">
        <f>T("   ZZZ_Monde")</f>
        <v xml:space="preserve">   ZZZ_Monde</v>
      </c>
      <c r="C8448">
        <v>63475071</v>
      </c>
      <c r="D8448">
        <v>125302</v>
      </c>
    </row>
    <row r="8449" spans="1:4" x14ac:dyDescent="0.25">
      <c r="A8449" t="str">
        <f>T("   AE")</f>
        <v xml:space="preserve">   AE</v>
      </c>
      <c r="B8449" t="str">
        <f>T("   Emirats Arabes Unis")</f>
        <v xml:space="preserve">   Emirats Arabes Unis</v>
      </c>
      <c r="C8449">
        <v>34525692</v>
      </c>
      <c r="D8449">
        <v>32469</v>
      </c>
    </row>
    <row r="8450" spans="1:4" x14ac:dyDescent="0.25">
      <c r="A8450" t="str">
        <f>T("   CN")</f>
        <v xml:space="preserve">   CN</v>
      </c>
      <c r="B8450" t="str">
        <f>T("   Chine")</f>
        <v xml:space="preserve">   Chine</v>
      </c>
      <c r="C8450">
        <v>18558973</v>
      </c>
      <c r="D8450">
        <v>78235</v>
      </c>
    </row>
    <row r="8451" spans="1:4" x14ac:dyDescent="0.25">
      <c r="A8451" t="str">
        <f>T("   FR")</f>
        <v xml:space="preserve">   FR</v>
      </c>
      <c r="B8451" t="str">
        <f>T("   France")</f>
        <v xml:space="preserve">   France</v>
      </c>
      <c r="C8451">
        <v>346347</v>
      </c>
      <c r="D8451">
        <v>180</v>
      </c>
    </row>
    <row r="8452" spans="1:4" x14ac:dyDescent="0.25">
      <c r="A8452" t="str">
        <f>T("   IT")</f>
        <v xml:space="preserve">   IT</v>
      </c>
      <c r="B8452" t="str">
        <f>T("   Italie")</f>
        <v xml:space="preserve">   Italie</v>
      </c>
      <c r="C8452">
        <v>9857766</v>
      </c>
      <c r="D8452">
        <v>14408</v>
      </c>
    </row>
    <row r="8453" spans="1:4" x14ac:dyDescent="0.25">
      <c r="A8453" t="str">
        <f>T("   US")</f>
        <v xml:space="preserve">   US</v>
      </c>
      <c r="B8453" t="str">
        <f>T("   Etats-Unis")</f>
        <v xml:space="preserve">   Etats-Unis</v>
      </c>
      <c r="C8453">
        <v>186293</v>
      </c>
      <c r="D8453">
        <v>10</v>
      </c>
    </row>
    <row r="8454" spans="1:4" x14ac:dyDescent="0.25">
      <c r="A8454" t="str">
        <f>T("700721")</f>
        <v>700721</v>
      </c>
      <c r="B8454" t="str">
        <f>T("VERRES FORMÉS DE FEUILLES CONTRECOLLÉES, DE DIMENSIONS ET FORMATS PERMETTANT LEUR EMPLOI DANS LES AUTOMOBILES, VÉHICULES AÉRIENS, BATEAUX OU AUTRES VÉHICULES (À L'EXCL. DES VITRAGES ISOLANTS À PAROIS MULTIPLES) [01/01/1988-31/12/1988: PARE-BRISE FORMES DE")</f>
        <v>VERRES FORMÉS DE FEUILLES CONTRECOLLÉES, DE DIMENSIONS ET FORMATS PERMETTANT LEUR EMPLOI DANS LES AUTOMOBILES, VÉHICULES AÉRIENS, BATEAUX OU AUTRES VÉHICULES (À L'EXCL. DES VITRAGES ISOLANTS À PAROIS MULTIPLES) [01/01/1988-31/12/1988: PARE-BRISE FORMES DE</v>
      </c>
    </row>
    <row r="8455" spans="1:4" x14ac:dyDescent="0.25">
      <c r="A8455" t="str">
        <f>T("   ZZZ_Monde")</f>
        <v xml:space="preserve">   ZZZ_Monde</v>
      </c>
      <c r="B8455" t="str">
        <f>T("   ZZZ_Monde")</f>
        <v xml:space="preserve">   ZZZ_Monde</v>
      </c>
      <c r="C8455">
        <v>5205901</v>
      </c>
      <c r="D8455">
        <v>1570</v>
      </c>
    </row>
    <row r="8456" spans="1:4" x14ac:dyDescent="0.25">
      <c r="A8456" t="str">
        <f>T("   CA")</f>
        <v xml:space="preserve">   CA</v>
      </c>
      <c r="B8456" t="str">
        <f>T("   Canada")</f>
        <v xml:space="preserve">   Canada</v>
      </c>
      <c r="C8456">
        <v>45985</v>
      </c>
      <c r="D8456">
        <v>11</v>
      </c>
    </row>
    <row r="8457" spans="1:4" x14ac:dyDescent="0.25">
      <c r="A8457" t="str">
        <f>T("   FR")</f>
        <v xml:space="preserve">   FR</v>
      </c>
      <c r="B8457" t="str">
        <f>T("   France")</f>
        <v xml:space="preserve">   France</v>
      </c>
      <c r="C8457">
        <v>4424916</v>
      </c>
      <c r="D8457">
        <v>459</v>
      </c>
    </row>
    <row r="8458" spans="1:4" x14ac:dyDescent="0.25">
      <c r="A8458" t="str">
        <f>T("   NG")</f>
        <v xml:space="preserve">   NG</v>
      </c>
      <c r="B8458" t="str">
        <f>T("   Nigéria")</f>
        <v xml:space="preserve">   Nigéria</v>
      </c>
      <c r="C8458">
        <v>735000</v>
      </c>
      <c r="D8458">
        <v>1100</v>
      </c>
    </row>
    <row r="8459" spans="1:4" x14ac:dyDescent="0.25">
      <c r="A8459" t="str">
        <f>T("700729")</f>
        <v>700729</v>
      </c>
      <c r="B8459" t="str">
        <f>T("VERRE FORMÉ DE FEUILLES CONTRECOLLÉES, DE SÉCURITÉ (AUTRES QUE DES DIMENSIONS ET FORMES PERMETTANT SON EMPLOI DANS LES VÉHICULES AUTOMOBILES, VÉHICULES AÉRIENS, BATEAUX OU AUTRES VÉHICULES ET SAUF VITRAGE ISOLANT À PAROIS MULTIPLES) [01/01/1988-31/12/1988")</f>
        <v>VERRE FORMÉ DE FEUILLES CONTRECOLLÉES, DE SÉCURITÉ (AUTRES QUE DES DIMENSIONS ET FORMES PERMETTANT SON EMPLOI DANS LES VÉHICULES AUTOMOBILES, VÉHICULES AÉRIENS, BATEAUX OU AUTRES VÉHICULES ET SAUF VITRAGE ISOLANT À PAROIS MULTIPLES) [01/01/1988-31/12/1988</v>
      </c>
    </row>
    <row r="8460" spans="1:4" x14ac:dyDescent="0.25">
      <c r="A8460" t="str">
        <f>T("   ZZZ_Monde")</f>
        <v xml:space="preserve">   ZZZ_Monde</v>
      </c>
      <c r="B8460" t="str">
        <f>T("   ZZZ_Monde")</f>
        <v xml:space="preserve">   ZZZ_Monde</v>
      </c>
      <c r="C8460">
        <v>9727922</v>
      </c>
      <c r="D8460">
        <v>60618</v>
      </c>
    </row>
    <row r="8461" spans="1:4" x14ac:dyDescent="0.25">
      <c r="A8461" t="str">
        <f>T("   BE")</f>
        <v xml:space="preserve">   BE</v>
      </c>
      <c r="B8461" t="str">
        <f>T("   Belgique")</f>
        <v xml:space="preserve">   Belgique</v>
      </c>
      <c r="C8461">
        <v>365063</v>
      </c>
      <c r="D8461">
        <v>21</v>
      </c>
    </row>
    <row r="8462" spans="1:4" x14ac:dyDescent="0.25">
      <c r="A8462" t="str">
        <f>T("   CN")</f>
        <v xml:space="preserve">   CN</v>
      </c>
      <c r="B8462" t="str">
        <f>T("   Chine")</f>
        <v xml:space="preserve">   Chine</v>
      </c>
      <c r="C8462">
        <v>7836893</v>
      </c>
      <c r="D8462">
        <v>60320</v>
      </c>
    </row>
    <row r="8463" spans="1:4" x14ac:dyDescent="0.25">
      <c r="A8463" t="str">
        <f>T("   FR")</f>
        <v xml:space="preserve">   FR</v>
      </c>
      <c r="B8463" t="str">
        <f>T("   France")</f>
        <v xml:space="preserve">   France</v>
      </c>
      <c r="C8463">
        <v>1362429</v>
      </c>
      <c r="D8463">
        <v>273</v>
      </c>
    </row>
    <row r="8464" spans="1:4" x14ac:dyDescent="0.25">
      <c r="A8464" t="str">
        <f>T("   JP")</f>
        <v xml:space="preserve">   JP</v>
      </c>
      <c r="B8464" t="str">
        <f>T("   Japon")</f>
        <v xml:space="preserve">   Japon</v>
      </c>
      <c r="C8464">
        <v>163537</v>
      </c>
      <c r="D8464">
        <v>4</v>
      </c>
    </row>
    <row r="8465" spans="1:4" x14ac:dyDescent="0.25">
      <c r="A8465" t="str">
        <f>T("700800")</f>
        <v>700800</v>
      </c>
      <c r="B8465" t="str">
        <f>T("Vitrages isolants à parois multiples")</f>
        <v>Vitrages isolants à parois multiples</v>
      </c>
    </row>
    <row r="8466" spans="1:4" x14ac:dyDescent="0.25">
      <c r="A8466" t="str">
        <f>T("   ZZZ_Monde")</f>
        <v xml:space="preserve">   ZZZ_Monde</v>
      </c>
      <c r="B8466" t="str">
        <f>T("   ZZZ_Monde")</f>
        <v xml:space="preserve">   ZZZ_Monde</v>
      </c>
      <c r="C8466">
        <v>78859306</v>
      </c>
      <c r="D8466">
        <v>127000</v>
      </c>
    </row>
    <row r="8467" spans="1:4" x14ac:dyDescent="0.25">
      <c r="A8467" t="str">
        <f>T("   CN")</f>
        <v xml:space="preserve">   CN</v>
      </c>
      <c r="B8467" t="str">
        <f>T("   Chine")</f>
        <v xml:space="preserve">   Chine</v>
      </c>
      <c r="C8467">
        <v>78859306</v>
      </c>
      <c r="D8467">
        <v>127000</v>
      </c>
    </row>
    <row r="8468" spans="1:4" x14ac:dyDescent="0.25">
      <c r="A8468" t="str">
        <f>T("700910")</f>
        <v>700910</v>
      </c>
      <c r="B8468" t="str">
        <f>T("Miroirs rétroviseurs en verre, même encadrés, pour véhicules")</f>
        <v>Miroirs rétroviseurs en verre, même encadrés, pour véhicules</v>
      </c>
    </row>
    <row r="8469" spans="1:4" x14ac:dyDescent="0.25">
      <c r="A8469" t="str">
        <f>T("   ZZZ_Monde")</f>
        <v xml:space="preserve">   ZZZ_Monde</v>
      </c>
      <c r="B8469" t="str">
        <f>T("   ZZZ_Monde")</f>
        <v xml:space="preserve">   ZZZ_Monde</v>
      </c>
      <c r="C8469">
        <v>20512661</v>
      </c>
      <c r="D8469">
        <v>101241</v>
      </c>
    </row>
    <row r="8470" spans="1:4" x14ac:dyDescent="0.25">
      <c r="A8470" t="str">
        <f>T("   CN")</f>
        <v xml:space="preserve">   CN</v>
      </c>
      <c r="B8470" t="str">
        <f>T("   Chine")</f>
        <v xml:space="preserve">   Chine</v>
      </c>
      <c r="C8470">
        <v>8307644</v>
      </c>
      <c r="D8470">
        <v>16485</v>
      </c>
    </row>
    <row r="8471" spans="1:4" x14ac:dyDescent="0.25">
      <c r="A8471" t="str">
        <f>T("   FR")</f>
        <v xml:space="preserve">   FR</v>
      </c>
      <c r="B8471" t="str">
        <f>T("   France")</f>
        <v xml:space="preserve">   France</v>
      </c>
      <c r="C8471">
        <v>7684481</v>
      </c>
      <c r="D8471">
        <v>756</v>
      </c>
    </row>
    <row r="8472" spans="1:4" x14ac:dyDescent="0.25">
      <c r="A8472" t="str">
        <f>T("   GH")</f>
        <v xml:space="preserve">   GH</v>
      </c>
      <c r="B8472" t="str">
        <f>T("   Ghana")</f>
        <v xml:space="preserve">   Ghana</v>
      </c>
      <c r="C8472">
        <v>574536</v>
      </c>
      <c r="D8472">
        <v>8400</v>
      </c>
    </row>
    <row r="8473" spans="1:4" x14ac:dyDescent="0.25">
      <c r="A8473" t="str">
        <f>T("   Z2")</f>
        <v xml:space="preserve">   Z2</v>
      </c>
      <c r="B8473" t="str">
        <f>T("   Pays non défini")</f>
        <v xml:space="preserve">   Pays non défini</v>
      </c>
      <c r="C8473">
        <v>3946000</v>
      </c>
      <c r="D8473">
        <v>75600</v>
      </c>
    </row>
    <row r="8474" spans="1:4" x14ac:dyDescent="0.25">
      <c r="A8474" t="str">
        <f>T("700991")</f>
        <v>700991</v>
      </c>
      <c r="B8474" t="str">
        <f>T("Miroirs en verre non encadrés (sauf miroirs rétroviseurs pour véhicules, miroirs optiques, optiquement travaillés et miroirs de plus de 100 ans)")</f>
        <v>Miroirs en verre non encadrés (sauf miroirs rétroviseurs pour véhicules, miroirs optiques, optiquement travaillés et miroirs de plus de 100 ans)</v>
      </c>
    </row>
    <row r="8475" spans="1:4" x14ac:dyDescent="0.25">
      <c r="A8475" t="str">
        <f>T("   ZZZ_Monde")</f>
        <v xml:space="preserve">   ZZZ_Monde</v>
      </c>
      <c r="B8475" t="str">
        <f>T("   ZZZ_Monde")</f>
        <v xml:space="preserve">   ZZZ_Monde</v>
      </c>
      <c r="C8475">
        <v>44207272</v>
      </c>
      <c r="D8475">
        <v>116323.14</v>
      </c>
    </row>
    <row r="8476" spans="1:4" x14ac:dyDescent="0.25">
      <c r="A8476" t="str">
        <f>T("   CN")</f>
        <v xml:space="preserve">   CN</v>
      </c>
      <c r="B8476" t="str">
        <f>T("   Chine")</f>
        <v xml:space="preserve">   Chine</v>
      </c>
      <c r="C8476">
        <v>38518834</v>
      </c>
      <c r="D8476">
        <v>114060.14</v>
      </c>
    </row>
    <row r="8477" spans="1:4" x14ac:dyDescent="0.25">
      <c r="A8477" t="str">
        <f>T("   FR")</f>
        <v xml:space="preserve">   FR</v>
      </c>
      <c r="B8477" t="str">
        <f>T("   France")</f>
        <v xml:space="preserve">   France</v>
      </c>
      <c r="C8477">
        <v>218101</v>
      </c>
      <c r="D8477">
        <v>63</v>
      </c>
    </row>
    <row r="8478" spans="1:4" x14ac:dyDescent="0.25">
      <c r="A8478" t="str">
        <f>T("   NG")</f>
        <v xml:space="preserve">   NG</v>
      </c>
      <c r="B8478" t="str">
        <f>T("   Nigéria")</f>
        <v xml:space="preserve">   Nigéria</v>
      </c>
      <c r="C8478">
        <v>46000</v>
      </c>
      <c r="D8478">
        <v>310</v>
      </c>
    </row>
    <row r="8479" spans="1:4" x14ac:dyDescent="0.25">
      <c r="A8479" t="str">
        <f>T("   TG")</f>
        <v xml:space="preserve">   TG</v>
      </c>
      <c r="B8479" t="str">
        <f>T("   Togo")</f>
        <v xml:space="preserve">   Togo</v>
      </c>
      <c r="C8479">
        <v>172879</v>
      </c>
      <c r="D8479">
        <v>860</v>
      </c>
    </row>
    <row r="8480" spans="1:4" x14ac:dyDescent="0.25">
      <c r="A8480" t="str">
        <f>T("   TR")</f>
        <v xml:space="preserve">   TR</v>
      </c>
      <c r="B8480" t="str">
        <f>T("   Turquie")</f>
        <v xml:space="preserve">   Turquie</v>
      </c>
      <c r="C8480">
        <v>5251458</v>
      </c>
      <c r="D8480">
        <v>1030</v>
      </c>
    </row>
    <row r="8481" spans="1:4" x14ac:dyDescent="0.25">
      <c r="A8481" t="str">
        <f>T("700992")</f>
        <v>700992</v>
      </c>
      <c r="B8481" t="str">
        <f>T("Miroirs, en verre encadrés (sauf miroirs rétroviseurs pour véhicules)")</f>
        <v>Miroirs, en verre encadrés (sauf miroirs rétroviseurs pour véhicules)</v>
      </c>
    </row>
    <row r="8482" spans="1:4" x14ac:dyDescent="0.25">
      <c r="A8482" t="str">
        <f>T("   ZZZ_Monde")</f>
        <v xml:space="preserve">   ZZZ_Monde</v>
      </c>
      <c r="B8482" t="str">
        <f>T("   ZZZ_Monde")</f>
        <v xml:space="preserve">   ZZZ_Monde</v>
      </c>
      <c r="C8482">
        <v>16113498</v>
      </c>
      <c r="D8482">
        <v>31601</v>
      </c>
    </row>
    <row r="8483" spans="1:4" x14ac:dyDescent="0.25">
      <c r="A8483" t="str">
        <f>T("   AE")</f>
        <v xml:space="preserve">   AE</v>
      </c>
      <c r="B8483" t="str">
        <f>T("   Emirats Arabes Unis")</f>
        <v xml:space="preserve">   Emirats Arabes Unis</v>
      </c>
      <c r="C8483">
        <v>850305</v>
      </c>
      <c r="D8483">
        <v>2444</v>
      </c>
    </row>
    <row r="8484" spans="1:4" x14ac:dyDescent="0.25">
      <c r="A8484" t="str">
        <f>T("   BE")</f>
        <v xml:space="preserve">   BE</v>
      </c>
      <c r="B8484" t="str">
        <f>T("   Belgique")</f>
        <v xml:space="preserve">   Belgique</v>
      </c>
      <c r="C8484">
        <v>547072</v>
      </c>
      <c r="D8484">
        <v>36</v>
      </c>
    </row>
    <row r="8485" spans="1:4" x14ac:dyDescent="0.25">
      <c r="A8485" t="str">
        <f>T("   CN")</f>
        <v xml:space="preserve">   CN</v>
      </c>
      <c r="B8485" t="str">
        <f>T("   Chine")</f>
        <v xml:space="preserve">   Chine</v>
      </c>
      <c r="C8485">
        <v>4793195</v>
      </c>
      <c r="D8485">
        <v>17732</v>
      </c>
    </row>
    <row r="8486" spans="1:4" x14ac:dyDescent="0.25">
      <c r="A8486" t="str">
        <f>T("   FR")</f>
        <v xml:space="preserve">   FR</v>
      </c>
      <c r="B8486" t="str">
        <f>T("   France")</f>
        <v xml:space="preserve">   France</v>
      </c>
      <c r="C8486">
        <v>5761181</v>
      </c>
      <c r="D8486">
        <v>3395</v>
      </c>
    </row>
    <row r="8487" spans="1:4" x14ac:dyDescent="0.25">
      <c r="A8487" t="str">
        <f>T("   LB")</f>
        <v xml:space="preserve">   LB</v>
      </c>
      <c r="B8487" t="str">
        <f>T("   Liban")</f>
        <v xml:space="preserve">   Liban</v>
      </c>
      <c r="C8487">
        <v>1117399</v>
      </c>
      <c r="D8487">
        <v>1990</v>
      </c>
    </row>
    <row r="8488" spans="1:4" x14ac:dyDescent="0.25">
      <c r="A8488" t="str">
        <f>T("   NL")</f>
        <v xml:space="preserve">   NL</v>
      </c>
      <c r="B8488" t="str">
        <f>T("   Pays-bas")</f>
        <v xml:space="preserve">   Pays-bas</v>
      </c>
      <c r="C8488">
        <v>496686</v>
      </c>
      <c r="D8488">
        <v>148</v>
      </c>
    </row>
    <row r="8489" spans="1:4" x14ac:dyDescent="0.25">
      <c r="A8489" t="str">
        <f>T("   TG")</f>
        <v xml:space="preserve">   TG</v>
      </c>
      <c r="B8489" t="str">
        <f>T("   Togo")</f>
        <v xml:space="preserve">   Togo</v>
      </c>
      <c r="C8489">
        <v>464091</v>
      </c>
      <c r="D8489">
        <v>2991</v>
      </c>
    </row>
    <row r="8490" spans="1:4" x14ac:dyDescent="0.25">
      <c r="A8490" t="str">
        <f>T("   TR")</f>
        <v xml:space="preserve">   TR</v>
      </c>
      <c r="B8490" t="str">
        <f>T("   Turquie")</f>
        <v xml:space="preserve">   Turquie</v>
      </c>
      <c r="C8490">
        <v>2083569</v>
      </c>
      <c r="D8490">
        <v>2865</v>
      </c>
    </row>
    <row r="8491" spans="1:4" x14ac:dyDescent="0.25">
      <c r="A8491" t="str">
        <f>T("701010")</f>
        <v>701010</v>
      </c>
      <c r="B8491" t="str">
        <f>T("AMPOULES EN VERRE")</f>
        <v>AMPOULES EN VERRE</v>
      </c>
    </row>
    <row r="8492" spans="1:4" x14ac:dyDescent="0.25">
      <c r="A8492" t="str">
        <f>T("   ZZZ_Monde")</f>
        <v xml:space="preserve">   ZZZ_Monde</v>
      </c>
      <c r="B8492" t="str">
        <f>T("   ZZZ_Monde")</f>
        <v xml:space="preserve">   ZZZ_Monde</v>
      </c>
      <c r="C8492">
        <v>12430449</v>
      </c>
      <c r="D8492">
        <v>29901</v>
      </c>
    </row>
    <row r="8493" spans="1:4" x14ac:dyDescent="0.25">
      <c r="A8493" t="str">
        <f>T("   CN")</f>
        <v xml:space="preserve">   CN</v>
      </c>
      <c r="B8493" t="str">
        <f>T("   Chine")</f>
        <v xml:space="preserve">   Chine</v>
      </c>
      <c r="C8493">
        <v>30199</v>
      </c>
      <c r="D8493">
        <v>100</v>
      </c>
    </row>
    <row r="8494" spans="1:4" x14ac:dyDescent="0.25">
      <c r="A8494" t="str">
        <f>T("   SE")</f>
        <v xml:space="preserve">   SE</v>
      </c>
      <c r="B8494" t="str">
        <f>T("   Suède")</f>
        <v xml:space="preserve">   Suède</v>
      </c>
      <c r="C8494">
        <v>24225</v>
      </c>
      <c r="D8494">
        <v>1</v>
      </c>
    </row>
    <row r="8495" spans="1:4" x14ac:dyDescent="0.25">
      <c r="A8495" t="str">
        <f>T("   TG")</f>
        <v xml:space="preserve">   TG</v>
      </c>
      <c r="B8495" t="str">
        <f>T("   Togo")</f>
        <v xml:space="preserve">   Togo</v>
      </c>
      <c r="C8495">
        <v>12376025</v>
      </c>
      <c r="D8495">
        <v>29800</v>
      </c>
    </row>
    <row r="8496" spans="1:4" x14ac:dyDescent="0.25">
      <c r="A8496" t="str">
        <f>T("701020")</f>
        <v>701020</v>
      </c>
      <c r="B8496" t="str">
        <f>T("Bouchons, couvercles et autres dispositifs de fermeture en verre")</f>
        <v>Bouchons, couvercles et autres dispositifs de fermeture en verre</v>
      </c>
    </row>
    <row r="8497" spans="1:4" x14ac:dyDescent="0.25">
      <c r="A8497" t="str">
        <f>T("   ZZZ_Monde")</f>
        <v xml:space="preserve">   ZZZ_Monde</v>
      </c>
      <c r="B8497" t="str">
        <f>T("   ZZZ_Monde")</f>
        <v xml:space="preserve">   ZZZ_Monde</v>
      </c>
      <c r="C8497">
        <v>1034806</v>
      </c>
      <c r="D8497">
        <v>5500</v>
      </c>
    </row>
    <row r="8498" spans="1:4" x14ac:dyDescent="0.25">
      <c r="A8498" t="str">
        <f>T("   CN")</f>
        <v xml:space="preserve">   CN</v>
      </c>
      <c r="B8498" t="str">
        <f>T("   Chine")</f>
        <v xml:space="preserve">   Chine</v>
      </c>
      <c r="C8498">
        <v>1034806</v>
      </c>
      <c r="D8498">
        <v>5500</v>
      </c>
    </row>
    <row r="8499" spans="1:4" x14ac:dyDescent="0.25">
      <c r="A8499" t="str">
        <f>T("701090")</f>
        <v>701090</v>
      </c>
      <c r="B8499" t="str">
        <f>T("Bonbonnes, bouteilles, flacons, bocaux, pots, emballages tubulaires et autres récipients en verre pour le transport ou l'emballage commercial et bocaux à conserves en verre (sauf ampoules, bouteilles isolantes et récipients dont l'isolation est assurée pa")</f>
        <v>Bonbonnes, bouteilles, flacons, bocaux, pots, emballages tubulaires et autres récipients en verre pour le transport ou l'emballage commercial et bocaux à conserves en verre (sauf ampoules, bouteilles isolantes et récipients dont l'isolation est assurée pa</v>
      </c>
    </row>
    <row r="8500" spans="1:4" x14ac:dyDescent="0.25">
      <c r="A8500" t="str">
        <f>T("   ZZZ_Monde")</f>
        <v xml:space="preserve">   ZZZ_Monde</v>
      </c>
      <c r="B8500" t="str">
        <f>T("   ZZZ_Monde")</f>
        <v xml:space="preserve">   ZZZ_Monde</v>
      </c>
      <c r="C8500">
        <v>2644878793</v>
      </c>
      <c r="D8500">
        <v>6246551</v>
      </c>
    </row>
    <row r="8501" spans="1:4" x14ac:dyDescent="0.25">
      <c r="A8501" t="str">
        <f>T("   AO")</f>
        <v xml:space="preserve">   AO</v>
      </c>
      <c r="B8501" t="str">
        <f>T("   Angola")</f>
        <v xml:space="preserve">   Angola</v>
      </c>
      <c r="C8501">
        <v>341508925</v>
      </c>
      <c r="D8501">
        <v>793868</v>
      </c>
    </row>
    <row r="8502" spans="1:4" x14ac:dyDescent="0.25">
      <c r="A8502" t="str">
        <f>T("   BE")</f>
        <v xml:space="preserve">   BE</v>
      </c>
      <c r="B8502" t="str">
        <f>T("   Belgique")</f>
        <v xml:space="preserve">   Belgique</v>
      </c>
      <c r="C8502">
        <v>2330248</v>
      </c>
      <c r="D8502">
        <v>3510</v>
      </c>
    </row>
    <row r="8503" spans="1:4" x14ac:dyDescent="0.25">
      <c r="A8503" t="str">
        <f>T("   CH")</f>
        <v xml:space="preserve">   CH</v>
      </c>
      <c r="B8503" t="str">
        <f>T("   Suisse")</f>
        <v xml:space="preserve">   Suisse</v>
      </c>
      <c r="C8503">
        <v>17248508</v>
      </c>
      <c r="D8503">
        <v>37346</v>
      </c>
    </row>
    <row r="8504" spans="1:4" x14ac:dyDescent="0.25">
      <c r="A8504" t="str">
        <f>T("   CM")</f>
        <v xml:space="preserve">   CM</v>
      </c>
      <c r="B8504" t="str">
        <f>T("   Cameroun")</f>
        <v xml:space="preserve">   Cameroun</v>
      </c>
      <c r="C8504">
        <v>540090626</v>
      </c>
      <c r="D8504">
        <v>1158409</v>
      </c>
    </row>
    <row r="8505" spans="1:4" x14ac:dyDescent="0.25">
      <c r="A8505" t="str">
        <f>T("   CN")</f>
        <v xml:space="preserve">   CN</v>
      </c>
      <c r="B8505" t="str">
        <f>T("   Chine")</f>
        <v xml:space="preserve">   Chine</v>
      </c>
      <c r="C8505">
        <v>1349357</v>
      </c>
      <c r="D8505">
        <v>1985</v>
      </c>
    </row>
    <row r="8506" spans="1:4" x14ac:dyDescent="0.25">
      <c r="A8506" t="str">
        <f>T("   ES")</f>
        <v xml:space="preserve">   ES</v>
      </c>
      <c r="B8506" t="str">
        <f>T("   Espagne")</f>
        <v xml:space="preserve">   Espagne</v>
      </c>
      <c r="C8506">
        <v>959021840</v>
      </c>
      <c r="D8506">
        <v>2366489</v>
      </c>
    </row>
    <row r="8507" spans="1:4" x14ac:dyDescent="0.25">
      <c r="A8507" t="str">
        <f>T("   FR")</f>
        <v xml:space="preserve">   FR</v>
      </c>
      <c r="B8507" t="str">
        <f>T("   France")</f>
        <v xml:space="preserve">   France</v>
      </c>
      <c r="C8507">
        <v>225729785</v>
      </c>
      <c r="D8507">
        <v>754533</v>
      </c>
    </row>
    <row r="8508" spans="1:4" x14ac:dyDescent="0.25">
      <c r="A8508" t="str">
        <f>T("   GH")</f>
        <v xml:space="preserve">   GH</v>
      </c>
      <c r="B8508" t="str">
        <f>T("   Ghana")</f>
        <v xml:space="preserve">   Ghana</v>
      </c>
      <c r="C8508">
        <v>164727</v>
      </c>
      <c r="D8508">
        <v>500</v>
      </c>
    </row>
    <row r="8509" spans="1:4" x14ac:dyDescent="0.25">
      <c r="A8509" t="str">
        <f>T("   IE")</f>
        <v xml:space="preserve">   IE</v>
      </c>
      <c r="B8509" t="str">
        <f>T("   Irlande")</f>
        <v xml:space="preserve">   Irlande</v>
      </c>
      <c r="C8509">
        <v>393952911</v>
      </c>
      <c r="D8509">
        <v>810329</v>
      </c>
    </row>
    <row r="8510" spans="1:4" x14ac:dyDescent="0.25">
      <c r="A8510" t="str">
        <f>T("   IT")</f>
        <v xml:space="preserve">   IT</v>
      </c>
      <c r="B8510" t="str">
        <f>T("   Italie")</f>
        <v xml:space="preserve">   Italie</v>
      </c>
      <c r="C8510">
        <v>655960</v>
      </c>
      <c r="D8510">
        <v>180</v>
      </c>
    </row>
    <row r="8511" spans="1:4" x14ac:dyDescent="0.25">
      <c r="A8511" t="str">
        <f>T("   JM")</f>
        <v xml:space="preserve">   JM</v>
      </c>
      <c r="B8511" t="str">
        <f>T("   Jamaïque")</f>
        <v xml:space="preserve">   Jamaïque</v>
      </c>
      <c r="C8511">
        <v>500000</v>
      </c>
      <c r="D8511">
        <v>524</v>
      </c>
    </row>
    <row r="8512" spans="1:4" x14ac:dyDescent="0.25">
      <c r="A8512" t="str">
        <f>T("   MA")</f>
        <v xml:space="preserve">   MA</v>
      </c>
      <c r="B8512" t="str">
        <f>T("   Maroc")</f>
        <v xml:space="preserve">   Maroc</v>
      </c>
      <c r="C8512">
        <v>4932819</v>
      </c>
      <c r="D8512">
        <v>11703</v>
      </c>
    </row>
    <row r="8513" spans="1:4" x14ac:dyDescent="0.25">
      <c r="A8513" t="str">
        <f>T("   NG")</f>
        <v xml:space="preserve">   NG</v>
      </c>
      <c r="B8513" t="str">
        <f>T("   Nigéria")</f>
        <v xml:space="preserve">   Nigéria</v>
      </c>
      <c r="C8513">
        <v>97666540</v>
      </c>
      <c r="D8513">
        <v>186160</v>
      </c>
    </row>
    <row r="8514" spans="1:4" x14ac:dyDescent="0.25">
      <c r="A8514" t="str">
        <f>T("   PL")</f>
        <v xml:space="preserve">   PL</v>
      </c>
      <c r="B8514" t="str">
        <f>T("   Pologne")</f>
        <v xml:space="preserve">   Pologne</v>
      </c>
      <c r="C8514">
        <v>58499825</v>
      </c>
      <c r="D8514">
        <v>118215</v>
      </c>
    </row>
    <row r="8515" spans="1:4" x14ac:dyDescent="0.25">
      <c r="A8515" t="str">
        <f>T("   TG")</f>
        <v xml:space="preserve">   TG</v>
      </c>
      <c r="B8515" t="str">
        <f>T("   Togo")</f>
        <v xml:space="preserve">   Togo</v>
      </c>
      <c r="C8515">
        <v>1226722</v>
      </c>
      <c r="D8515">
        <v>2800</v>
      </c>
    </row>
    <row r="8516" spans="1:4" x14ac:dyDescent="0.25">
      <c r="A8516" t="str">
        <f>T("701091")</f>
        <v>701091</v>
      </c>
      <c r="B8516" t="str">
        <f>T("BONBONNES, BOUTEILLES, FLACONS, BOCAUX, POTS, EMBALLAGES TUBULAIRES ET AUTRES RÉCIPIENTS EN VERRE POUR LE TRANSPORT OU L'EMBALLAGE COMMERCIAL ET BOCAUX A CONSERVES EN VERRE, D'UNE CONTENANCE &gt; 1 L (SAUF AMPOULES, BOUTEILLES ISOLANTES ET RÉCIPIENTS DONT L'")</f>
        <v>BONBONNES, BOUTEILLES, FLACONS, BOCAUX, POTS, EMBALLAGES TUBULAIRES ET AUTRES RÉCIPIENTS EN VERRE POUR LE TRANSPORT OU L'EMBALLAGE COMMERCIAL ET BOCAUX A CONSERVES EN VERRE, D'UNE CONTENANCE &gt; 1 L (SAUF AMPOULES, BOUTEILLES ISOLANTES ET RÉCIPIENTS DONT L'</v>
      </c>
    </row>
    <row r="8517" spans="1:4" x14ac:dyDescent="0.25">
      <c r="A8517" t="str">
        <f>T("   ZZZ_Monde")</f>
        <v xml:space="preserve">   ZZZ_Monde</v>
      </c>
      <c r="B8517" t="str">
        <f>T("   ZZZ_Monde")</f>
        <v xml:space="preserve">   ZZZ_Monde</v>
      </c>
      <c r="C8517">
        <v>43635</v>
      </c>
      <c r="D8517">
        <v>500</v>
      </c>
    </row>
    <row r="8518" spans="1:4" x14ac:dyDescent="0.25">
      <c r="A8518" t="str">
        <f>T("   TG")</f>
        <v xml:space="preserve">   TG</v>
      </c>
      <c r="B8518" t="str">
        <f>T("   Togo")</f>
        <v xml:space="preserve">   Togo</v>
      </c>
      <c r="C8518">
        <v>43635</v>
      </c>
      <c r="D8518">
        <v>500</v>
      </c>
    </row>
    <row r="8519" spans="1:4" x14ac:dyDescent="0.25">
      <c r="A8519" t="str">
        <f>T("701092")</f>
        <v>701092</v>
      </c>
      <c r="B8519" t="str">
        <f>T("BONBONNES, BOUTEILLES, FLACONS, BOCAUX, POTS, EMBALLAGES TUBULAIRES ET AUTRES RÉCIPIENTS EN VERRE POUR LE TRANSPORT OU L'EMBALLAGE COMMERCIAL ET BOCAUX A CONSERVES EN VERRE, D'UNE CONTENANCE &gt; 0,33 L MAIS &lt;= 1 L (SAUF AMPOULES, BOUTEILLES ISOLANTES ET RÉC")</f>
        <v>BONBONNES, BOUTEILLES, FLACONS, BOCAUX, POTS, EMBALLAGES TUBULAIRES ET AUTRES RÉCIPIENTS EN VERRE POUR LE TRANSPORT OU L'EMBALLAGE COMMERCIAL ET BOCAUX A CONSERVES EN VERRE, D'UNE CONTENANCE &gt; 0,33 L MAIS &lt;= 1 L (SAUF AMPOULES, BOUTEILLES ISOLANTES ET RÉC</v>
      </c>
    </row>
    <row r="8520" spans="1:4" x14ac:dyDescent="0.25">
      <c r="A8520" t="str">
        <f>T("   ZZZ_Monde")</f>
        <v xml:space="preserve">   ZZZ_Monde</v>
      </c>
      <c r="B8520" t="str">
        <f>T("   ZZZ_Monde")</f>
        <v xml:space="preserve">   ZZZ_Monde</v>
      </c>
      <c r="C8520">
        <v>8513185</v>
      </c>
      <c r="D8520">
        <v>208570</v>
      </c>
    </row>
    <row r="8521" spans="1:4" x14ac:dyDescent="0.25">
      <c r="A8521" t="str">
        <f>T("   NG")</f>
        <v xml:space="preserve">   NG</v>
      </c>
      <c r="B8521" t="str">
        <f>T("   Nigéria")</f>
        <v xml:space="preserve">   Nigéria</v>
      </c>
      <c r="C8521">
        <v>8455000</v>
      </c>
      <c r="D8521">
        <v>208250</v>
      </c>
    </row>
    <row r="8522" spans="1:4" x14ac:dyDescent="0.25">
      <c r="A8522" t="str">
        <f>T("   TG")</f>
        <v xml:space="preserve">   TG</v>
      </c>
      <c r="B8522" t="str">
        <f>T("   Togo")</f>
        <v xml:space="preserve">   Togo</v>
      </c>
      <c r="C8522">
        <v>58185</v>
      </c>
      <c r="D8522">
        <v>320</v>
      </c>
    </row>
    <row r="8523" spans="1:4" x14ac:dyDescent="0.25">
      <c r="A8523" t="str">
        <f>T("701110")</f>
        <v>701110</v>
      </c>
      <c r="B8523" t="str">
        <f>T("Ampoules en verre, ouvertes, et enveloppes tubulaires en verre, ouvertes, et leurs parties en verre, sans garnitures, pour l'éclairage électrique")</f>
        <v>Ampoules en verre, ouvertes, et enveloppes tubulaires en verre, ouvertes, et leurs parties en verre, sans garnitures, pour l'éclairage électrique</v>
      </c>
    </row>
    <row r="8524" spans="1:4" x14ac:dyDescent="0.25">
      <c r="A8524" t="str">
        <f>T("   ZZZ_Monde")</f>
        <v xml:space="preserve">   ZZZ_Monde</v>
      </c>
      <c r="B8524" t="str">
        <f>T("   ZZZ_Monde")</f>
        <v xml:space="preserve">   ZZZ_Monde</v>
      </c>
      <c r="C8524">
        <v>15291011</v>
      </c>
      <c r="D8524">
        <v>40956</v>
      </c>
    </row>
    <row r="8525" spans="1:4" x14ac:dyDescent="0.25">
      <c r="A8525" t="str">
        <f>T("   CN")</f>
        <v xml:space="preserve">   CN</v>
      </c>
      <c r="B8525" t="str">
        <f>T("   Chine")</f>
        <v xml:space="preserve">   Chine</v>
      </c>
      <c r="C8525">
        <v>4661011</v>
      </c>
      <c r="D8525">
        <v>13596</v>
      </c>
    </row>
    <row r="8526" spans="1:4" x14ac:dyDescent="0.25">
      <c r="A8526" t="str">
        <f>T("   GH")</f>
        <v xml:space="preserve">   GH</v>
      </c>
      <c r="B8526" t="str">
        <f>T("   Ghana")</f>
        <v xml:space="preserve">   Ghana</v>
      </c>
      <c r="C8526">
        <v>6700000</v>
      </c>
      <c r="D8526">
        <v>11500</v>
      </c>
    </row>
    <row r="8527" spans="1:4" x14ac:dyDescent="0.25">
      <c r="A8527" t="str">
        <f>T("   TG")</f>
        <v xml:space="preserve">   TG</v>
      </c>
      <c r="B8527" t="str">
        <f>T("   Togo")</f>
        <v xml:space="preserve">   Togo</v>
      </c>
      <c r="C8527">
        <v>3930000</v>
      </c>
      <c r="D8527">
        <v>15860</v>
      </c>
    </row>
    <row r="8528" spans="1:4" x14ac:dyDescent="0.25">
      <c r="A8528" t="str">
        <f>T("701190")</f>
        <v>701190</v>
      </c>
      <c r="B8528" t="str">
        <f>T("Ampoules en verre, ouvertes, et enveloppes tubulaires en verre, ouvertes, et leurs parties en verre, sans garnitures, destinées à des lampes électriques ou simil. (autres que pour l'éclairage électrique ou pour tubes cathodique)")</f>
        <v>Ampoules en verre, ouvertes, et enveloppes tubulaires en verre, ouvertes, et leurs parties en verre, sans garnitures, destinées à des lampes électriques ou simil. (autres que pour l'éclairage électrique ou pour tubes cathodique)</v>
      </c>
    </row>
    <row r="8529" spans="1:4" x14ac:dyDescent="0.25">
      <c r="A8529" t="str">
        <f>T("   ZZZ_Monde")</f>
        <v xml:space="preserve">   ZZZ_Monde</v>
      </c>
      <c r="B8529" t="str">
        <f>T("   ZZZ_Monde")</f>
        <v xml:space="preserve">   ZZZ_Monde</v>
      </c>
      <c r="C8529">
        <v>12280449</v>
      </c>
      <c r="D8529">
        <v>14934</v>
      </c>
    </row>
    <row r="8530" spans="1:4" x14ac:dyDescent="0.25">
      <c r="A8530" t="str">
        <f>T("   CN")</f>
        <v xml:space="preserve">   CN</v>
      </c>
      <c r="B8530" t="str">
        <f>T("   Chine")</f>
        <v xml:space="preserve">   Chine</v>
      </c>
      <c r="C8530">
        <v>11945662</v>
      </c>
      <c r="D8530">
        <v>14032</v>
      </c>
    </row>
    <row r="8531" spans="1:4" x14ac:dyDescent="0.25">
      <c r="A8531" t="str">
        <f>T("   FR")</f>
        <v xml:space="preserve">   FR</v>
      </c>
      <c r="B8531" t="str">
        <f>T("   France")</f>
        <v xml:space="preserve">   France</v>
      </c>
      <c r="C8531">
        <v>234787</v>
      </c>
      <c r="D8531">
        <v>882</v>
      </c>
    </row>
    <row r="8532" spans="1:4" x14ac:dyDescent="0.25">
      <c r="A8532" t="str">
        <f>T("   HK")</f>
        <v xml:space="preserve">   HK</v>
      </c>
      <c r="B8532" t="str">
        <f>T("   Hong-Kong")</f>
        <v xml:space="preserve">   Hong-Kong</v>
      </c>
      <c r="C8532">
        <v>100000</v>
      </c>
      <c r="D8532">
        <v>20</v>
      </c>
    </row>
    <row r="8533" spans="1:4" x14ac:dyDescent="0.25">
      <c r="A8533" t="str">
        <f>T("701200")</f>
        <v>701200</v>
      </c>
      <c r="B8533" t="str">
        <f>T("Ampoules en verre pour bouteilles isolantes ou pour autres récipients isothermiques, dont l'isolation est assurée par le vide")</f>
        <v>Ampoules en verre pour bouteilles isolantes ou pour autres récipients isothermiques, dont l'isolation est assurée par le vide</v>
      </c>
    </row>
    <row r="8534" spans="1:4" x14ac:dyDescent="0.25">
      <c r="A8534" t="str">
        <f>T("   ZZZ_Monde")</f>
        <v xml:space="preserve">   ZZZ_Monde</v>
      </c>
      <c r="B8534" t="str">
        <f>T("   ZZZ_Monde")</f>
        <v xml:space="preserve">   ZZZ_Monde</v>
      </c>
      <c r="C8534">
        <v>1797331</v>
      </c>
      <c r="D8534">
        <v>2809</v>
      </c>
    </row>
    <row r="8535" spans="1:4" x14ac:dyDescent="0.25">
      <c r="A8535" t="str">
        <f>T("   CN")</f>
        <v xml:space="preserve">   CN</v>
      </c>
      <c r="B8535" t="str">
        <f>T("   Chine")</f>
        <v xml:space="preserve">   Chine</v>
      </c>
      <c r="C8535">
        <v>1797331</v>
      </c>
      <c r="D8535">
        <v>2809</v>
      </c>
    </row>
    <row r="8536" spans="1:4" x14ac:dyDescent="0.25">
      <c r="A8536" t="str">
        <f>T("701329")</f>
        <v>701329</v>
      </c>
      <c r="B8536" t="str">
        <f>T("Verres à boire (autres qu'en vitrocérame, autres qu'en cristal au plomb)")</f>
        <v>Verres à boire (autres qu'en vitrocérame, autres qu'en cristal au plomb)</v>
      </c>
    </row>
    <row r="8537" spans="1:4" x14ac:dyDescent="0.25">
      <c r="A8537" t="str">
        <f>T("   ZZZ_Monde")</f>
        <v xml:space="preserve">   ZZZ_Monde</v>
      </c>
      <c r="B8537" t="str">
        <f>T("   ZZZ_Monde")</f>
        <v xml:space="preserve">   ZZZ_Monde</v>
      </c>
      <c r="C8537">
        <v>187540592</v>
      </c>
      <c r="D8537">
        <v>460157.46</v>
      </c>
    </row>
    <row r="8538" spans="1:4" x14ac:dyDescent="0.25">
      <c r="A8538" t="str">
        <f>T("   AE")</f>
        <v xml:space="preserve">   AE</v>
      </c>
      <c r="B8538" t="str">
        <f>T("   Emirats Arabes Unis")</f>
        <v xml:space="preserve">   Emirats Arabes Unis</v>
      </c>
      <c r="C8538">
        <v>4363324</v>
      </c>
      <c r="D8538">
        <v>8479</v>
      </c>
    </row>
    <row r="8539" spans="1:4" x14ac:dyDescent="0.25">
      <c r="A8539" t="str">
        <f>T("   BE")</f>
        <v xml:space="preserve">   BE</v>
      </c>
      <c r="B8539" t="str">
        <f>T("   Belgique")</f>
        <v xml:space="preserve">   Belgique</v>
      </c>
      <c r="C8539">
        <v>4820749</v>
      </c>
      <c r="D8539">
        <v>1634</v>
      </c>
    </row>
    <row r="8540" spans="1:4" x14ac:dyDescent="0.25">
      <c r="A8540" t="str">
        <f>T("   CI")</f>
        <v xml:space="preserve">   CI</v>
      </c>
      <c r="B8540" t="str">
        <f>T("   Côte d'Ivoire")</f>
        <v xml:space="preserve">   Côte d'Ivoire</v>
      </c>
      <c r="C8540">
        <v>26238</v>
      </c>
      <c r="D8540">
        <v>40</v>
      </c>
    </row>
    <row r="8541" spans="1:4" x14ac:dyDescent="0.25">
      <c r="A8541" t="str">
        <f>T("   CN")</f>
        <v xml:space="preserve">   CN</v>
      </c>
      <c r="B8541" t="str">
        <f>T("   Chine")</f>
        <v xml:space="preserve">   Chine</v>
      </c>
      <c r="C8541">
        <v>85535463</v>
      </c>
      <c r="D8541">
        <v>295707</v>
      </c>
    </row>
    <row r="8542" spans="1:4" x14ac:dyDescent="0.25">
      <c r="A8542" t="str">
        <f>T("   CY")</f>
        <v xml:space="preserve">   CY</v>
      </c>
      <c r="B8542" t="str">
        <f>T("   Chypre")</f>
        <v xml:space="preserve">   Chypre</v>
      </c>
      <c r="C8542">
        <v>1102662</v>
      </c>
      <c r="D8542">
        <v>100</v>
      </c>
    </row>
    <row r="8543" spans="1:4" x14ac:dyDescent="0.25">
      <c r="A8543" t="str">
        <f>T("   DE")</f>
        <v xml:space="preserve">   DE</v>
      </c>
      <c r="B8543" t="str">
        <f>T("   Allemagne")</f>
        <v xml:space="preserve">   Allemagne</v>
      </c>
      <c r="C8543">
        <v>3813462</v>
      </c>
      <c r="D8543">
        <v>1656</v>
      </c>
    </row>
    <row r="8544" spans="1:4" x14ac:dyDescent="0.25">
      <c r="A8544" t="str">
        <f>T("   FR")</f>
        <v xml:space="preserve">   FR</v>
      </c>
      <c r="B8544" t="str">
        <f>T("   France")</f>
        <v xml:space="preserve">   France</v>
      </c>
      <c r="C8544">
        <v>21714943</v>
      </c>
      <c r="D8544">
        <v>8900</v>
      </c>
    </row>
    <row r="8545" spans="1:4" x14ac:dyDescent="0.25">
      <c r="A8545" t="str">
        <f>T("   GH")</f>
        <v xml:space="preserve">   GH</v>
      </c>
      <c r="B8545" t="str">
        <f>T("   Ghana")</f>
        <v xml:space="preserve">   Ghana</v>
      </c>
      <c r="C8545">
        <v>5511656</v>
      </c>
      <c r="D8545">
        <v>7896.64</v>
      </c>
    </row>
    <row r="8546" spans="1:4" x14ac:dyDescent="0.25">
      <c r="A8546" t="str">
        <f>T("   HK")</f>
        <v xml:space="preserve">   HK</v>
      </c>
      <c r="B8546" t="str">
        <f>T("   Hong-Kong")</f>
        <v xml:space="preserve">   Hong-Kong</v>
      </c>
      <c r="C8546">
        <v>19884329</v>
      </c>
      <c r="D8546">
        <v>20353</v>
      </c>
    </row>
    <row r="8547" spans="1:4" x14ac:dyDescent="0.25">
      <c r="A8547" t="str">
        <f>T("   ID")</f>
        <v xml:space="preserve">   ID</v>
      </c>
      <c r="B8547" t="str">
        <f>T("   Indonésie")</f>
        <v xml:space="preserve">   Indonésie</v>
      </c>
      <c r="C8547">
        <v>1738487</v>
      </c>
      <c r="D8547">
        <v>6366</v>
      </c>
    </row>
    <row r="8548" spans="1:4" x14ac:dyDescent="0.25">
      <c r="A8548" t="str">
        <f>T("   IT")</f>
        <v xml:space="preserve">   IT</v>
      </c>
      <c r="B8548" t="str">
        <f>T("   Italie")</f>
        <v xml:space="preserve">   Italie</v>
      </c>
      <c r="C8548">
        <v>6050580</v>
      </c>
      <c r="D8548">
        <v>11120</v>
      </c>
    </row>
    <row r="8549" spans="1:4" x14ac:dyDescent="0.25">
      <c r="A8549" t="str">
        <f>T("   LB")</f>
        <v xml:space="preserve">   LB</v>
      </c>
      <c r="B8549" t="str">
        <f>T("   Liban")</f>
        <v xml:space="preserve">   Liban</v>
      </c>
      <c r="C8549">
        <v>7465994</v>
      </c>
      <c r="D8549">
        <v>15549.61</v>
      </c>
    </row>
    <row r="8550" spans="1:4" x14ac:dyDescent="0.25">
      <c r="A8550" t="str">
        <f>T("   NG")</f>
        <v xml:space="preserve">   NG</v>
      </c>
      <c r="B8550" t="str">
        <f>T("   Nigéria")</f>
        <v xml:space="preserve">   Nigéria</v>
      </c>
      <c r="C8550">
        <v>19001020</v>
      </c>
      <c r="D8550">
        <v>48605</v>
      </c>
    </row>
    <row r="8551" spans="1:4" x14ac:dyDescent="0.25">
      <c r="A8551" t="str">
        <f>T("   NL")</f>
        <v xml:space="preserve">   NL</v>
      </c>
      <c r="B8551" t="str">
        <f>T("   Pays-bas")</f>
        <v xml:space="preserve">   Pays-bas</v>
      </c>
      <c r="C8551">
        <v>63629</v>
      </c>
      <c r="D8551">
        <v>198</v>
      </c>
    </row>
    <row r="8552" spans="1:4" x14ac:dyDescent="0.25">
      <c r="A8552" t="str">
        <f>T("   TG")</f>
        <v xml:space="preserve">   TG</v>
      </c>
      <c r="B8552" t="str">
        <f>T("   Togo")</f>
        <v xml:space="preserve">   Togo</v>
      </c>
      <c r="C8552">
        <v>772845</v>
      </c>
      <c r="D8552">
        <v>1368.21</v>
      </c>
    </row>
    <row r="8553" spans="1:4" x14ac:dyDescent="0.25">
      <c r="A8553" t="str">
        <f>T("   TR")</f>
        <v xml:space="preserve">   TR</v>
      </c>
      <c r="B8553" t="str">
        <f>T("   Turquie")</f>
        <v xml:space="preserve">   Turquie</v>
      </c>
      <c r="C8553">
        <v>289048</v>
      </c>
      <c r="D8553">
        <v>18097</v>
      </c>
    </row>
    <row r="8554" spans="1:4" x14ac:dyDescent="0.25">
      <c r="A8554" t="str">
        <f>T("   US")</f>
        <v xml:space="preserve">   US</v>
      </c>
      <c r="B8554" t="str">
        <f>T("   Etats-Unis")</f>
        <v xml:space="preserve">   Etats-Unis</v>
      </c>
      <c r="C8554">
        <v>5386163</v>
      </c>
      <c r="D8554">
        <v>14088</v>
      </c>
    </row>
    <row r="8555" spans="1:4" x14ac:dyDescent="0.25">
      <c r="A8555" t="str">
        <f>T("701332")</f>
        <v>701332</v>
      </c>
      <c r="B8555" t="str">
        <f>T("Objets en verre, pour le service de la table ou la cuisine, d'un coefficient de dilatation linéaire &lt;= 5 x 10-6 par kelvin entre 0°C et 300°C (autres que les articles en vitrocérame ou en cristal de plomb, les perles de verre et articles simil. de verrote")</f>
        <v>Objets en verre, pour le service de la table ou la cuisine, d'un coefficient de dilatation linéaire &lt;= 5 x 10-6 par kelvin entre 0°C et 300°C (autres que les articles en vitrocérame ou en cristal de plomb, les perles de verre et articles simil. de verrote</v>
      </c>
    </row>
    <row r="8556" spans="1:4" x14ac:dyDescent="0.25">
      <c r="A8556" t="str">
        <f>T("   ZZZ_Monde")</f>
        <v xml:space="preserve">   ZZZ_Monde</v>
      </c>
      <c r="B8556" t="str">
        <f>T("   ZZZ_Monde")</f>
        <v xml:space="preserve">   ZZZ_Monde</v>
      </c>
      <c r="C8556">
        <v>1019302</v>
      </c>
      <c r="D8556">
        <v>147</v>
      </c>
    </row>
    <row r="8557" spans="1:4" x14ac:dyDescent="0.25">
      <c r="A8557" t="str">
        <f>T("   FR")</f>
        <v xml:space="preserve">   FR</v>
      </c>
      <c r="B8557" t="str">
        <f>T("   France")</f>
        <v xml:space="preserve">   France</v>
      </c>
      <c r="C8557">
        <v>1019302</v>
      </c>
      <c r="D8557">
        <v>147</v>
      </c>
    </row>
    <row r="8558" spans="1:4" x14ac:dyDescent="0.25">
      <c r="A8558" t="str">
        <f>T("701339")</f>
        <v>701339</v>
      </c>
      <c r="B8558" t="str">
        <f>T("Objets en verre, pour le service de la table ou pour la cuisine (autres qu'à coefficient de dilatation linéaire &lt;= 5 x 10-6 par kelvin entre 0°C et 300°C, sauf articles en vitrocérame ou en cristal au plomb, perles de verre et articles simil. de verroteri")</f>
        <v>Objets en verre, pour le service de la table ou pour la cuisine (autres qu'à coefficient de dilatation linéaire &lt;= 5 x 10-6 par kelvin entre 0°C et 300°C, sauf articles en vitrocérame ou en cristal au plomb, perles de verre et articles simil. de verroteri</v>
      </c>
    </row>
    <row r="8559" spans="1:4" x14ac:dyDescent="0.25">
      <c r="A8559" t="str">
        <f>T("   ZZZ_Monde")</f>
        <v xml:space="preserve">   ZZZ_Monde</v>
      </c>
      <c r="B8559" t="str">
        <f>T("   ZZZ_Monde")</f>
        <v xml:space="preserve">   ZZZ_Monde</v>
      </c>
      <c r="C8559">
        <v>47395779</v>
      </c>
      <c r="D8559">
        <v>49537</v>
      </c>
    </row>
    <row r="8560" spans="1:4" x14ac:dyDescent="0.25">
      <c r="A8560" t="str">
        <f>T("   AE")</f>
        <v xml:space="preserve">   AE</v>
      </c>
      <c r="B8560" t="str">
        <f>T("   Emirats Arabes Unis")</f>
        <v xml:space="preserve">   Emirats Arabes Unis</v>
      </c>
      <c r="C8560">
        <v>5436</v>
      </c>
      <c r="D8560">
        <v>16</v>
      </c>
    </row>
    <row r="8561" spans="1:4" x14ac:dyDescent="0.25">
      <c r="A8561" t="str">
        <f>T("   CN")</f>
        <v xml:space="preserve">   CN</v>
      </c>
      <c r="B8561" t="str">
        <f>T("   Chine")</f>
        <v xml:space="preserve">   Chine</v>
      </c>
      <c r="C8561">
        <v>12083564</v>
      </c>
      <c r="D8561">
        <v>33255</v>
      </c>
    </row>
    <row r="8562" spans="1:4" x14ac:dyDescent="0.25">
      <c r="A8562" t="str">
        <f>T("   ES")</f>
        <v xml:space="preserve">   ES</v>
      </c>
      <c r="B8562" t="str">
        <f>T("   Espagne")</f>
        <v xml:space="preserve">   Espagne</v>
      </c>
      <c r="C8562">
        <v>481475</v>
      </c>
      <c r="D8562">
        <v>227</v>
      </c>
    </row>
    <row r="8563" spans="1:4" x14ac:dyDescent="0.25">
      <c r="A8563" t="str">
        <f>T("   FR")</f>
        <v xml:space="preserve">   FR</v>
      </c>
      <c r="B8563" t="str">
        <f>T("   France")</f>
        <v xml:space="preserve">   France</v>
      </c>
      <c r="C8563">
        <v>31481709</v>
      </c>
      <c r="D8563">
        <v>11017</v>
      </c>
    </row>
    <row r="8564" spans="1:4" x14ac:dyDescent="0.25">
      <c r="A8564" t="str">
        <f>T("   GB")</f>
        <v xml:space="preserve">   GB</v>
      </c>
      <c r="B8564" t="str">
        <f>T("   Royaume-Uni")</f>
        <v xml:space="preserve">   Royaume-Uni</v>
      </c>
      <c r="C8564">
        <v>894665</v>
      </c>
      <c r="D8564">
        <v>533</v>
      </c>
    </row>
    <row r="8565" spans="1:4" x14ac:dyDescent="0.25">
      <c r="A8565" t="str">
        <f>T("   IR")</f>
        <v xml:space="preserve">   IR</v>
      </c>
      <c r="B8565" t="str">
        <f>T("   Iran, République Islqmique d'")</f>
        <v xml:space="preserve">   Iran, République Islqmique d'</v>
      </c>
      <c r="C8565">
        <v>519642</v>
      </c>
      <c r="D8565">
        <v>1156</v>
      </c>
    </row>
    <row r="8566" spans="1:4" x14ac:dyDescent="0.25">
      <c r="A8566" t="str">
        <f>T("   LB")</f>
        <v xml:space="preserve">   LB</v>
      </c>
      <c r="B8566" t="str">
        <f>T("   Liban")</f>
        <v xml:space="preserve">   Liban</v>
      </c>
      <c r="C8566">
        <v>1273008</v>
      </c>
      <c r="D8566">
        <v>3098</v>
      </c>
    </row>
    <row r="8567" spans="1:4" x14ac:dyDescent="0.25">
      <c r="A8567" t="str">
        <f>T("   NL")</f>
        <v xml:space="preserve">   NL</v>
      </c>
      <c r="B8567" t="str">
        <f>T("   Pays-bas")</f>
        <v xml:space="preserve">   Pays-bas</v>
      </c>
      <c r="C8567">
        <v>500000</v>
      </c>
      <c r="D8567">
        <v>200</v>
      </c>
    </row>
    <row r="8568" spans="1:4" x14ac:dyDescent="0.25">
      <c r="A8568" t="str">
        <f>T("   ZA")</f>
        <v xml:space="preserve">   ZA</v>
      </c>
      <c r="B8568" t="str">
        <f>T("   Afrique du Sud")</f>
        <v xml:space="preserve">   Afrique du Sud</v>
      </c>
      <c r="C8568">
        <v>156280</v>
      </c>
      <c r="D8568">
        <v>35</v>
      </c>
    </row>
    <row r="8569" spans="1:4" x14ac:dyDescent="0.25">
      <c r="A8569" t="str">
        <f>T("701399")</f>
        <v>701399</v>
      </c>
      <c r="B8569" t="str">
        <f>T("Objets en verre pour la toilette, le bureau, la décoration intérieure et usages simil. (autres qu'en cristal au plomb et autres que pour le service de la table ou pour la cuisine, autres que les perles en verre et articles simil. de verroterie du n° 7018")</f>
        <v>Objets en verre pour la toilette, le bureau, la décoration intérieure et usages simil. (autres qu'en cristal au plomb et autres que pour le service de la table ou pour la cuisine, autres que les perles en verre et articles simil. de verroterie du n° 7018</v>
      </c>
    </row>
    <row r="8570" spans="1:4" x14ac:dyDescent="0.25">
      <c r="A8570" t="str">
        <f>T("   ZZZ_Monde")</f>
        <v xml:space="preserve">   ZZZ_Monde</v>
      </c>
      <c r="B8570" t="str">
        <f>T("   ZZZ_Monde")</f>
        <v xml:space="preserve">   ZZZ_Monde</v>
      </c>
      <c r="C8570">
        <v>83736087</v>
      </c>
      <c r="D8570">
        <v>147629.12</v>
      </c>
    </row>
    <row r="8571" spans="1:4" x14ac:dyDescent="0.25">
      <c r="A8571" t="str">
        <f>T("   AE")</f>
        <v xml:space="preserve">   AE</v>
      </c>
      <c r="B8571" t="str">
        <f>T("   Emirats Arabes Unis")</f>
        <v xml:space="preserve">   Emirats Arabes Unis</v>
      </c>
      <c r="C8571">
        <v>3242803</v>
      </c>
      <c r="D8571">
        <v>9900</v>
      </c>
    </row>
    <row r="8572" spans="1:4" x14ac:dyDescent="0.25">
      <c r="A8572" t="str">
        <f>T("   BE")</f>
        <v xml:space="preserve">   BE</v>
      </c>
      <c r="B8572" t="str">
        <f>T("   Belgique")</f>
        <v xml:space="preserve">   Belgique</v>
      </c>
      <c r="C8572">
        <v>2141054</v>
      </c>
      <c r="D8572">
        <v>626</v>
      </c>
    </row>
    <row r="8573" spans="1:4" x14ac:dyDescent="0.25">
      <c r="A8573" t="str">
        <f>T("   CN")</f>
        <v xml:space="preserve">   CN</v>
      </c>
      <c r="B8573" t="str">
        <f>T("   Chine")</f>
        <v xml:space="preserve">   Chine</v>
      </c>
      <c r="C8573">
        <v>23058834</v>
      </c>
      <c r="D8573">
        <v>66482.210000000006</v>
      </c>
    </row>
    <row r="8574" spans="1:4" x14ac:dyDescent="0.25">
      <c r="A8574" t="str">
        <f>T("   FR")</f>
        <v xml:space="preserve">   FR</v>
      </c>
      <c r="B8574" t="str">
        <f>T("   France")</f>
        <v xml:space="preserve">   France</v>
      </c>
      <c r="C8574">
        <v>25947079</v>
      </c>
      <c r="D8574">
        <v>7779</v>
      </c>
    </row>
    <row r="8575" spans="1:4" x14ac:dyDescent="0.25">
      <c r="A8575" t="str">
        <f>T("   GH")</f>
        <v xml:space="preserve">   GH</v>
      </c>
      <c r="B8575" t="str">
        <f>T("   Ghana")</f>
        <v xml:space="preserve">   Ghana</v>
      </c>
      <c r="C8575">
        <v>886565</v>
      </c>
      <c r="D8575">
        <v>951.48</v>
      </c>
    </row>
    <row r="8576" spans="1:4" x14ac:dyDescent="0.25">
      <c r="A8576" t="str">
        <f>T("   ID")</f>
        <v xml:space="preserve">   ID</v>
      </c>
      <c r="B8576" t="str">
        <f>T("   Indonésie")</f>
        <v xml:space="preserve">   Indonésie</v>
      </c>
      <c r="C8576">
        <v>10277336</v>
      </c>
      <c r="D8576">
        <v>34854</v>
      </c>
    </row>
    <row r="8577" spans="1:4" x14ac:dyDescent="0.25">
      <c r="A8577" t="str">
        <f>T("   IT")</f>
        <v xml:space="preserve">   IT</v>
      </c>
      <c r="B8577" t="str">
        <f>T("   Italie")</f>
        <v xml:space="preserve">   Italie</v>
      </c>
      <c r="C8577">
        <v>705275</v>
      </c>
      <c r="D8577">
        <v>117</v>
      </c>
    </row>
    <row r="8578" spans="1:4" x14ac:dyDescent="0.25">
      <c r="A8578" t="str">
        <f>T("   KR")</f>
        <v xml:space="preserve">   KR</v>
      </c>
      <c r="B8578" t="str">
        <f>T("   Corée, République de")</f>
        <v xml:space="preserve">   Corée, République de</v>
      </c>
      <c r="C8578">
        <v>3017508</v>
      </c>
      <c r="D8578">
        <v>2638</v>
      </c>
    </row>
    <row r="8579" spans="1:4" x14ac:dyDescent="0.25">
      <c r="A8579" t="str">
        <f>T("   LB")</f>
        <v xml:space="preserve">   LB</v>
      </c>
      <c r="B8579" t="str">
        <f>T("   Liban")</f>
        <v xml:space="preserve">   Liban</v>
      </c>
      <c r="C8579">
        <v>10255144</v>
      </c>
      <c r="D8579">
        <v>21773.43</v>
      </c>
    </row>
    <row r="8580" spans="1:4" x14ac:dyDescent="0.25">
      <c r="A8580" t="str">
        <f>T("   NL")</f>
        <v xml:space="preserve">   NL</v>
      </c>
      <c r="B8580" t="str">
        <f>T("   Pays-bas")</f>
        <v xml:space="preserve">   Pays-bas</v>
      </c>
      <c r="C8580">
        <v>104953</v>
      </c>
      <c r="D8580">
        <v>1</v>
      </c>
    </row>
    <row r="8581" spans="1:4" x14ac:dyDescent="0.25">
      <c r="A8581" t="str">
        <f>T("   TH")</f>
        <v xml:space="preserve">   TH</v>
      </c>
      <c r="B8581" t="str">
        <f>T("   Thaïlande")</f>
        <v xml:space="preserve">   Thaïlande</v>
      </c>
      <c r="C8581">
        <v>3749476</v>
      </c>
      <c r="D8581">
        <v>2437</v>
      </c>
    </row>
    <row r="8582" spans="1:4" x14ac:dyDescent="0.25">
      <c r="A8582" t="str">
        <f>T("   ZA")</f>
        <v xml:space="preserve">   ZA</v>
      </c>
      <c r="B8582" t="str">
        <f>T("   Afrique du Sud")</f>
        <v xml:space="preserve">   Afrique du Sud</v>
      </c>
      <c r="C8582">
        <v>350060</v>
      </c>
      <c r="D8582">
        <v>70</v>
      </c>
    </row>
    <row r="8583" spans="1:4" x14ac:dyDescent="0.25">
      <c r="A8583" t="str">
        <f>T("701590")</f>
        <v>701590</v>
      </c>
      <c r="B8583" t="str">
        <f>T("Verres d'horlogerie et simil., verres de lunetterie commune, bombés, cintrés, creusés ou simil., mais non travaillés optiquement, sphères -boules- creuses et les segments en verre pour la fabrication de ces verres, y.c. la lunetterie médicale (sauf le ver")</f>
        <v>Verres d'horlogerie et simil., verres de lunetterie commune, bombés, cintrés, creusés ou simil., mais non travaillés optiquement, sphères -boules- creuses et les segments en verre pour la fabrication de ces verres, y.c. la lunetterie médicale (sauf le ver</v>
      </c>
    </row>
    <row r="8584" spans="1:4" x14ac:dyDescent="0.25">
      <c r="A8584" t="str">
        <f>T("   ZZZ_Monde")</f>
        <v xml:space="preserve">   ZZZ_Monde</v>
      </c>
      <c r="B8584" t="str">
        <f>T("   ZZZ_Monde")</f>
        <v xml:space="preserve">   ZZZ_Monde</v>
      </c>
      <c r="C8584">
        <v>53133</v>
      </c>
      <c r="D8584">
        <v>2</v>
      </c>
    </row>
    <row r="8585" spans="1:4" x14ac:dyDescent="0.25">
      <c r="A8585" t="str">
        <f>T("   FR")</f>
        <v xml:space="preserve">   FR</v>
      </c>
      <c r="B8585" t="str">
        <f>T("   France")</f>
        <v xml:space="preserve">   France</v>
      </c>
      <c r="C8585">
        <v>53133</v>
      </c>
      <c r="D8585">
        <v>2</v>
      </c>
    </row>
    <row r="8586" spans="1:4" x14ac:dyDescent="0.25">
      <c r="A8586" t="str">
        <f>T("701610")</f>
        <v>701610</v>
      </c>
      <c r="B8586" t="str">
        <f>T("Cubes, dés et autre verrerie même sur support, pour mosaïques ou décorations simil. (sauf panneaux et autres motifs décoratifs prêts à l'emploi en cubes de verre, pour mosaïques)")</f>
        <v>Cubes, dés et autre verrerie même sur support, pour mosaïques ou décorations simil. (sauf panneaux et autres motifs décoratifs prêts à l'emploi en cubes de verre, pour mosaïques)</v>
      </c>
    </row>
    <row r="8587" spans="1:4" x14ac:dyDescent="0.25">
      <c r="A8587" t="str">
        <f>T("   ZZZ_Monde")</f>
        <v xml:space="preserve">   ZZZ_Monde</v>
      </c>
      <c r="B8587" t="str">
        <f>T("   ZZZ_Monde")</f>
        <v xml:space="preserve">   ZZZ_Monde</v>
      </c>
      <c r="C8587">
        <v>22623461</v>
      </c>
      <c r="D8587">
        <v>88153</v>
      </c>
    </row>
    <row r="8588" spans="1:4" x14ac:dyDescent="0.25">
      <c r="A8588" t="str">
        <f>T("   CN")</f>
        <v xml:space="preserve">   CN</v>
      </c>
      <c r="B8588" t="str">
        <f>T("   Chine")</f>
        <v xml:space="preserve">   Chine</v>
      </c>
      <c r="C8588">
        <v>6509295</v>
      </c>
      <c r="D8588">
        <v>36446</v>
      </c>
    </row>
    <row r="8589" spans="1:4" x14ac:dyDescent="0.25">
      <c r="A8589" t="str">
        <f>T("   ES")</f>
        <v xml:space="preserve">   ES</v>
      </c>
      <c r="B8589" t="str">
        <f>T("   Espagne")</f>
        <v xml:space="preserve">   Espagne</v>
      </c>
      <c r="C8589">
        <v>16114166</v>
      </c>
      <c r="D8589">
        <v>51707</v>
      </c>
    </row>
    <row r="8590" spans="1:4" x14ac:dyDescent="0.25">
      <c r="A8590" t="str">
        <f>T("701690")</f>
        <v>701690</v>
      </c>
      <c r="B8590" t="str">
        <f>T("Pavés, briques, carreaux, tuiles et autres articles, en verre pressé ou moulé, même armé, pour le bâtiment ou la construction; verres assemblés en vitraux; verre -multicellulaire- ou verre -mousse- en blocs, panneaux, plaques, coquilles ou formes simil. (")</f>
        <v>Pavés, briques, carreaux, tuiles et autres articles, en verre pressé ou moulé, même armé, pour le bâtiment ou la construction; verres assemblés en vitraux; verre -multicellulaire- ou verre -mousse- en blocs, panneaux, plaques, coquilles ou formes simil. (</v>
      </c>
    </row>
    <row r="8591" spans="1:4" x14ac:dyDescent="0.25">
      <c r="A8591" t="str">
        <f>T("   ZZZ_Monde")</f>
        <v xml:space="preserve">   ZZZ_Monde</v>
      </c>
      <c r="B8591" t="str">
        <f>T("   ZZZ_Monde")</f>
        <v xml:space="preserve">   ZZZ_Monde</v>
      </c>
      <c r="C8591">
        <v>45432430</v>
      </c>
      <c r="D8591">
        <v>244562</v>
      </c>
    </row>
    <row r="8592" spans="1:4" x14ac:dyDescent="0.25">
      <c r="A8592" t="str">
        <f>T("   BE")</f>
        <v xml:space="preserve">   BE</v>
      </c>
      <c r="B8592" t="str">
        <f>T("   Belgique")</f>
        <v xml:space="preserve">   Belgique</v>
      </c>
      <c r="C8592">
        <v>5404226</v>
      </c>
      <c r="D8592">
        <v>20100</v>
      </c>
    </row>
    <row r="8593" spans="1:4" x14ac:dyDescent="0.25">
      <c r="A8593" t="str">
        <f>T("   CN")</f>
        <v xml:space="preserve">   CN</v>
      </c>
      <c r="B8593" t="str">
        <f>T("   Chine")</f>
        <v xml:space="preserve">   Chine</v>
      </c>
      <c r="C8593">
        <v>33576038</v>
      </c>
      <c r="D8593">
        <v>200182</v>
      </c>
    </row>
    <row r="8594" spans="1:4" x14ac:dyDescent="0.25">
      <c r="A8594" t="str">
        <f>T("   FR")</f>
        <v xml:space="preserve">   FR</v>
      </c>
      <c r="B8594" t="str">
        <f>T("   France")</f>
        <v xml:space="preserve">   France</v>
      </c>
      <c r="C8594">
        <v>5352166</v>
      </c>
      <c r="D8594">
        <v>20000</v>
      </c>
    </row>
    <row r="8595" spans="1:4" x14ac:dyDescent="0.25">
      <c r="A8595" t="str">
        <f>T("   TG")</f>
        <v xml:space="preserve">   TG</v>
      </c>
      <c r="B8595" t="str">
        <f>T("   Togo")</f>
        <v xml:space="preserve">   Togo</v>
      </c>
      <c r="C8595">
        <v>1100000</v>
      </c>
      <c r="D8595">
        <v>4280</v>
      </c>
    </row>
    <row r="8596" spans="1:4" x14ac:dyDescent="0.25">
      <c r="A8596" t="str">
        <f>T("701720")</f>
        <v>701720</v>
      </c>
      <c r="B8596" t="str">
        <f>T("Verrerie de laboratoire, d'hygiène ou de pharmacie, même graduée ou jaugée, en verre d'un coefficient de dilatation linéaire &lt;= 5 x 10-6 par kelvin entre 0°C et 300°C (sauf en quartz ou en autre silice fondus, sauf récipients de transport ou d'emballage e")</f>
        <v>Verrerie de laboratoire, d'hygiène ou de pharmacie, même graduée ou jaugée, en verre d'un coefficient de dilatation linéaire &lt;= 5 x 10-6 par kelvin entre 0°C et 300°C (sauf en quartz ou en autre silice fondus, sauf récipients de transport ou d'emballage e</v>
      </c>
    </row>
    <row r="8597" spans="1:4" x14ac:dyDescent="0.25">
      <c r="A8597" t="str">
        <f>T("   ZZZ_Monde")</f>
        <v xml:space="preserve">   ZZZ_Monde</v>
      </c>
      <c r="B8597" t="str">
        <f>T("   ZZZ_Monde")</f>
        <v xml:space="preserve">   ZZZ_Monde</v>
      </c>
      <c r="C8597">
        <v>2498685</v>
      </c>
      <c r="D8597">
        <v>241</v>
      </c>
    </row>
    <row r="8598" spans="1:4" x14ac:dyDescent="0.25">
      <c r="A8598" t="str">
        <f>T("   FR")</f>
        <v xml:space="preserve">   FR</v>
      </c>
      <c r="B8598" t="str">
        <f>T("   France")</f>
        <v xml:space="preserve">   France</v>
      </c>
      <c r="C8598">
        <v>2017427</v>
      </c>
      <c r="D8598">
        <v>158</v>
      </c>
    </row>
    <row r="8599" spans="1:4" x14ac:dyDescent="0.25">
      <c r="A8599" t="str">
        <f>T("   IT")</f>
        <v xml:space="preserve">   IT</v>
      </c>
      <c r="B8599" t="str">
        <f>T("   Italie")</f>
        <v xml:space="preserve">   Italie</v>
      </c>
      <c r="C8599">
        <v>481258</v>
      </c>
      <c r="D8599">
        <v>83</v>
      </c>
    </row>
    <row r="8600" spans="1:4" x14ac:dyDescent="0.25">
      <c r="A8600" t="str">
        <f>T("701790")</f>
        <v>701790</v>
      </c>
      <c r="B8600" t="str">
        <f>T("Verrerie de laboratoire, d'hygiène ou de pharmacie, même graduée ou jaugée (sauf en verre à coefficient de dilatation linéaire &lt;= 5 x 10-6 par kelvin entre 0°C et 300°C, ou en quartz ou autres silices fondus, sauf récipients de transport ou d'emballage et")</f>
        <v>Verrerie de laboratoire, d'hygiène ou de pharmacie, même graduée ou jaugée (sauf en verre à coefficient de dilatation linéaire &lt;= 5 x 10-6 par kelvin entre 0°C et 300°C, ou en quartz ou autres silices fondus, sauf récipients de transport ou d'emballage et</v>
      </c>
    </row>
    <row r="8601" spans="1:4" x14ac:dyDescent="0.25">
      <c r="A8601" t="str">
        <f>T("   ZZZ_Monde")</f>
        <v xml:space="preserve">   ZZZ_Monde</v>
      </c>
      <c r="B8601" t="str">
        <f>T("   ZZZ_Monde")</f>
        <v xml:space="preserve">   ZZZ_Monde</v>
      </c>
      <c r="C8601">
        <v>21548548</v>
      </c>
      <c r="D8601">
        <v>3813</v>
      </c>
    </row>
    <row r="8602" spans="1:4" x14ac:dyDescent="0.25">
      <c r="A8602" t="str">
        <f>T("   BE")</f>
        <v xml:space="preserve">   BE</v>
      </c>
      <c r="B8602" t="str">
        <f>T("   Belgique")</f>
        <v xml:space="preserve">   Belgique</v>
      </c>
      <c r="C8602">
        <v>396128</v>
      </c>
      <c r="D8602">
        <v>10</v>
      </c>
    </row>
    <row r="8603" spans="1:4" x14ac:dyDescent="0.25">
      <c r="A8603" t="str">
        <f>T("   CN")</f>
        <v xml:space="preserve">   CN</v>
      </c>
      <c r="B8603" t="str">
        <f>T("   Chine")</f>
        <v xml:space="preserve">   Chine</v>
      </c>
      <c r="C8603">
        <v>4390999</v>
      </c>
      <c r="D8603">
        <v>2195</v>
      </c>
    </row>
    <row r="8604" spans="1:4" x14ac:dyDescent="0.25">
      <c r="A8604" t="str">
        <f>T("   DE")</f>
        <v xml:space="preserve">   DE</v>
      </c>
      <c r="B8604" t="str">
        <f>T("   Allemagne")</f>
        <v xml:space="preserve">   Allemagne</v>
      </c>
      <c r="C8604">
        <v>81339</v>
      </c>
      <c r="D8604">
        <v>2</v>
      </c>
    </row>
    <row r="8605" spans="1:4" x14ac:dyDescent="0.25">
      <c r="A8605" t="str">
        <f>T("   FR")</f>
        <v xml:space="preserve">   FR</v>
      </c>
      <c r="B8605" t="str">
        <f>T("   France")</f>
        <v xml:space="preserve">   France</v>
      </c>
      <c r="C8605">
        <v>16298790</v>
      </c>
      <c r="D8605">
        <v>772</v>
      </c>
    </row>
    <row r="8606" spans="1:4" x14ac:dyDescent="0.25">
      <c r="A8606" t="str">
        <f>T("   IT")</f>
        <v xml:space="preserve">   IT</v>
      </c>
      <c r="B8606" t="str">
        <f>T("   Italie")</f>
        <v xml:space="preserve">   Italie</v>
      </c>
      <c r="C8606">
        <v>353681</v>
      </c>
      <c r="D8606">
        <v>59</v>
      </c>
    </row>
    <row r="8607" spans="1:4" x14ac:dyDescent="0.25">
      <c r="A8607" t="str">
        <f>T("   NG")</f>
        <v xml:space="preserve">   NG</v>
      </c>
      <c r="B8607" t="str">
        <f>T("   Nigéria")</f>
        <v xml:space="preserve">   Nigéria</v>
      </c>
      <c r="C8607">
        <v>27611</v>
      </c>
      <c r="D8607">
        <v>775</v>
      </c>
    </row>
    <row r="8608" spans="1:4" x14ac:dyDescent="0.25">
      <c r="A8608" t="str">
        <f>T("701931")</f>
        <v>701931</v>
      </c>
      <c r="B8608" t="str">
        <f>T("Mats de fibres de verre en couches irrégulières")</f>
        <v>Mats de fibres de verre en couches irrégulières</v>
      </c>
    </row>
    <row r="8609" spans="1:4" x14ac:dyDescent="0.25">
      <c r="A8609" t="str">
        <f>T("   ZZZ_Monde")</f>
        <v xml:space="preserve">   ZZZ_Monde</v>
      </c>
      <c r="B8609" t="str">
        <f>T("   ZZZ_Monde")</f>
        <v xml:space="preserve">   ZZZ_Monde</v>
      </c>
      <c r="C8609">
        <v>3928066</v>
      </c>
      <c r="D8609">
        <v>5390</v>
      </c>
    </row>
    <row r="8610" spans="1:4" x14ac:dyDescent="0.25">
      <c r="A8610" t="str">
        <f>T("   FR")</f>
        <v xml:space="preserve">   FR</v>
      </c>
      <c r="B8610" t="str">
        <f>T("   France")</f>
        <v xml:space="preserve">   France</v>
      </c>
      <c r="C8610">
        <v>3928066</v>
      </c>
      <c r="D8610">
        <v>5390</v>
      </c>
    </row>
    <row r="8611" spans="1:4" x14ac:dyDescent="0.25">
      <c r="A8611" t="str">
        <f>T("701939")</f>
        <v>701939</v>
      </c>
      <c r="B8611" t="str">
        <f>T("Nappes, matelas, panneaux et produits simil., non tissés, de fibres de verre (à l'excl. des mats et des voiles)")</f>
        <v>Nappes, matelas, panneaux et produits simil., non tissés, de fibres de verre (à l'excl. des mats et des voiles)</v>
      </c>
    </row>
    <row r="8612" spans="1:4" x14ac:dyDescent="0.25">
      <c r="A8612" t="str">
        <f>T("   ZZZ_Monde")</f>
        <v xml:space="preserve">   ZZZ_Monde</v>
      </c>
      <c r="B8612" t="str">
        <f>T("   ZZZ_Monde")</f>
        <v xml:space="preserve">   ZZZ_Monde</v>
      </c>
      <c r="C8612">
        <v>194489</v>
      </c>
      <c r="D8612">
        <v>420</v>
      </c>
    </row>
    <row r="8613" spans="1:4" x14ac:dyDescent="0.25">
      <c r="A8613" t="str">
        <f>T("   TG")</f>
        <v xml:space="preserve">   TG</v>
      </c>
      <c r="B8613" t="str">
        <f>T("   Togo")</f>
        <v xml:space="preserve">   Togo</v>
      </c>
      <c r="C8613">
        <v>194489</v>
      </c>
      <c r="D8613">
        <v>420</v>
      </c>
    </row>
    <row r="8614" spans="1:4" x14ac:dyDescent="0.25">
      <c r="A8614" t="str">
        <f>T("701990")</f>
        <v>701990</v>
      </c>
      <c r="B8614" t="str">
        <f>T("FIBRES DE VERRE, Y.C. LA LAINE DE VERRE, ET OUVRAGES EN CES MATIÈRES (SAUF FIBRES DISCONTINUES; STRATIFILS 'ROVINGS', MÈCHES ET FILS; LAINE DE VERRE COUPÉE; TISSUS, Y.C. LES RUBANS; VOILES, MATS, NAPPES, PANNEAUX ET PRODUITS SIMIL. NON-TISSÉS; LAINES MINÉ")</f>
        <v>FIBRES DE VERRE, Y.C. LA LAINE DE VERRE, ET OUVRAGES EN CES MATIÈRES (SAUF FIBRES DISCONTINUES; STRATIFILS 'ROVINGS', MÈCHES ET FILS; LAINE DE VERRE COUPÉE; TISSUS, Y.C. LES RUBANS; VOILES, MATS, NAPPES, PANNEAUX ET PRODUITS SIMIL. NON-TISSÉS; LAINES MINÉ</v>
      </c>
    </row>
    <row r="8615" spans="1:4" x14ac:dyDescent="0.25">
      <c r="A8615" t="str">
        <f>T("   ZZZ_Monde")</f>
        <v xml:space="preserve">   ZZZ_Monde</v>
      </c>
      <c r="B8615" t="str">
        <f>T("   ZZZ_Monde")</f>
        <v xml:space="preserve">   ZZZ_Monde</v>
      </c>
      <c r="C8615">
        <v>8083861</v>
      </c>
      <c r="D8615">
        <v>2252</v>
      </c>
    </row>
    <row r="8616" spans="1:4" x14ac:dyDescent="0.25">
      <c r="A8616" t="str">
        <f>T("   BR")</f>
        <v xml:space="preserve">   BR</v>
      </c>
      <c r="B8616" t="str">
        <f>T("   Brésil")</f>
        <v xml:space="preserve">   Brésil</v>
      </c>
      <c r="C8616">
        <v>3353687</v>
      </c>
      <c r="D8616">
        <v>1978</v>
      </c>
    </row>
    <row r="8617" spans="1:4" x14ac:dyDescent="0.25">
      <c r="A8617" t="str">
        <f>T("   FR")</f>
        <v xml:space="preserve">   FR</v>
      </c>
      <c r="B8617" t="str">
        <f>T("   France")</f>
        <v xml:space="preserve">   France</v>
      </c>
      <c r="C8617">
        <v>4730174</v>
      </c>
      <c r="D8617">
        <v>274</v>
      </c>
    </row>
    <row r="8618" spans="1:4" x14ac:dyDescent="0.25">
      <c r="A8618" t="str">
        <f>T("702000")</f>
        <v>702000</v>
      </c>
      <c r="B8618" t="str">
        <f>T("Ouvrages en verre n.d.a.")</f>
        <v>Ouvrages en verre n.d.a.</v>
      </c>
    </row>
    <row r="8619" spans="1:4" x14ac:dyDescent="0.25">
      <c r="A8619" t="str">
        <f>T("   ZZZ_Monde")</f>
        <v xml:space="preserve">   ZZZ_Monde</v>
      </c>
      <c r="B8619" t="str">
        <f>T("   ZZZ_Monde")</f>
        <v xml:space="preserve">   ZZZ_Monde</v>
      </c>
      <c r="C8619">
        <v>27229648</v>
      </c>
      <c r="D8619">
        <v>49727</v>
      </c>
    </row>
    <row r="8620" spans="1:4" x14ac:dyDescent="0.25">
      <c r="A8620" t="str">
        <f>T("   AE")</f>
        <v xml:space="preserve">   AE</v>
      </c>
      <c r="B8620" t="str">
        <f>T("   Emirats Arabes Unis")</f>
        <v xml:space="preserve">   Emirats Arabes Unis</v>
      </c>
      <c r="C8620">
        <v>546939</v>
      </c>
      <c r="D8620">
        <v>851</v>
      </c>
    </row>
    <row r="8621" spans="1:4" x14ac:dyDescent="0.25">
      <c r="A8621" t="str">
        <f>T("   AT")</f>
        <v xml:space="preserve">   AT</v>
      </c>
      <c r="B8621" t="str">
        <f>T("   Autriche")</f>
        <v xml:space="preserve">   Autriche</v>
      </c>
      <c r="C8621">
        <v>114793</v>
      </c>
      <c r="D8621">
        <v>4</v>
      </c>
    </row>
    <row r="8622" spans="1:4" x14ac:dyDescent="0.25">
      <c r="A8622" t="str">
        <f>T("   CN")</f>
        <v xml:space="preserve">   CN</v>
      </c>
      <c r="B8622" t="str">
        <f>T("   Chine")</f>
        <v xml:space="preserve">   Chine</v>
      </c>
      <c r="C8622">
        <v>15224319</v>
      </c>
      <c r="D8622">
        <v>41228</v>
      </c>
    </row>
    <row r="8623" spans="1:4" x14ac:dyDescent="0.25">
      <c r="A8623" t="str">
        <f>T("   ES")</f>
        <v xml:space="preserve">   ES</v>
      </c>
      <c r="B8623" t="str">
        <f>T("   Espagne")</f>
        <v xml:space="preserve">   Espagne</v>
      </c>
      <c r="C8623">
        <v>3465924</v>
      </c>
      <c r="D8623">
        <v>3500</v>
      </c>
    </row>
    <row r="8624" spans="1:4" x14ac:dyDescent="0.25">
      <c r="A8624" t="str">
        <f>T("   FR")</f>
        <v xml:space="preserve">   FR</v>
      </c>
      <c r="B8624" t="str">
        <f>T("   France")</f>
        <v xml:space="preserve">   France</v>
      </c>
      <c r="C8624">
        <v>2825974</v>
      </c>
      <c r="D8624">
        <v>642</v>
      </c>
    </row>
    <row r="8625" spans="1:4" x14ac:dyDescent="0.25">
      <c r="A8625" t="str">
        <f>T("   IN")</f>
        <v xml:space="preserve">   IN</v>
      </c>
      <c r="B8625" t="str">
        <f>T("   Inde")</f>
        <v xml:space="preserve">   Inde</v>
      </c>
      <c r="C8625">
        <v>874550</v>
      </c>
      <c r="D8625">
        <v>425</v>
      </c>
    </row>
    <row r="8626" spans="1:4" x14ac:dyDescent="0.25">
      <c r="A8626" t="str">
        <f>T("   IT")</f>
        <v xml:space="preserve">   IT</v>
      </c>
      <c r="B8626" t="str">
        <f>T("   Italie")</f>
        <v xml:space="preserve">   Italie</v>
      </c>
      <c r="C8626">
        <v>479350</v>
      </c>
      <c r="D8626">
        <v>600</v>
      </c>
    </row>
    <row r="8627" spans="1:4" x14ac:dyDescent="0.25">
      <c r="A8627" t="str">
        <f>T("   NL")</f>
        <v xml:space="preserve">   NL</v>
      </c>
      <c r="B8627" t="str">
        <f>T("   Pays-bas")</f>
        <v xml:space="preserve">   Pays-bas</v>
      </c>
      <c r="C8627">
        <v>54663</v>
      </c>
      <c r="D8627">
        <v>64</v>
      </c>
    </row>
    <row r="8628" spans="1:4" x14ac:dyDescent="0.25">
      <c r="A8628" t="str">
        <f>T("   VN")</f>
        <v xml:space="preserve">   VN</v>
      </c>
      <c r="B8628" t="str">
        <f>T("   Vietnam")</f>
        <v xml:space="preserve">   Vietnam</v>
      </c>
      <c r="C8628">
        <v>3643136</v>
      </c>
      <c r="D8628">
        <v>2413</v>
      </c>
    </row>
    <row r="8629" spans="1:4" x14ac:dyDescent="0.25">
      <c r="A8629" t="str">
        <f>T("710110")</f>
        <v>710110</v>
      </c>
      <c r="B8629" t="str">
        <f>T("Perles fines, même travaillées ou assorties, mais non enfilées, ni montées, ni serties, et perles fines enfilées temporairement pour la facilité du transport (à l'excl. des perles-mères de nacre)")</f>
        <v>Perles fines, même travaillées ou assorties, mais non enfilées, ni montées, ni serties, et perles fines enfilées temporairement pour la facilité du transport (à l'excl. des perles-mères de nacre)</v>
      </c>
    </row>
    <row r="8630" spans="1:4" x14ac:dyDescent="0.25">
      <c r="A8630" t="str">
        <f>T("   ZZZ_Monde")</f>
        <v xml:space="preserve">   ZZZ_Monde</v>
      </c>
      <c r="B8630" t="str">
        <f>T("   ZZZ_Monde")</f>
        <v xml:space="preserve">   ZZZ_Monde</v>
      </c>
      <c r="C8630">
        <v>306192</v>
      </c>
      <c r="D8630">
        <v>130</v>
      </c>
    </row>
    <row r="8631" spans="1:4" x14ac:dyDescent="0.25">
      <c r="A8631" t="str">
        <f>T("   FR")</f>
        <v xml:space="preserve">   FR</v>
      </c>
      <c r="B8631" t="str">
        <f>T("   France")</f>
        <v xml:space="preserve">   France</v>
      </c>
      <c r="C8631">
        <v>306192</v>
      </c>
      <c r="D8631">
        <v>130</v>
      </c>
    </row>
    <row r="8632" spans="1:4" x14ac:dyDescent="0.25">
      <c r="A8632" t="str">
        <f>T("710122")</f>
        <v>710122</v>
      </c>
      <c r="B8632" t="str">
        <f>T("Perles de culture, travaillées, même assorties, mais non enfilées, ni montées, ni serties, et perles de culture travaillées enfilées temporairement pour la facilité du transport")</f>
        <v>Perles de culture, travaillées, même assorties, mais non enfilées, ni montées, ni serties, et perles de culture travaillées enfilées temporairement pour la facilité du transport</v>
      </c>
    </row>
    <row r="8633" spans="1:4" x14ac:dyDescent="0.25">
      <c r="A8633" t="str">
        <f>T("   ZZZ_Monde")</f>
        <v xml:space="preserve">   ZZZ_Monde</v>
      </c>
      <c r="B8633" t="str">
        <f>T("   ZZZ_Monde")</f>
        <v xml:space="preserve">   ZZZ_Monde</v>
      </c>
      <c r="C8633">
        <v>868500</v>
      </c>
      <c r="D8633">
        <v>1737</v>
      </c>
    </row>
    <row r="8634" spans="1:4" x14ac:dyDescent="0.25">
      <c r="A8634" t="str">
        <f>T("   NG")</f>
        <v xml:space="preserve">   NG</v>
      </c>
      <c r="B8634" t="str">
        <f>T("   Nigéria")</f>
        <v xml:space="preserve">   Nigéria</v>
      </c>
      <c r="C8634">
        <v>868500</v>
      </c>
      <c r="D8634">
        <v>1737</v>
      </c>
    </row>
    <row r="8635" spans="1:4" x14ac:dyDescent="0.25">
      <c r="A8635" t="str">
        <f>T("711319")</f>
        <v>711319</v>
      </c>
      <c r="B8635" t="str">
        <f>T("Articles de bijouterie ou de joaillerie et leurs parties, en métaux précieux autres que l'argent, même revêtus, plaqués ou doublés de métaux précieux (sauf &gt; 100 ans)")</f>
        <v>Articles de bijouterie ou de joaillerie et leurs parties, en métaux précieux autres que l'argent, même revêtus, plaqués ou doublés de métaux précieux (sauf &gt; 100 ans)</v>
      </c>
    </row>
    <row r="8636" spans="1:4" x14ac:dyDescent="0.25">
      <c r="A8636" t="str">
        <f>T("   ZZZ_Monde")</f>
        <v xml:space="preserve">   ZZZ_Monde</v>
      </c>
      <c r="B8636" t="str">
        <f>T("   ZZZ_Monde")</f>
        <v xml:space="preserve">   ZZZ_Monde</v>
      </c>
      <c r="C8636">
        <v>698670</v>
      </c>
      <c r="D8636">
        <v>466</v>
      </c>
    </row>
    <row r="8637" spans="1:4" x14ac:dyDescent="0.25">
      <c r="A8637" t="str">
        <f>T("   FR")</f>
        <v xml:space="preserve">   FR</v>
      </c>
      <c r="B8637" t="str">
        <f>T("   France")</f>
        <v xml:space="preserve">   France</v>
      </c>
      <c r="C8637">
        <v>698670</v>
      </c>
      <c r="D8637">
        <v>466</v>
      </c>
    </row>
    <row r="8638" spans="1:4" x14ac:dyDescent="0.25">
      <c r="A8638" t="str">
        <f>T("711420")</f>
        <v>711420</v>
      </c>
      <c r="B8638" t="str">
        <f>T("Articles d'orfèvrerie et leurs parties, en plaqués ou doublés de métaux précieux sur métaux communs (à l'excl. des articles de bijouterie ou de joaillerie, des articles d'horlogerie, instruments de musique, armes, pulvérisateurs de parfum et leur tête de")</f>
        <v>Articles d'orfèvrerie et leurs parties, en plaqués ou doublés de métaux précieux sur métaux communs (à l'excl. des articles de bijouterie ou de joaillerie, des articles d'horlogerie, instruments de musique, armes, pulvérisateurs de parfum et leur tête de</v>
      </c>
    </row>
    <row r="8639" spans="1:4" x14ac:dyDescent="0.25">
      <c r="A8639" t="str">
        <f>T("   ZZZ_Monde")</f>
        <v xml:space="preserve">   ZZZ_Monde</v>
      </c>
      <c r="B8639" t="str">
        <f>T("   ZZZ_Monde")</f>
        <v xml:space="preserve">   ZZZ_Monde</v>
      </c>
      <c r="C8639">
        <v>140022</v>
      </c>
      <c r="D8639">
        <v>150</v>
      </c>
    </row>
    <row r="8640" spans="1:4" x14ac:dyDescent="0.25">
      <c r="A8640" t="str">
        <f>T("   FR")</f>
        <v xml:space="preserve">   FR</v>
      </c>
      <c r="B8640" t="str">
        <f>T("   France")</f>
        <v xml:space="preserve">   France</v>
      </c>
      <c r="C8640">
        <v>140022</v>
      </c>
      <c r="D8640">
        <v>150</v>
      </c>
    </row>
    <row r="8641" spans="1:4" x14ac:dyDescent="0.25">
      <c r="A8641" t="str">
        <f>T("711590")</f>
        <v>711590</v>
      </c>
      <c r="B8641" t="str">
        <f>T("Ouvrages en métaux précieux ou en plaqués ou doublés de métaux précieux, n.d.a.")</f>
        <v>Ouvrages en métaux précieux ou en plaqués ou doublés de métaux précieux, n.d.a.</v>
      </c>
    </row>
    <row r="8642" spans="1:4" x14ac:dyDescent="0.25">
      <c r="A8642" t="str">
        <f>T("   ZZZ_Monde")</f>
        <v xml:space="preserve">   ZZZ_Monde</v>
      </c>
      <c r="B8642" t="str">
        <f>T("   ZZZ_Monde")</f>
        <v xml:space="preserve">   ZZZ_Monde</v>
      </c>
      <c r="C8642">
        <v>62972</v>
      </c>
      <c r="D8642">
        <v>5</v>
      </c>
    </row>
    <row r="8643" spans="1:4" x14ac:dyDescent="0.25">
      <c r="A8643" t="str">
        <f>T("   FR")</f>
        <v xml:space="preserve">   FR</v>
      </c>
      <c r="B8643" t="str">
        <f>T("   France")</f>
        <v xml:space="preserve">   France</v>
      </c>
      <c r="C8643">
        <v>62972</v>
      </c>
      <c r="D8643">
        <v>5</v>
      </c>
    </row>
    <row r="8644" spans="1:4" x14ac:dyDescent="0.25">
      <c r="A8644" t="str">
        <f>T("711719")</f>
        <v>711719</v>
      </c>
      <c r="B8644" t="str">
        <f>T("Bijouterie de fantaisie en métaux communs, même argentés, dorés ou platinés (à l'excl. des boutons de manchettes et des boutons simil.)")</f>
        <v>Bijouterie de fantaisie en métaux communs, même argentés, dorés ou platinés (à l'excl. des boutons de manchettes et des boutons simil.)</v>
      </c>
    </row>
    <row r="8645" spans="1:4" x14ac:dyDescent="0.25">
      <c r="A8645" t="str">
        <f>T("   ZZZ_Monde")</f>
        <v xml:space="preserve">   ZZZ_Monde</v>
      </c>
      <c r="B8645" t="str">
        <f>T("   ZZZ_Monde")</f>
        <v xml:space="preserve">   ZZZ_Monde</v>
      </c>
      <c r="C8645">
        <v>16522291</v>
      </c>
      <c r="D8645">
        <v>1280</v>
      </c>
    </row>
    <row r="8646" spans="1:4" x14ac:dyDescent="0.25">
      <c r="A8646" t="str">
        <f>T("   FR")</f>
        <v xml:space="preserve">   FR</v>
      </c>
      <c r="B8646" t="str">
        <f>T("   France")</f>
        <v xml:space="preserve">   France</v>
      </c>
      <c r="C8646">
        <v>200000</v>
      </c>
      <c r="D8646">
        <v>100</v>
      </c>
    </row>
    <row r="8647" spans="1:4" x14ac:dyDescent="0.25">
      <c r="A8647" t="str">
        <f>T("   IT")</f>
        <v xml:space="preserve">   IT</v>
      </c>
      <c r="B8647" t="str">
        <f>T("   Italie")</f>
        <v xml:space="preserve">   Italie</v>
      </c>
      <c r="C8647">
        <v>125590</v>
      </c>
      <c r="D8647">
        <v>30</v>
      </c>
    </row>
    <row r="8648" spans="1:4" x14ac:dyDescent="0.25">
      <c r="A8648" t="str">
        <f>T("   NL")</f>
        <v xml:space="preserve">   NL</v>
      </c>
      <c r="B8648" t="str">
        <f>T("   Pays-bas")</f>
        <v xml:space="preserve">   Pays-bas</v>
      </c>
      <c r="C8648">
        <v>16196701</v>
      </c>
      <c r="D8648">
        <v>1150</v>
      </c>
    </row>
    <row r="8649" spans="1:4" x14ac:dyDescent="0.25">
      <c r="A8649" t="str">
        <f>T("711790")</f>
        <v>711790</v>
      </c>
      <c r="B8649" t="str">
        <f>T("Bijouterie de fantaisie (autre qu'en métaux communs, même argentés, dorés ou platinés)")</f>
        <v>Bijouterie de fantaisie (autre qu'en métaux communs, même argentés, dorés ou platinés)</v>
      </c>
    </row>
    <row r="8650" spans="1:4" x14ac:dyDescent="0.25">
      <c r="A8650" t="str">
        <f>T("   ZZZ_Monde")</f>
        <v xml:space="preserve">   ZZZ_Monde</v>
      </c>
      <c r="B8650" t="str">
        <f>T("   ZZZ_Monde")</f>
        <v xml:space="preserve">   ZZZ_Monde</v>
      </c>
      <c r="C8650">
        <v>115150336</v>
      </c>
      <c r="D8650">
        <v>48200</v>
      </c>
    </row>
    <row r="8651" spans="1:4" x14ac:dyDescent="0.25">
      <c r="A8651" t="str">
        <f>T("   CH")</f>
        <v xml:space="preserve">   CH</v>
      </c>
      <c r="B8651" t="str">
        <f>T("   Suisse")</f>
        <v xml:space="preserve">   Suisse</v>
      </c>
      <c r="C8651">
        <v>4974791</v>
      </c>
      <c r="D8651">
        <v>3020</v>
      </c>
    </row>
    <row r="8652" spans="1:4" x14ac:dyDescent="0.25">
      <c r="A8652" t="str">
        <f>T("   CN")</f>
        <v xml:space="preserve">   CN</v>
      </c>
      <c r="B8652" t="str">
        <f>T("   Chine")</f>
        <v xml:space="preserve">   Chine</v>
      </c>
      <c r="C8652">
        <v>12026515</v>
      </c>
      <c r="D8652">
        <v>11668</v>
      </c>
    </row>
    <row r="8653" spans="1:4" x14ac:dyDescent="0.25">
      <c r="A8653" t="str">
        <f>T("   ES")</f>
        <v xml:space="preserve">   ES</v>
      </c>
      <c r="B8653" t="str">
        <f>T("   Espagne")</f>
        <v xml:space="preserve">   Espagne</v>
      </c>
      <c r="C8653">
        <v>527285</v>
      </c>
      <c r="D8653">
        <v>15</v>
      </c>
    </row>
    <row r="8654" spans="1:4" x14ac:dyDescent="0.25">
      <c r="A8654" t="str">
        <f>T("   FR")</f>
        <v xml:space="preserve">   FR</v>
      </c>
      <c r="B8654" t="str">
        <f>T("   France")</f>
        <v xml:space="preserve">   France</v>
      </c>
      <c r="C8654">
        <v>58712384</v>
      </c>
      <c r="D8654">
        <v>18951</v>
      </c>
    </row>
    <row r="8655" spans="1:4" x14ac:dyDescent="0.25">
      <c r="A8655" t="str">
        <f>T("   GA")</f>
        <v xml:space="preserve">   GA</v>
      </c>
      <c r="B8655" t="str">
        <f>T("   Gabon")</f>
        <v xml:space="preserve">   Gabon</v>
      </c>
      <c r="C8655">
        <v>5217461</v>
      </c>
      <c r="D8655">
        <v>2405</v>
      </c>
    </row>
    <row r="8656" spans="1:4" x14ac:dyDescent="0.25">
      <c r="A8656" t="str">
        <f>T("   HK")</f>
        <v xml:space="preserve">   HK</v>
      </c>
      <c r="B8656" t="str">
        <f>T("   Hong-Kong")</f>
        <v xml:space="preserve">   Hong-Kong</v>
      </c>
      <c r="C8656">
        <v>5878384</v>
      </c>
      <c r="D8656">
        <v>3211</v>
      </c>
    </row>
    <row r="8657" spans="1:4" x14ac:dyDescent="0.25">
      <c r="A8657" t="str">
        <f>T("   LB")</f>
        <v xml:space="preserve">   LB</v>
      </c>
      <c r="B8657" t="str">
        <f>T("   Liban")</f>
        <v xml:space="preserve">   Liban</v>
      </c>
      <c r="C8657">
        <v>360000</v>
      </c>
      <c r="D8657">
        <v>180</v>
      </c>
    </row>
    <row r="8658" spans="1:4" x14ac:dyDescent="0.25">
      <c r="A8658" t="str">
        <f>T("   NG")</f>
        <v xml:space="preserve">   NG</v>
      </c>
      <c r="B8658" t="str">
        <f>T("   Nigéria")</f>
        <v xml:space="preserve">   Nigéria</v>
      </c>
      <c r="C8658">
        <v>27073470</v>
      </c>
      <c r="D8658">
        <v>8747</v>
      </c>
    </row>
    <row r="8659" spans="1:4" x14ac:dyDescent="0.25">
      <c r="A8659" t="str">
        <f>T("   NL")</f>
        <v xml:space="preserve">   NL</v>
      </c>
      <c r="B8659" t="str">
        <f>T("   Pays-bas")</f>
        <v xml:space="preserve">   Pays-bas</v>
      </c>
      <c r="C8659">
        <v>380046</v>
      </c>
      <c r="D8659">
        <v>3</v>
      </c>
    </row>
    <row r="8660" spans="1:4" x14ac:dyDescent="0.25">
      <c r="A8660" t="str">
        <f>T("720299")</f>
        <v>720299</v>
      </c>
      <c r="B8660" t="str">
        <f>T("Ferro-alliages (à l'excl. du ferromanganèse, du ferrosilicium, du ferrosilicomanganèse, du ferrochrome, du ferrosilicochrome, du ferronickel, du ferromolybdène, du ferrotungstène, du ferrosilicotungstène, du ferrotitane, du ferrosilicotitane, du ferrovana")</f>
        <v>Ferro-alliages (à l'excl. du ferromanganèse, du ferrosilicium, du ferrosilicomanganèse, du ferrochrome, du ferrosilicochrome, du ferronickel, du ferromolybdène, du ferrotungstène, du ferrosilicotungstène, du ferrotitane, du ferrosilicotitane, du ferrovana</v>
      </c>
    </row>
    <row r="8661" spans="1:4" x14ac:dyDescent="0.25">
      <c r="A8661" t="str">
        <f>T("   ZZZ_Monde")</f>
        <v xml:space="preserve">   ZZZ_Monde</v>
      </c>
      <c r="B8661" t="str">
        <f>T("   ZZZ_Monde")</f>
        <v xml:space="preserve">   ZZZ_Monde</v>
      </c>
      <c r="C8661">
        <v>35799673</v>
      </c>
      <c r="D8661">
        <v>101896</v>
      </c>
    </row>
    <row r="8662" spans="1:4" x14ac:dyDescent="0.25">
      <c r="A8662" t="str">
        <f>T("   TR")</f>
        <v xml:space="preserve">   TR</v>
      </c>
      <c r="B8662" t="str">
        <f>T("   Turquie")</f>
        <v xml:space="preserve">   Turquie</v>
      </c>
      <c r="C8662">
        <v>35799673</v>
      </c>
      <c r="D8662">
        <v>101896</v>
      </c>
    </row>
    <row r="8663" spans="1:4" x14ac:dyDescent="0.25">
      <c r="A8663" t="str">
        <f>T("720390")</f>
        <v>720390</v>
      </c>
      <c r="B8663" t="str">
        <f>T("PRODUITS FERREUX SPONGIEUX OBTENUS PAR ATOMISATION DE PRODUITS FERREUX BRUTS FONDUS ET FER, D'UNE PURETÉ &gt;= 99,94%, EN MORCEAUX, BOULETTES OU FORMES SIMIL.")</f>
        <v>PRODUITS FERREUX SPONGIEUX OBTENUS PAR ATOMISATION DE PRODUITS FERREUX BRUTS FONDUS ET FER, D'UNE PURETÉ &gt;= 99,94%, EN MORCEAUX, BOULETTES OU FORMES SIMIL.</v>
      </c>
    </row>
    <row r="8664" spans="1:4" x14ac:dyDescent="0.25">
      <c r="A8664" t="str">
        <f>T("   ZZZ_Monde")</f>
        <v xml:space="preserve">   ZZZ_Monde</v>
      </c>
      <c r="B8664" t="str">
        <f>T("   ZZZ_Monde")</f>
        <v xml:space="preserve">   ZZZ_Monde</v>
      </c>
      <c r="C8664">
        <v>39665000</v>
      </c>
      <c r="D8664">
        <v>63000</v>
      </c>
    </row>
    <row r="8665" spans="1:4" x14ac:dyDescent="0.25">
      <c r="A8665" t="str">
        <f>T("   CN")</f>
        <v xml:space="preserve">   CN</v>
      </c>
      <c r="B8665" t="str">
        <f>T("   Chine")</f>
        <v xml:space="preserve">   Chine</v>
      </c>
      <c r="C8665">
        <v>39665000</v>
      </c>
      <c r="D8665">
        <v>63000</v>
      </c>
    </row>
    <row r="8666" spans="1:4" x14ac:dyDescent="0.25">
      <c r="A8666" t="str">
        <f>T("720410")</f>
        <v>720410</v>
      </c>
      <c r="B8666" t="str">
        <f>T("DÉCHETS ET DÉBRIS DE FONTE -FERRAILLES- (AUTRES QUE RADIOACTIFS)")</f>
        <v>DÉCHETS ET DÉBRIS DE FONTE -FERRAILLES- (AUTRES QUE RADIOACTIFS)</v>
      </c>
    </row>
    <row r="8667" spans="1:4" x14ac:dyDescent="0.25">
      <c r="A8667" t="str">
        <f>T("   ZZZ_Monde")</f>
        <v xml:space="preserve">   ZZZ_Monde</v>
      </c>
      <c r="B8667" t="str">
        <f>T("   ZZZ_Monde")</f>
        <v xml:space="preserve">   ZZZ_Monde</v>
      </c>
      <c r="C8667">
        <v>79247094</v>
      </c>
      <c r="D8667">
        <v>1125453</v>
      </c>
    </row>
    <row r="8668" spans="1:4" x14ac:dyDescent="0.25">
      <c r="A8668" t="str">
        <f>T("   NG")</f>
        <v xml:space="preserve">   NG</v>
      </c>
      <c r="B8668" t="str">
        <f>T("   Nigéria")</f>
        <v xml:space="preserve">   Nigéria</v>
      </c>
      <c r="C8668">
        <v>79247094</v>
      </c>
      <c r="D8668">
        <v>1125453</v>
      </c>
    </row>
    <row r="8669" spans="1:4" x14ac:dyDescent="0.25">
      <c r="A8669" t="str">
        <f>T("720449")</f>
        <v>720449</v>
      </c>
      <c r="B8669" t="str">
        <f>T("DÉCHETS ET DÉBRIS DE FER OU D'ACIER [FERRAILLES] (SAUF DÉCHETS ET DÉBRIS RADIOACTIFS ET DE PILES, DE BATTERIES DE PILES ET D'ACCUMULATEURS ÉLECTRIQUES; SCORIES, LAITIERS ET AUTRES DÉCHETS DE LA FABRICATION DU FER OU DE L'ACIER; MORCEAUX PROVENANT DU BRIS")</f>
        <v>DÉCHETS ET DÉBRIS DE FER OU D'ACIER [FERRAILLES] (SAUF DÉCHETS ET DÉBRIS RADIOACTIFS ET DE PILES, DE BATTERIES DE PILES ET D'ACCUMULATEURS ÉLECTRIQUES; SCORIES, LAITIERS ET AUTRES DÉCHETS DE LA FABRICATION DU FER OU DE L'ACIER; MORCEAUX PROVENANT DU BRIS</v>
      </c>
    </row>
    <row r="8670" spans="1:4" x14ac:dyDescent="0.25">
      <c r="A8670" t="str">
        <f>T("   ZZZ_Monde")</f>
        <v xml:space="preserve">   ZZZ_Monde</v>
      </c>
      <c r="B8670" t="str">
        <f>T("   ZZZ_Monde")</f>
        <v xml:space="preserve">   ZZZ_Monde</v>
      </c>
      <c r="C8670">
        <v>6925423</v>
      </c>
      <c r="D8670">
        <v>450</v>
      </c>
    </row>
    <row r="8671" spans="1:4" x14ac:dyDescent="0.25">
      <c r="A8671" t="str">
        <f>T("   ZA")</f>
        <v xml:space="preserve">   ZA</v>
      </c>
      <c r="B8671" t="str">
        <f>T("   Afrique du Sud")</f>
        <v xml:space="preserve">   Afrique du Sud</v>
      </c>
      <c r="C8671">
        <v>6925423</v>
      </c>
      <c r="D8671">
        <v>450</v>
      </c>
    </row>
    <row r="8672" spans="1:4" x14ac:dyDescent="0.25">
      <c r="A8672" t="str">
        <f>T("720836")</f>
        <v>720836</v>
      </c>
      <c r="B8672" t="str">
        <f>T("PRODUITS LAMINÉS PLATS, EN FER OU EN ACIERS NON ALLIÉS, D'UNE LARGEUR &gt;= 600 MM, ENROULÉS, SIMPLEMENT LAMINÉS À CHAUD, NON PLAQUÉS NI REVÊTUS, ÉPAISSEUR &gt; 10 MM (SANS MOTIFS EN RELIEF, ET AUTRES QUE DÉCAPÉS)")</f>
        <v>PRODUITS LAMINÉS PLATS, EN FER OU EN ACIERS NON ALLIÉS, D'UNE LARGEUR &gt;= 600 MM, ENROULÉS, SIMPLEMENT LAMINÉS À CHAUD, NON PLAQUÉS NI REVÊTUS, ÉPAISSEUR &gt; 10 MM (SANS MOTIFS EN RELIEF, ET AUTRES QUE DÉCAPÉS)</v>
      </c>
    </row>
    <row r="8673" spans="1:4" x14ac:dyDescent="0.25">
      <c r="A8673" t="str">
        <f>T("   ZZZ_Monde")</f>
        <v xml:space="preserve">   ZZZ_Monde</v>
      </c>
      <c r="B8673" t="str">
        <f>T("   ZZZ_Monde")</f>
        <v xml:space="preserve">   ZZZ_Monde</v>
      </c>
      <c r="C8673">
        <v>161899456</v>
      </c>
      <c r="D8673">
        <v>424770</v>
      </c>
    </row>
    <row r="8674" spans="1:4" x14ac:dyDescent="0.25">
      <c r="A8674" t="str">
        <f>T("   DE")</f>
        <v xml:space="preserve">   DE</v>
      </c>
      <c r="B8674" t="str">
        <f>T("   Allemagne")</f>
        <v xml:space="preserve">   Allemagne</v>
      </c>
      <c r="C8674">
        <v>160416330</v>
      </c>
      <c r="D8674">
        <v>423330</v>
      </c>
    </row>
    <row r="8675" spans="1:4" x14ac:dyDescent="0.25">
      <c r="A8675" t="str">
        <f>T("   FR")</f>
        <v xml:space="preserve">   FR</v>
      </c>
      <c r="B8675" t="str">
        <f>T("   France")</f>
        <v xml:space="preserve">   France</v>
      </c>
      <c r="C8675">
        <v>1483126</v>
      </c>
      <c r="D8675">
        <v>1440</v>
      </c>
    </row>
    <row r="8676" spans="1:4" x14ac:dyDescent="0.25">
      <c r="A8676" t="str">
        <f>T("720839")</f>
        <v>720839</v>
      </c>
      <c r="B8676" t="str">
        <f>T("PRODUITS LAMINÉS PLATS, EN FER OU EN ACIERS NON ALLIÉS, D'UNE LARGEUR &gt;= 600 MM, ENROULÉS, SIMPLEMENT LAMINÉS À CHAUD, NON PLAQUÉS NI REVÊTUS, ÉPAISSEUR &lt; 3 MM (SANS MOTIFS EN RELIEF, ET AUTRES QUE DÉCAPÉS)")</f>
        <v>PRODUITS LAMINÉS PLATS, EN FER OU EN ACIERS NON ALLIÉS, D'UNE LARGEUR &gt;= 600 MM, ENROULÉS, SIMPLEMENT LAMINÉS À CHAUD, NON PLAQUÉS NI REVÊTUS, ÉPAISSEUR &lt; 3 MM (SANS MOTIFS EN RELIEF, ET AUTRES QUE DÉCAPÉS)</v>
      </c>
    </row>
    <row r="8677" spans="1:4" x14ac:dyDescent="0.25">
      <c r="A8677" t="str">
        <f>T("   ZZZ_Monde")</f>
        <v xml:space="preserve">   ZZZ_Monde</v>
      </c>
      <c r="B8677" t="str">
        <f>T("   ZZZ_Monde")</f>
        <v xml:space="preserve">   ZZZ_Monde</v>
      </c>
      <c r="C8677">
        <v>1388719341</v>
      </c>
      <c r="D8677">
        <v>3539087</v>
      </c>
    </row>
    <row r="8678" spans="1:4" x14ac:dyDescent="0.25">
      <c r="A8678" t="str">
        <f>T("   AE")</f>
        <v xml:space="preserve">   AE</v>
      </c>
      <c r="B8678" t="str">
        <f>T("   Emirats Arabes Unis")</f>
        <v xml:space="preserve">   Emirats Arabes Unis</v>
      </c>
      <c r="C8678">
        <v>635588506</v>
      </c>
      <c r="D8678">
        <v>1667980</v>
      </c>
    </row>
    <row r="8679" spans="1:4" x14ac:dyDescent="0.25">
      <c r="A8679" t="str">
        <f>T("   FR")</f>
        <v xml:space="preserve">   FR</v>
      </c>
      <c r="B8679" t="str">
        <f>T("   France")</f>
        <v xml:space="preserve">   France</v>
      </c>
      <c r="C8679">
        <v>597370309</v>
      </c>
      <c r="D8679">
        <v>1468010</v>
      </c>
    </row>
    <row r="8680" spans="1:4" x14ac:dyDescent="0.25">
      <c r="A8680" t="str">
        <f>T("   IN")</f>
        <v xml:space="preserve">   IN</v>
      </c>
      <c r="B8680" t="str">
        <f>T("   Inde")</f>
        <v xml:space="preserve">   Inde</v>
      </c>
      <c r="C8680">
        <v>47200635</v>
      </c>
      <c r="D8680">
        <v>118095</v>
      </c>
    </row>
    <row r="8681" spans="1:4" x14ac:dyDescent="0.25">
      <c r="A8681" t="str">
        <f>T("   TG")</f>
        <v xml:space="preserve">   TG</v>
      </c>
      <c r="B8681" t="str">
        <f>T("   Togo")</f>
        <v xml:space="preserve">   Togo</v>
      </c>
      <c r="C8681">
        <v>108559891</v>
      </c>
      <c r="D8681">
        <v>285002</v>
      </c>
    </row>
    <row r="8682" spans="1:4" x14ac:dyDescent="0.25">
      <c r="A8682" t="str">
        <f>T("720854")</f>
        <v>720854</v>
      </c>
      <c r="B8682" t="str">
        <f>T("PRODUITS LAMINÉS PLATS, EN FER OU EN ACIER NON ALLIÉS, D'UNE LARGEUR &gt;= 600 MM, NON ENROULÉS, SIMPLEMENT LAMINÉS À CHAUD, NON PLAQUÉS NI REVÊTUS, ÉPAISSEUR &lt; 3 MM (SANS MOTIFS EN RELIEF)")</f>
        <v>PRODUITS LAMINÉS PLATS, EN FER OU EN ACIER NON ALLIÉS, D'UNE LARGEUR &gt;= 600 MM, NON ENROULÉS, SIMPLEMENT LAMINÉS À CHAUD, NON PLAQUÉS NI REVÊTUS, ÉPAISSEUR &lt; 3 MM (SANS MOTIFS EN RELIEF)</v>
      </c>
    </row>
    <row r="8683" spans="1:4" x14ac:dyDescent="0.25">
      <c r="A8683" t="str">
        <f>T("   ZZZ_Monde")</f>
        <v xml:space="preserve">   ZZZ_Monde</v>
      </c>
      <c r="B8683" t="str">
        <f>T("   ZZZ_Monde")</f>
        <v xml:space="preserve">   ZZZ_Monde</v>
      </c>
      <c r="C8683">
        <v>141534179</v>
      </c>
      <c r="D8683">
        <v>365268</v>
      </c>
    </row>
    <row r="8684" spans="1:4" x14ac:dyDescent="0.25">
      <c r="A8684" t="str">
        <f>T("   GH")</f>
        <v xml:space="preserve">   GH</v>
      </c>
      <c r="B8684" t="str">
        <f>T("   Ghana")</f>
        <v xml:space="preserve">   Ghana</v>
      </c>
      <c r="C8684">
        <v>31015911</v>
      </c>
      <c r="D8684">
        <v>115268</v>
      </c>
    </row>
    <row r="8685" spans="1:4" x14ac:dyDescent="0.25">
      <c r="A8685" t="str">
        <f>T("   TG")</f>
        <v xml:space="preserve">   TG</v>
      </c>
      <c r="B8685" t="str">
        <f>T("   Togo")</f>
        <v xml:space="preserve">   Togo</v>
      </c>
      <c r="C8685">
        <v>110518268</v>
      </c>
      <c r="D8685">
        <v>250000</v>
      </c>
    </row>
    <row r="8686" spans="1:4" x14ac:dyDescent="0.25">
      <c r="A8686" t="str">
        <f>T("720890")</f>
        <v>720890</v>
      </c>
      <c r="B8686" t="str">
        <f>T("PRODUITS LAMINÉS PLATS, EN FER OU EN ACIER, D'UNE LARGEUR &gt;= 600 MM, LAMINÉS À CHAUD ET AYANT SUBI CERTAINES OUVRAISONS PLUS POUSSÉES, MAIS NON-PLAQUÉS NI REVÊTUS")</f>
        <v>PRODUITS LAMINÉS PLATS, EN FER OU EN ACIER, D'UNE LARGEUR &gt;= 600 MM, LAMINÉS À CHAUD ET AYANT SUBI CERTAINES OUVRAISONS PLUS POUSSÉES, MAIS NON-PLAQUÉS NI REVÊTUS</v>
      </c>
    </row>
    <row r="8687" spans="1:4" x14ac:dyDescent="0.25">
      <c r="A8687" t="str">
        <f>T("   ZZZ_Monde")</f>
        <v xml:space="preserve">   ZZZ_Monde</v>
      </c>
      <c r="B8687" t="str">
        <f>T("   ZZZ_Monde")</f>
        <v xml:space="preserve">   ZZZ_Monde</v>
      </c>
      <c r="C8687">
        <v>134337592</v>
      </c>
      <c r="D8687">
        <v>319236</v>
      </c>
    </row>
    <row r="8688" spans="1:4" x14ac:dyDescent="0.25">
      <c r="A8688" t="str">
        <f>T("   CN")</f>
        <v xml:space="preserve">   CN</v>
      </c>
      <c r="B8688" t="str">
        <f>T("   Chine")</f>
        <v xml:space="preserve">   Chine</v>
      </c>
      <c r="C8688">
        <v>131841664</v>
      </c>
      <c r="D8688">
        <v>317492</v>
      </c>
    </row>
    <row r="8689" spans="1:4" x14ac:dyDescent="0.25">
      <c r="A8689" t="str">
        <f>T("   FR")</f>
        <v xml:space="preserve">   FR</v>
      </c>
      <c r="B8689" t="str">
        <f>T("   France")</f>
        <v xml:space="preserve">   France</v>
      </c>
      <c r="C8689">
        <v>2495928</v>
      </c>
      <c r="D8689">
        <v>1744</v>
      </c>
    </row>
    <row r="8690" spans="1:4" x14ac:dyDescent="0.25">
      <c r="A8690" t="str">
        <f>T("720915")</f>
        <v>720915</v>
      </c>
      <c r="B8690" t="str">
        <f>T("PRODUITS LAMINÉS PLATS, EN FER OU EN ACIERS NON ALLIÉS, D'UNE LARGEUR &gt;= 600 MM, ENROULÉS, SIMPLEMENT LAMINÉS À FROID, NON PLAQUÉS NI REVÊTUS, ÉPAISSEUR &gt;= 3 MM")</f>
        <v>PRODUITS LAMINÉS PLATS, EN FER OU EN ACIERS NON ALLIÉS, D'UNE LARGEUR &gt;= 600 MM, ENROULÉS, SIMPLEMENT LAMINÉS À FROID, NON PLAQUÉS NI REVÊTUS, ÉPAISSEUR &gt;= 3 MM</v>
      </c>
    </row>
    <row r="8691" spans="1:4" x14ac:dyDescent="0.25">
      <c r="A8691" t="str">
        <f>T("   ZZZ_Monde")</f>
        <v xml:space="preserve">   ZZZ_Monde</v>
      </c>
      <c r="B8691" t="str">
        <f>T("   ZZZ_Monde")</f>
        <v xml:space="preserve">   ZZZ_Monde</v>
      </c>
      <c r="C8691">
        <v>101637722</v>
      </c>
      <c r="D8691">
        <v>247580</v>
      </c>
    </row>
    <row r="8692" spans="1:4" x14ac:dyDescent="0.25">
      <c r="A8692" t="str">
        <f>T("   DE")</f>
        <v xml:space="preserve">   DE</v>
      </c>
      <c r="B8692" t="str">
        <f>T("   Allemagne")</f>
        <v xml:space="preserve">   Allemagne</v>
      </c>
      <c r="C8692">
        <v>101637722</v>
      </c>
      <c r="D8692">
        <v>247580</v>
      </c>
    </row>
    <row r="8693" spans="1:4" x14ac:dyDescent="0.25">
      <c r="A8693" t="str">
        <f>T("720917")</f>
        <v>720917</v>
      </c>
      <c r="B8693" t="str">
        <f>T("PRODUITS LAMINÉS PLATS, EN FER OU EN ACIERS NON-ALLIÉS, D'UNE LARGEUR &gt;= 600 MM, NON-PLAQUÉS NI REVÊTUS, ENROULÉS, SIMPL. LAMINÉS À FROID, D'UNE ÉPAISSEUR &gt;= 0,5 MM MAIS &lt;= 1 MM")</f>
        <v>PRODUITS LAMINÉS PLATS, EN FER OU EN ACIERS NON-ALLIÉS, D'UNE LARGEUR &gt;= 600 MM, NON-PLAQUÉS NI REVÊTUS, ENROULÉS, SIMPL. LAMINÉS À FROID, D'UNE ÉPAISSEUR &gt;= 0,5 MM MAIS &lt;= 1 MM</v>
      </c>
    </row>
    <row r="8694" spans="1:4" x14ac:dyDescent="0.25">
      <c r="A8694" t="str">
        <f>T("   ZZZ_Monde")</f>
        <v xml:space="preserve">   ZZZ_Monde</v>
      </c>
      <c r="B8694" t="str">
        <f>T("   ZZZ_Monde")</f>
        <v xml:space="preserve">   ZZZ_Monde</v>
      </c>
      <c r="C8694">
        <v>2611969082</v>
      </c>
      <c r="D8694">
        <v>6364615</v>
      </c>
    </row>
    <row r="8695" spans="1:4" x14ac:dyDescent="0.25">
      <c r="A8695" t="str">
        <f>T("   AE")</f>
        <v xml:space="preserve">   AE</v>
      </c>
      <c r="B8695" t="str">
        <f>T("   Emirats Arabes Unis")</f>
        <v xml:space="preserve">   Emirats Arabes Unis</v>
      </c>
      <c r="C8695">
        <v>726282848</v>
      </c>
      <c r="D8695">
        <v>1832860</v>
      </c>
    </row>
    <row r="8696" spans="1:4" x14ac:dyDescent="0.25">
      <c r="A8696" t="str">
        <f>T("   CN")</f>
        <v xml:space="preserve">   CN</v>
      </c>
      <c r="B8696" t="str">
        <f>T("   Chine")</f>
        <v xml:space="preserve">   Chine</v>
      </c>
      <c r="C8696">
        <v>26857654</v>
      </c>
      <c r="D8696">
        <v>54000</v>
      </c>
    </row>
    <row r="8697" spans="1:4" x14ac:dyDescent="0.25">
      <c r="A8697" t="str">
        <f>T("   DE")</f>
        <v xml:space="preserve">   DE</v>
      </c>
      <c r="B8697" t="str">
        <f>T("   Allemagne")</f>
        <v xml:space="preserve">   Allemagne</v>
      </c>
      <c r="C8697">
        <v>1061643054</v>
      </c>
      <c r="D8697">
        <v>2346265</v>
      </c>
    </row>
    <row r="8698" spans="1:4" x14ac:dyDescent="0.25">
      <c r="A8698" t="str">
        <f>T("   FR")</f>
        <v xml:space="preserve">   FR</v>
      </c>
      <c r="B8698" t="str">
        <f>T("   France")</f>
        <v xml:space="preserve">   France</v>
      </c>
      <c r="C8698">
        <v>4544642</v>
      </c>
      <c r="D8698">
        <v>200</v>
      </c>
    </row>
    <row r="8699" spans="1:4" x14ac:dyDescent="0.25">
      <c r="A8699" t="str">
        <f>T("   GB")</f>
        <v xml:space="preserve">   GB</v>
      </c>
      <c r="B8699" t="str">
        <f>T("   Royaume-Uni")</f>
        <v xml:space="preserve">   Royaume-Uni</v>
      </c>
      <c r="C8699">
        <v>24040744</v>
      </c>
      <c r="D8699">
        <v>60080</v>
      </c>
    </row>
    <row r="8700" spans="1:4" x14ac:dyDescent="0.25">
      <c r="A8700" t="str">
        <f>T("   SG")</f>
        <v xml:space="preserve">   SG</v>
      </c>
      <c r="B8700" t="str">
        <f>T("   Singapour")</f>
        <v xml:space="preserve">   Singapour</v>
      </c>
      <c r="C8700">
        <v>13550166</v>
      </c>
      <c r="D8700">
        <v>23620</v>
      </c>
    </row>
    <row r="8701" spans="1:4" x14ac:dyDescent="0.25">
      <c r="A8701" t="str">
        <f>T("   TG")</f>
        <v xml:space="preserve">   TG</v>
      </c>
      <c r="B8701" t="str">
        <f>T("   Togo")</f>
        <v xml:space="preserve">   Togo</v>
      </c>
      <c r="C8701">
        <v>755049974</v>
      </c>
      <c r="D8701">
        <v>2047590</v>
      </c>
    </row>
    <row r="8702" spans="1:4" x14ac:dyDescent="0.25">
      <c r="A8702" t="str">
        <f>T("720918")</f>
        <v>720918</v>
      </c>
      <c r="B8702" t="str">
        <f>T("PRODUITS LAMINÉS PLATS, EN FER OU EN ACIERS NON-ALLIÉS, D'UNE LARGEUR &gt;= 600 MM, NON-PLAQUÉS NI REVÊTUS, ENROULÉS, SIMPL. LAMINÉS À FROID, D'UNE ÉPAISSEUR &lt; 0,5 MM")</f>
        <v>PRODUITS LAMINÉS PLATS, EN FER OU EN ACIERS NON-ALLIÉS, D'UNE LARGEUR &gt;= 600 MM, NON-PLAQUÉS NI REVÊTUS, ENROULÉS, SIMPL. LAMINÉS À FROID, D'UNE ÉPAISSEUR &lt; 0,5 MM</v>
      </c>
    </row>
    <row r="8703" spans="1:4" x14ac:dyDescent="0.25">
      <c r="A8703" t="str">
        <f>T("   ZZZ_Monde")</f>
        <v xml:space="preserve">   ZZZ_Monde</v>
      </c>
      <c r="B8703" t="str">
        <f>T("   ZZZ_Monde")</f>
        <v xml:space="preserve">   ZZZ_Monde</v>
      </c>
      <c r="C8703">
        <v>162611828</v>
      </c>
      <c r="D8703">
        <v>392250</v>
      </c>
    </row>
    <row r="8704" spans="1:4" x14ac:dyDescent="0.25">
      <c r="A8704" t="str">
        <f>T("   UA")</f>
        <v xml:space="preserve">   UA</v>
      </c>
      <c r="B8704" t="str">
        <f>T("   Ukraine")</f>
        <v xml:space="preserve">   Ukraine</v>
      </c>
      <c r="C8704">
        <v>162611828</v>
      </c>
      <c r="D8704">
        <v>392250</v>
      </c>
    </row>
    <row r="8705" spans="1:4" x14ac:dyDescent="0.25">
      <c r="A8705" t="str">
        <f>T("720927")</f>
        <v>720927</v>
      </c>
      <c r="B8705" t="str">
        <f>T("PRODUITS LAMINÉS PLATS, EN FER OU EN ACIERS NON-ALLIÉS, D'UNE LARGEUR &gt;= 600 MM, NON-PLAQUÉS NI REVÊTUS, NON-ENROULÉS, SIMPL. LAMINÉS À FROID, D'UNE ÉPAISSEUR &gt;= 0,5 MM MAIS &lt;= 1 MM")</f>
        <v>PRODUITS LAMINÉS PLATS, EN FER OU EN ACIERS NON-ALLIÉS, D'UNE LARGEUR &gt;= 600 MM, NON-PLAQUÉS NI REVÊTUS, NON-ENROULÉS, SIMPL. LAMINÉS À FROID, D'UNE ÉPAISSEUR &gt;= 0,5 MM MAIS &lt;= 1 MM</v>
      </c>
    </row>
    <row r="8706" spans="1:4" x14ac:dyDescent="0.25">
      <c r="A8706" t="str">
        <f>T("   ZZZ_Monde")</f>
        <v xml:space="preserve">   ZZZ_Monde</v>
      </c>
      <c r="B8706" t="str">
        <f>T("   ZZZ_Monde")</f>
        <v xml:space="preserve">   ZZZ_Monde</v>
      </c>
      <c r="C8706">
        <v>170958927</v>
      </c>
      <c r="D8706">
        <v>703881</v>
      </c>
    </row>
    <row r="8707" spans="1:4" x14ac:dyDescent="0.25">
      <c r="A8707" t="str">
        <f>T("   CN")</f>
        <v xml:space="preserve">   CN</v>
      </c>
      <c r="B8707" t="str">
        <f>T("   Chine")</f>
        <v xml:space="preserve">   Chine</v>
      </c>
      <c r="C8707">
        <v>5292000</v>
      </c>
      <c r="D8707">
        <v>36020</v>
      </c>
    </row>
    <row r="8708" spans="1:4" x14ac:dyDescent="0.25">
      <c r="A8708" t="str">
        <f>T("   GH")</f>
        <v xml:space="preserve">   GH</v>
      </c>
      <c r="B8708" t="str">
        <f>T("   Ghana")</f>
        <v xml:space="preserve">   Ghana</v>
      </c>
      <c r="C8708">
        <v>88693317</v>
      </c>
      <c r="D8708">
        <v>365811</v>
      </c>
    </row>
    <row r="8709" spans="1:4" x14ac:dyDescent="0.25">
      <c r="A8709" t="str">
        <f>T("   TG")</f>
        <v xml:space="preserve">   TG</v>
      </c>
      <c r="B8709" t="str">
        <f>T("   Togo")</f>
        <v xml:space="preserve">   Togo</v>
      </c>
      <c r="C8709">
        <v>76973610</v>
      </c>
      <c r="D8709">
        <v>302050</v>
      </c>
    </row>
    <row r="8710" spans="1:4" x14ac:dyDescent="0.25">
      <c r="A8710" t="str">
        <f>T("720990")</f>
        <v>720990</v>
      </c>
      <c r="B8710" t="str">
        <f>T("PRODUITS LAMINÉS PLATS, EN FER OU EN ACIER, D'UNE LARGEUR &gt;= 600 MM, LAMINÉS À FROID ET AYANT SUBI CERTAINES OUVRAISONS PLUS POUSSÉES, MAIS NON-PLAQUÉS NI REVÊTUS")</f>
        <v>PRODUITS LAMINÉS PLATS, EN FER OU EN ACIER, D'UNE LARGEUR &gt;= 600 MM, LAMINÉS À FROID ET AYANT SUBI CERTAINES OUVRAISONS PLUS POUSSÉES, MAIS NON-PLAQUÉS NI REVÊTUS</v>
      </c>
    </row>
    <row r="8711" spans="1:4" x14ac:dyDescent="0.25">
      <c r="A8711" t="str">
        <f>T("   ZZZ_Monde")</f>
        <v xml:space="preserve">   ZZZ_Monde</v>
      </c>
      <c r="B8711" t="str">
        <f>T("   ZZZ_Monde")</f>
        <v xml:space="preserve">   ZZZ_Monde</v>
      </c>
      <c r="C8711">
        <v>184284370</v>
      </c>
      <c r="D8711">
        <v>562924</v>
      </c>
    </row>
    <row r="8712" spans="1:4" x14ac:dyDescent="0.25">
      <c r="A8712" t="str">
        <f>T("   FR")</f>
        <v xml:space="preserve">   FR</v>
      </c>
      <c r="B8712" t="str">
        <f>T("   France")</f>
        <v xml:space="preserve">   France</v>
      </c>
      <c r="C8712">
        <v>3840645</v>
      </c>
      <c r="D8712">
        <v>5884</v>
      </c>
    </row>
    <row r="8713" spans="1:4" x14ac:dyDescent="0.25">
      <c r="A8713" t="str">
        <f>T("   GH")</f>
        <v xml:space="preserve">   GH</v>
      </c>
      <c r="B8713" t="str">
        <f>T("   Ghana")</f>
        <v xml:space="preserve">   Ghana</v>
      </c>
      <c r="C8713">
        <v>12800000</v>
      </c>
      <c r="D8713">
        <v>50000</v>
      </c>
    </row>
    <row r="8714" spans="1:4" x14ac:dyDescent="0.25">
      <c r="A8714" t="str">
        <f>T("   TG")</f>
        <v xml:space="preserve">   TG</v>
      </c>
      <c r="B8714" t="str">
        <f>T("   Togo")</f>
        <v xml:space="preserve">   Togo</v>
      </c>
      <c r="C8714">
        <v>383764</v>
      </c>
      <c r="D8714">
        <v>4050</v>
      </c>
    </row>
    <row r="8715" spans="1:4" x14ac:dyDescent="0.25">
      <c r="A8715" t="str">
        <f>T("   UA")</f>
        <v xml:space="preserve">   UA</v>
      </c>
      <c r="B8715" t="str">
        <f>T("   Ukraine")</f>
        <v xml:space="preserve">   Ukraine</v>
      </c>
      <c r="C8715">
        <v>167259961</v>
      </c>
      <c r="D8715">
        <v>502990</v>
      </c>
    </row>
    <row r="8716" spans="1:4" x14ac:dyDescent="0.25">
      <c r="A8716" t="str">
        <f>T("721030")</f>
        <v>721030</v>
      </c>
      <c r="B8716" t="str">
        <f>T("Produits laminés plats, en fer ou en aciers non alliés, d'une largeur &gt;= 600 mm, laminés à chaud ou à froid, zingués électrolytiquement")</f>
        <v>Produits laminés plats, en fer ou en aciers non alliés, d'une largeur &gt;= 600 mm, laminés à chaud ou à froid, zingués électrolytiquement</v>
      </c>
    </row>
    <row r="8717" spans="1:4" x14ac:dyDescent="0.25">
      <c r="A8717" t="str">
        <f>T("   ZZZ_Monde")</f>
        <v xml:space="preserve">   ZZZ_Monde</v>
      </c>
      <c r="B8717" t="str">
        <f>T("   ZZZ_Monde")</f>
        <v xml:space="preserve">   ZZZ_Monde</v>
      </c>
      <c r="C8717">
        <v>1592660</v>
      </c>
      <c r="D8717">
        <v>4240</v>
      </c>
    </row>
    <row r="8718" spans="1:4" x14ac:dyDescent="0.25">
      <c r="A8718" t="str">
        <f>T("   CN")</f>
        <v xml:space="preserve">   CN</v>
      </c>
      <c r="B8718" t="str">
        <f>T("   Chine")</f>
        <v xml:space="preserve">   Chine</v>
      </c>
      <c r="C8718">
        <v>1592660</v>
      </c>
      <c r="D8718">
        <v>4240</v>
      </c>
    </row>
    <row r="8719" spans="1:4" x14ac:dyDescent="0.25">
      <c r="A8719" t="str">
        <f>T("721041")</f>
        <v>721041</v>
      </c>
      <c r="B8719" t="str">
        <f>T("Produits laminés plats, en fer ou en aciers non alliés, d'une largeur &gt;= 600 mm, laminés à chaud ou à froid, zingués, ondulés (à l'excl. des produits zingués électrolytiquement)")</f>
        <v>Produits laminés plats, en fer ou en aciers non alliés, d'une largeur &gt;= 600 mm, laminés à chaud ou à froid, zingués, ondulés (à l'excl. des produits zingués électrolytiquement)</v>
      </c>
    </row>
    <row r="8720" spans="1:4" x14ac:dyDescent="0.25">
      <c r="A8720" t="str">
        <f>T("   ZZZ_Monde")</f>
        <v xml:space="preserve">   ZZZ_Monde</v>
      </c>
      <c r="B8720" t="str">
        <f>T("   ZZZ_Monde")</f>
        <v xml:space="preserve">   ZZZ_Monde</v>
      </c>
      <c r="C8720">
        <v>5233816548</v>
      </c>
      <c r="D8720">
        <v>13925397</v>
      </c>
    </row>
    <row r="8721" spans="1:4" x14ac:dyDescent="0.25">
      <c r="A8721" t="str">
        <f>T("   BR")</f>
        <v xml:space="preserve">   BR</v>
      </c>
      <c r="B8721" t="str">
        <f>T("   Brésil")</f>
        <v xml:space="preserve">   Brésil</v>
      </c>
      <c r="C8721">
        <v>503875316</v>
      </c>
      <c r="D8721">
        <v>1766000</v>
      </c>
    </row>
    <row r="8722" spans="1:4" x14ac:dyDescent="0.25">
      <c r="A8722" t="str">
        <f>T("   CA")</f>
        <v xml:space="preserve">   CA</v>
      </c>
      <c r="B8722" t="str">
        <f>T("   Canada")</f>
        <v xml:space="preserve">   Canada</v>
      </c>
      <c r="C8722">
        <v>200000</v>
      </c>
      <c r="D8722">
        <v>25</v>
      </c>
    </row>
    <row r="8723" spans="1:4" x14ac:dyDescent="0.25">
      <c r="A8723" t="str">
        <f>T("   CI")</f>
        <v xml:space="preserve">   CI</v>
      </c>
      <c r="B8723" t="str">
        <f>T("   Côte d'Ivoire")</f>
        <v xml:space="preserve">   Côte d'Ivoire</v>
      </c>
      <c r="C8723">
        <v>140841136</v>
      </c>
      <c r="D8723">
        <v>300000</v>
      </c>
    </row>
    <row r="8724" spans="1:4" x14ac:dyDescent="0.25">
      <c r="A8724" t="str">
        <f>T("   CN")</f>
        <v xml:space="preserve">   CN</v>
      </c>
      <c r="B8724" t="str">
        <f>T("   Chine")</f>
        <v xml:space="preserve">   Chine</v>
      </c>
      <c r="C8724">
        <v>1082247934</v>
      </c>
      <c r="D8724">
        <v>3909709</v>
      </c>
    </row>
    <row r="8725" spans="1:4" x14ac:dyDescent="0.25">
      <c r="A8725" t="str">
        <f>T("   FR")</f>
        <v xml:space="preserve">   FR</v>
      </c>
      <c r="B8725" t="str">
        <f>T("   France")</f>
        <v xml:space="preserve">   France</v>
      </c>
      <c r="C8725">
        <v>52368983</v>
      </c>
      <c r="D8725">
        <v>205465</v>
      </c>
    </row>
    <row r="8726" spans="1:4" x14ac:dyDescent="0.25">
      <c r="A8726" t="str">
        <f>T("   GH")</f>
        <v xml:space="preserve">   GH</v>
      </c>
      <c r="B8726" t="str">
        <f>T("   Ghana")</f>
        <v xml:space="preserve">   Ghana</v>
      </c>
      <c r="C8726">
        <v>91756329</v>
      </c>
      <c r="D8726">
        <v>220000</v>
      </c>
    </row>
    <row r="8727" spans="1:4" x14ac:dyDescent="0.25">
      <c r="A8727" t="str">
        <f>T("   IN")</f>
        <v xml:space="preserve">   IN</v>
      </c>
      <c r="B8727" t="str">
        <f>T("   Inde")</f>
        <v xml:space="preserve">   Inde</v>
      </c>
      <c r="C8727">
        <v>1062742056</v>
      </c>
      <c r="D8727">
        <v>1964788</v>
      </c>
    </row>
    <row r="8728" spans="1:4" x14ac:dyDescent="0.25">
      <c r="A8728" t="str">
        <f>T("   NG")</f>
        <v xml:space="preserve">   NG</v>
      </c>
      <c r="B8728" t="str">
        <f>T("   Nigéria")</f>
        <v xml:space="preserve">   Nigéria</v>
      </c>
      <c r="C8728">
        <v>60714377</v>
      </c>
      <c r="D8728">
        <v>88560</v>
      </c>
    </row>
    <row r="8729" spans="1:4" x14ac:dyDescent="0.25">
      <c r="A8729" t="str">
        <f>T("   SG")</f>
        <v xml:space="preserve">   SG</v>
      </c>
      <c r="B8729" t="str">
        <f>T("   Singapour")</f>
        <v xml:space="preserve">   Singapour</v>
      </c>
      <c r="C8729">
        <v>37120864</v>
      </c>
      <c r="D8729">
        <v>100400</v>
      </c>
    </row>
    <row r="8730" spans="1:4" x14ac:dyDescent="0.25">
      <c r="A8730" t="str">
        <f>T("   TG")</f>
        <v xml:space="preserve">   TG</v>
      </c>
      <c r="B8730" t="str">
        <f>T("   Togo")</f>
        <v xml:space="preserve">   Togo</v>
      </c>
      <c r="C8730">
        <v>2201949553</v>
      </c>
      <c r="D8730">
        <v>5370450</v>
      </c>
    </row>
    <row r="8731" spans="1:4" x14ac:dyDescent="0.25">
      <c r="A8731" t="str">
        <f>T("721049")</f>
        <v>721049</v>
      </c>
      <c r="B8731" t="str">
        <f>T("Produits laminés plats, en fer ou en aciers non alliés, d'une largeur &gt;= 600 mm, laminés à chaud ou à froid, zingués, non ondulés (à l'excl. des produits zingués électrolytiquement)")</f>
        <v>Produits laminés plats, en fer ou en aciers non alliés, d'une largeur &gt;= 600 mm, laminés à chaud ou à froid, zingués, non ondulés (à l'excl. des produits zingués électrolytiquement)</v>
      </c>
    </row>
    <row r="8732" spans="1:4" x14ac:dyDescent="0.25">
      <c r="A8732" t="str">
        <f>T("   ZZZ_Monde")</f>
        <v xml:space="preserve">   ZZZ_Monde</v>
      </c>
      <c r="B8732" t="str">
        <f>T("   ZZZ_Monde")</f>
        <v xml:space="preserve">   ZZZ_Monde</v>
      </c>
      <c r="C8732">
        <v>5344380380</v>
      </c>
      <c r="D8732">
        <v>9264373</v>
      </c>
    </row>
    <row r="8733" spans="1:4" x14ac:dyDescent="0.25">
      <c r="A8733" t="str">
        <f>T("   BE")</f>
        <v xml:space="preserve">   BE</v>
      </c>
      <c r="B8733" t="str">
        <f>T("   Belgique")</f>
        <v xml:space="preserve">   Belgique</v>
      </c>
      <c r="C8733">
        <v>635621964</v>
      </c>
      <c r="D8733">
        <v>978965</v>
      </c>
    </row>
    <row r="8734" spans="1:4" x14ac:dyDescent="0.25">
      <c r="A8734" t="str">
        <f>T("   BR")</f>
        <v xml:space="preserve">   BR</v>
      </c>
      <c r="B8734" t="str">
        <f>T("   Brésil")</f>
        <v xml:space="preserve">   Brésil</v>
      </c>
      <c r="C8734">
        <v>60420600</v>
      </c>
      <c r="D8734">
        <v>250000</v>
      </c>
    </row>
    <row r="8735" spans="1:4" x14ac:dyDescent="0.25">
      <c r="A8735" t="str">
        <f>T("   CH")</f>
        <v xml:space="preserve">   CH</v>
      </c>
      <c r="B8735" t="str">
        <f>T("   Suisse")</f>
        <v xml:space="preserve">   Suisse</v>
      </c>
      <c r="C8735">
        <v>1232806515</v>
      </c>
      <c r="D8735">
        <v>1925842</v>
      </c>
    </row>
    <row r="8736" spans="1:4" x14ac:dyDescent="0.25">
      <c r="A8736" t="str">
        <f>T("   CI")</f>
        <v xml:space="preserve">   CI</v>
      </c>
      <c r="B8736" t="str">
        <f>T("   Côte d'Ivoire")</f>
        <v xml:space="preserve">   Côte d'Ivoire</v>
      </c>
      <c r="C8736">
        <v>209828650</v>
      </c>
      <c r="D8736">
        <v>344184</v>
      </c>
    </row>
    <row r="8737" spans="1:4" x14ac:dyDescent="0.25">
      <c r="A8737" t="str">
        <f>T("   CN")</f>
        <v xml:space="preserve">   CN</v>
      </c>
      <c r="B8737" t="str">
        <f>T("   Chine")</f>
        <v xml:space="preserve">   Chine</v>
      </c>
      <c r="C8737">
        <v>122153181</v>
      </c>
      <c r="D8737">
        <v>429426</v>
      </c>
    </row>
    <row r="8738" spans="1:4" x14ac:dyDescent="0.25">
      <c r="A8738" t="str">
        <f>T("   GB")</f>
        <v xml:space="preserve">   GB</v>
      </c>
      <c r="B8738" t="str">
        <f>T("   Royaume-Uni")</f>
        <v xml:space="preserve">   Royaume-Uni</v>
      </c>
      <c r="C8738">
        <v>130734573</v>
      </c>
      <c r="D8738">
        <v>204975</v>
      </c>
    </row>
    <row r="8739" spans="1:4" x14ac:dyDescent="0.25">
      <c r="A8739" t="str">
        <f>T("   IN")</f>
        <v xml:space="preserve">   IN</v>
      </c>
      <c r="B8739" t="str">
        <f>T("   Inde")</f>
        <v xml:space="preserve">   Inde</v>
      </c>
      <c r="C8739">
        <v>1468309792</v>
      </c>
      <c r="D8739">
        <v>2543306</v>
      </c>
    </row>
    <row r="8740" spans="1:4" x14ac:dyDescent="0.25">
      <c r="A8740" t="str">
        <f>T("   IT")</f>
        <v xml:space="preserve">   IT</v>
      </c>
      <c r="B8740" t="str">
        <f>T("   Italie")</f>
        <v xml:space="preserve">   Italie</v>
      </c>
      <c r="C8740">
        <v>4656677</v>
      </c>
      <c r="D8740">
        <v>5257</v>
      </c>
    </row>
    <row r="8741" spans="1:4" x14ac:dyDescent="0.25">
      <c r="A8741" t="str">
        <f>T("   MA")</f>
        <v xml:space="preserve">   MA</v>
      </c>
      <c r="B8741" t="str">
        <f>T("   Maroc")</f>
        <v xml:space="preserve">   Maroc</v>
      </c>
      <c r="C8741">
        <v>35390721</v>
      </c>
      <c r="D8741">
        <v>73810</v>
      </c>
    </row>
    <row r="8742" spans="1:4" x14ac:dyDescent="0.25">
      <c r="A8742" t="str">
        <f>T("   SG")</f>
        <v xml:space="preserve">   SG</v>
      </c>
      <c r="B8742" t="str">
        <f>T("   Singapour")</f>
        <v xml:space="preserve">   Singapour</v>
      </c>
      <c r="C8742">
        <v>1276002064</v>
      </c>
      <c r="D8742">
        <v>2110603</v>
      </c>
    </row>
    <row r="8743" spans="1:4" x14ac:dyDescent="0.25">
      <c r="A8743" t="str">
        <f>T("   TG")</f>
        <v xml:space="preserve">   TG</v>
      </c>
      <c r="B8743" t="str">
        <f>T("   Togo")</f>
        <v xml:space="preserve">   Togo</v>
      </c>
      <c r="C8743">
        <v>168455643</v>
      </c>
      <c r="D8743">
        <v>398005</v>
      </c>
    </row>
    <row r="8744" spans="1:4" x14ac:dyDescent="0.25">
      <c r="A8744" t="str">
        <f>T("721061")</f>
        <v>721061</v>
      </c>
      <c r="B8744" t="str">
        <f>T("Produits laminés plats, en fer ou aciers non alliés, d'une largeur &gt;= 600 mm, laminés à chaud ou à froid, revêtus d'alliages d'aluminium et de zinc")</f>
        <v>Produits laminés plats, en fer ou aciers non alliés, d'une largeur &gt;= 600 mm, laminés à chaud ou à froid, revêtus d'alliages d'aluminium et de zinc</v>
      </c>
    </row>
    <row r="8745" spans="1:4" x14ac:dyDescent="0.25">
      <c r="A8745" t="str">
        <f>T("   ZZZ_Monde")</f>
        <v xml:space="preserve">   ZZZ_Monde</v>
      </c>
      <c r="B8745" t="str">
        <f>T("   ZZZ_Monde")</f>
        <v xml:space="preserve">   ZZZ_Monde</v>
      </c>
      <c r="C8745">
        <v>7887919</v>
      </c>
      <c r="D8745">
        <v>25000</v>
      </c>
    </row>
    <row r="8746" spans="1:4" x14ac:dyDescent="0.25">
      <c r="A8746" t="str">
        <f>T("   JP")</f>
        <v xml:space="preserve">   JP</v>
      </c>
      <c r="B8746" t="str">
        <f>T("   Japon")</f>
        <v xml:space="preserve">   Japon</v>
      </c>
      <c r="C8746">
        <v>7887919</v>
      </c>
      <c r="D8746">
        <v>25000</v>
      </c>
    </row>
    <row r="8747" spans="1:4" x14ac:dyDescent="0.25">
      <c r="A8747" t="str">
        <f>T("721069")</f>
        <v>721069</v>
      </c>
      <c r="B8747" t="str">
        <f>T("Produits laminés plats, en fer ou aciers non alliés, d'une largeur &gt;= 600 mm, laminés à chaud ou à froid, revêtus d'aluminium (autres que revêtus d'alliages d'aluminium et de zinc)")</f>
        <v>Produits laminés plats, en fer ou aciers non alliés, d'une largeur &gt;= 600 mm, laminés à chaud ou à froid, revêtus d'aluminium (autres que revêtus d'alliages d'aluminium et de zinc)</v>
      </c>
    </row>
    <row r="8748" spans="1:4" x14ac:dyDescent="0.25">
      <c r="A8748" t="str">
        <f>T("   ZZZ_Monde")</f>
        <v xml:space="preserve">   ZZZ_Monde</v>
      </c>
      <c r="B8748" t="str">
        <f>T("   ZZZ_Monde")</f>
        <v xml:space="preserve">   ZZZ_Monde</v>
      </c>
      <c r="C8748">
        <v>799322026</v>
      </c>
      <c r="D8748">
        <v>1829145</v>
      </c>
    </row>
    <row r="8749" spans="1:4" x14ac:dyDescent="0.25">
      <c r="A8749" t="str">
        <f>T("   BE")</f>
        <v xml:space="preserve">   BE</v>
      </c>
      <c r="B8749" t="str">
        <f>T("   Belgique")</f>
        <v xml:space="preserve">   Belgique</v>
      </c>
      <c r="C8749">
        <v>681543</v>
      </c>
      <c r="D8749">
        <v>260</v>
      </c>
    </row>
    <row r="8750" spans="1:4" x14ac:dyDescent="0.25">
      <c r="A8750" t="str">
        <f>T("   CN")</f>
        <v xml:space="preserve">   CN</v>
      </c>
      <c r="B8750" t="str">
        <f>T("   Chine")</f>
        <v xml:space="preserve">   Chine</v>
      </c>
      <c r="C8750">
        <v>798640483</v>
      </c>
      <c r="D8750">
        <v>1828885</v>
      </c>
    </row>
    <row r="8751" spans="1:4" x14ac:dyDescent="0.25">
      <c r="A8751" t="str">
        <f>T("721070")</f>
        <v>721070</v>
      </c>
      <c r="B8751" t="str">
        <f>T("PRODUITS LAMINÉS PLATS, EN FER OU EN ACIERS NON-ALLIÉS, D'UNE LARGEUR &gt;= 600 MM, LAMINÉS À CHAUD OU À FROID, PEINTS, VERNIS OU REVÊTUS DE MATIÈRES PLASTIQUES")</f>
        <v>PRODUITS LAMINÉS PLATS, EN FER OU EN ACIERS NON-ALLIÉS, D'UNE LARGEUR &gt;= 600 MM, LAMINÉS À CHAUD OU À FROID, PEINTS, VERNIS OU REVÊTUS DE MATIÈRES PLASTIQUES</v>
      </c>
    </row>
    <row r="8752" spans="1:4" x14ac:dyDescent="0.25">
      <c r="A8752" t="str">
        <f>T("   ZZZ_Monde")</f>
        <v xml:space="preserve">   ZZZ_Monde</v>
      </c>
      <c r="B8752" t="str">
        <f>T("   ZZZ_Monde")</f>
        <v xml:space="preserve">   ZZZ_Monde</v>
      </c>
      <c r="C8752">
        <v>13510807</v>
      </c>
      <c r="D8752">
        <v>22240</v>
      </c>
    </row>
    <row r="8753" spans="1:4" x14ac:dyDescent="0.25">
      <c r="A8753" t="str">
        <f>T("   IN")</f>
        <v xml:space="preserve">   IN</v>
      </c>
      <c r="B8753" t="str">
        <f>T("   Inde")</f>
        <v xml:space="preserve">   Inde</v>
      </c>
      <c r="C8753">
        <v>13510807</v>
      </c>
      <c r="D8753">
        <v>22240</v>
      </c>
    </row>
    <row r="8754" spans="1:4" x14ac:dyDescent="0.25">
      <c r="A8754" t="str">
        <f>T("721090")</f>
        <v>721090</v>
      </c>
      <c r="B8754" t="str">
        <f>T("PRODUITS LAMINÉS PLATS, EN FER OU EN ACIERS NON-ALLIÉS, D'UNE LARGEUR &gt;= 600 MM, LAMINÉS À CHAUD OU À FROID, PLAQUÉS OU REVÊTUS (À L'EXCL. DES PRODUITS ÉTAMÉS, PLOMBÉS, ZINGUÉS, PEINTS, VERNIS OU REVÊTUS D'ALUMINIUM, DE MATIÈRES PLASTIQUES OU D'OXYDES DE")</f>
        <v>PRODUITS LAMINÉS PLATS, EN FER OU EN ACIERS NON-ALLIÉS, D'UNE LARGEUR &gt;= 600 MM, LAMINÉS À CHAUD OU À FROID, PLAQUÉS OU REVÊTUS (À L'EXCL. DES PRODUITS ÉTAMÉS, PLOMBÉS, ZINGUÉS, PEINTS, VERNIS OU REVÊTUS D'ALUMINIUM, DE MATIÈRES PLASTIQUES OU D'OXYDES DE</v>
      </c>
    </row>
    <row r="8755" spans="1:4" x14ac:dyDescent="0.25">
      <c r="A8755" t="str">
        <f>T("   ZZZ_Monde")</f>
        <v xml:space="preserve">   ZZZ_Monde</v>
      </c>
      <c r="B8755" t="str">
        <f>T("   ZZZ_Monde")</f>
        <v xml:space="preserve">   ZZZ_Monde</v>
      </c>
      <c r="C8755">
        <v>170271263</v>
      </c>
      <c r="D8755">
        <v>523749</v>
      </c>
    </row>
    <row r="8756" spans="1:4" x14ac:dyDescent="0.25">
      <c r="A8756" t="str">
        <f>T("   FR")</f>
        <v xml:space="preserve">   FR</v>
      </c>
      <c r="B8756" t="str">
        <f>T("   France")</f>
        <v xml:space="preserve">   France</v>
      </c>
      <c r="C8756">
        <v>1229925</v>
      </c>
      <c r="D8756">
        <v>1309</v>
      </c>
    </row>
    <row r="8757" spans="1:4" x14ac:dyDescent="0.25">
      <c r="A8757" t="str">
        <f>T("   IN")</f>
        <v xml:space="preserve">   IN</v>
      </c>
      <c r="B8757" t="str">
        <f>T("   Inde")</f>
        <v xml:space="preserve">   Inde</v>
      </c>
      <c r="C8757">
        <v>14200222</v>
      </c>
      <c r="D8757">
        <v>24085</v>
      </c>
    </row>
    <row r="8758" spans="1:4" x14ac:dyDescent="0.25">
      <c r="A8758" t="str">
        <f>T("   IT")</f>
        <v xml:space="preserve">   IT</v>
      </c>
      <c r="B8758" t="str">
        <f>T("   Italie")</f>
        <v xml:space="preserve">   Italie</v>
      </c>
      <c r="C8758">
        <v>45330116</v>
      </c>
      <c r="D8758">
        <v>71900</v>
      </c>
    </row>
    <row r="8759" spans="1:4" x14ac:dyDescent="0.25">
      <c r="A8759" t="str">
        <f>T("   NG")</f>
        <v xml:space="preserve">   NG</v>
      </c>
      <c r="B8759" t="str">
        <f>T("   Nigéria")</f>
        <v xml:space="preserve">   Nigéria</v>
      </c>
      <c r="C8759">
        <v>109511000</v>
      </c>
      <c r="D8759">
        <v>426455</v>
      </c>
    </row>
    <row r="8760" spans="1:4" x14ac:dyDescent="0.25">
      <c r="A8760" t="str">
        <f>T("721190")</f>
        <v>721190</v>
      </c>
      <c r="B8760" t="str">
        <f>T("PRODUITS LAMINÉS PLATS, EN FER OU EN ACIERS NON-ALLIÉS, D'UNE LARGEUR &lt; 600 MM, LAMINÉS À CHAUD OU À FROID ET AYANT SUBI CERTAINES OUVRAISONS PLUS POUSSÉES, MAIS NON-PLAQUÉS NI REVÊTUS")</f>
        <v>PRODUITS LAMINÉS PLATS, EN FER OU EN ACIERS NON-ALLIÉS, D'UNE LARGEUR &lt; 600 MM, LAMINÉS À CHAUD OU À FROID ET AYANT SUBI CERTAINES OUVRAISONS PLUS POUSSÉES, MAIS NON-PLAQUÉS NI REVÊTUS</v>
      </c>
    </row>
    <row r="8761" spans="1:4" x14ac:dyDescent="0.25">
      <c r="A8761" t="str">
        <f>T("   ZZZ_Monde")</f>
        <v xml:space="preserve">   ZZZ_Monde</v>
      </c>
      <c r="B8761" t="str">
        <f>T("   ZZZ_Monde")</f>
        <v xml:space="preserve">   ZZZ_Monde</v>
      </c>
      <c r="C8761">
        <v>320717534</v>
      </c>
      <c r="D8761">
        <v>1206731</v>
      </c>
    </row>
    <row r="8762" spans="1:4" x14ac:dyDescent="0.25">
      <c r="A8762" t="str">
        <f>T("   BE")</f>
        <v xml:space="preserve">   BE</v>
      </c>
      <c r="B8762" t="str">
        <f>T("   Belgique")</f>
        <v xml:space="preserve">   Belgique</v>
      </c>
      <c r="C8762">
        <v>3194056</v>
      </c>
      <c r="D8762">
        <v>7891</v>
      </c>
    </row>
    <row r="8763" spans="1:4" x14ac:dyDescent="0.25">
      <c r="A8763" t="str">
        <f>T("   GH")</f>
        <v xml:space="preserve">   GH</v>
      </c>
      <c r="B8763" t="str">
        <f>T("   Ghana")</f>
        <v xml:space="preserve">   Ghana</v>
      </c>
      <c r="C8763">
        <v>317523478</v>
      </c>
      <c r="D8763">
        <v>1198840</v>
      </c>
    </row>
    <row r="8764" spans="1:4" x14ac:dyDescent="0.25">
      <c r="A8764" t="str">
        <f>T("721210")</f>
        <v>721210</v>
      </c>
      <c r="B8764" t="str">
        <f>T("PRODUITS LAMINÉS PLATS, EN FER OU EN ACIERS NON-ALLIÉS, D'UNE LARGEUR &lt; 600 MM, LAMINÉS À CHAUD OU À FROID, ÉTAMÉS")</f>
        <v>PRODUITS LAMINÉS PLATS, EN FER OU EN ACIERS NON-ALLIÉS, D'UNE LARGEUR &lt; 600 MM, LAMINÉS À CHAUD OU À FROID, ÉTAMÉS</v>
      </c>
    </row>
    <row r="8765" spans="1:4" x14ac:dyDescent="0.25">
      <c r="A8765" t="str">
        <f>T("   ZZZ_Monde")</f>
        <v xml:space="preserve">   ZZZ_Monde</v>
      </c>
      <c r="B8765" t="str">
        <f>T("   ZZZ_Monde")</f>
        <v xml:space="preserve">   ZZZ_Monde</v>
      </c>
      <c r="C8765">
        <v>49714034</v>
      </c>
      <c r="D8765">
        <v>128710</v>
      </c>
    </row>
    <row r="8766" spans="1:4" x14ac:dyDescent="0.25">
      <c r="A8766" t="str">
        <f>T("   CA")</f>
        <v xml:space="preserve">   CA</v>
      </c>
      <c r="B8766" t="str">
        <f>T("   Canada")</f>
        <v xml:space="preserve">   Canada</v>
      </c>
      <c r="C8766">
        <v>17484771</v>
      </c>
      <c r="D8766">
        <v>51062</v>
      </c>
    </row>
    <row r="8767" spans="1:4" x14ac:dyDescent="0.25">
      <c r="A8767" t="str">
        <f>T("   CN")</f>
        <v xml:space="preserve">   CN</v>
      </c>
      <c r="B8767" t="str">
        <f>T("   Chine")</f>
        <v xml:space="preserve">   Chine</v>
      </c>
      <c r="C8767">
        <v>32229263</v>
      </c>
      <c r="D8767">
        <v>77648</v>
      </c>
    </row>
    <row r="8768" spans="1:4" x14ac:dyDescent="0.25">
      <c r="A8768" t="str">
        <f>T("721240")</f>
        <v>721240</v>
      </c>
      <c r="B8768" t="str">
        <f>T("PRODUITS LAMINÉS PLATS, EN FER OU EN ACIERS NON-ALLIÉS, D'UNE LARGEUR &lt; 600 MM, LAMINÉS À CHAUD OU À FROID, PEINTS, VERNIS OU REVÊTUS DE MATIÈRES PLASTIQUES")</f>
        <v>PRODUITS LAMINÉS PLATS, EN FER OU EN ACIERS NON-ALLIÉS, D'UNE LARGEUR &lt; 600 MM, LAMINÉS À CHAUD OU À FROID, PEINTS, VERNIS OU REVÊTUS DE MATIÈRES PLASTIQUES</v>
      </c>
    </row>
    <row r="8769" spans="1:4" x14ac:dyDescent="0.25">
      <c r="A8769" t="str">
        <f>T("   ZZZ_Monde")</f>
        <v xml:space="preserve">   ZZZ_Monde</v>
      </c>
      <c r="B8769" t="str">
        <f>T("   ZZZ_Monde")</f>
        <v xml:space="preserve">   ZZZ_Monde</v>
      </c>
      <c r="C8769">
        <v>19624296</v>
      </c>
      <c r="D8769">
        <v>78082</v>
      </c>
    </row>
    <row r="8770" spans="1:4" x14ac:dyDescent="0.25">
      <c r="A8770" t="str">
        <f>T("   CN")</f>
        <v xml:space="preserve">   CN</v>
      </c>
      <c r="B8770" t="str">
        <f>T("   Chine")</f>
        <v xml:space="preserve">   Chine</v>
      </c>
      <c r="C8770">
        <v>19624296</v>
      </c>
      <c r="D8770">
        <v>78082</v>
      </c>
    </row>
    <row r="8771" spans="1:4" x14ac:dyDescent="0.25">
      <c r="A8771" t="str">
        <f>T("721320")</f>
        <v>721320</v>
      </c>
      <c r="B8771" t="str">
        <f>T("FIL MACHINE EN ACIERS DE DÉCOLLETAGE NON ALLIÉS, ENROULÉ EN COURONNES IRRÉGULIÈRES (À L'EXCL. DU FIL COMPORTANT DES INDENTATIONS, BOURRELETS, CREUX OU RELIEFS OBTENUS AU COURS DU LAMINAGE)")</f>
        <v>FIL MACHINE EN ACIERS DE DÉCOLLETAGE NON ALLIÉS, ENROULÉ EN COURONNES IRRÉGULIÈRES (À L'EXCL. DU FIL COMPORTANT DES INDENTATIONS, BOURRELETS, CREUX OU RELIEFS OBTENUS AU COURS DU LAMINAGE)</v>
      </c>
    </row>
    <row r="8772" spans="1:4" x14ac:dyDescent="0.25">
      <c r="A8772" t="str">
        <f>T("   ZZZ_Monde")</f>
        <v xml:space="preserve">   ZZZ_Monde</v>
      </c>
      <c r="B8772" t="str">
        <f>T("   ZZZ_Monde")</f>
        <v xml:space="preserve">   ZZZ_Monde</v>
      </c>
      <c r="C8772">
        <v>15995798</v>
      </c>
      <c r="D8772">
        <v>55000</v>
      </c>
    </row>
    <row r="8773" spans="1:4" x14ac:dyDescent="0.25">
      <c r="A8773" t="str">
        <f>T("   GH")</f>
        <v xml:space="preserve">   GH</v>
      </c>
      <c r="B8773" t="str">
        <f>T("   Ghana")</f>
        <v xml:space="preserve">   Ghana</v>
      </c>
      <c r="C8773">
        <v>15995798</v>
      </c>
      <c r="D8773">
        <v>55000</v>
      </c>
    </row>
    <row r="8774" spans="1:4" x14ac:dyDescent="0.25">
      <c r="A8774" t="str">
        <f>T("721391")</f>
        <v>721391</v>
      </c>
      <c r="B8774" t="str">
        <f>T("FIL MACHINE EN FER OU ACIERS NON-ALLIÉS, ENROULÉ EN COURONNES IRRÉGULIÈRES, DE SECTION CIRCULAIRE DE DIAMÈTRE &lt; 14 MM (AUTRE QU'EN ACIERS DE DÉCOLLETAGE ET AUTRE QUE FIL MACHINE AVEC INDENTATIONS, BOURRELETS, CREUX OU RELIEFS OBTENUS LORS DU LAMINAGE)")</f>
        <v>FIL MACHINE EN FER OU ACIERS NON-ALLIÉS, ENROULÉ EN COURONNES IRRÉGULIÈRES, DE SECTION CIRCULAIRE DE DIAMÈTRE &lt; 14 MM (AUTRE QU'EN ACIERS DE DÉCOLLETAGE ET AUTRE QUE FIL MACHINE AVEC INDENTATIONS, BOURRELETS, CREUX OU RELIEFS OBTENUS LORS DU LAMINAGE)</v>
      </c>
    </row>
    <row r="8775" spans="1:4" x14ac:dyDescent="0.25">
      <c r="A8775" t="str">
        <f>T("   ZZZ_Monde")</f>
        <v xml:space="preserve">   ZZZ_Monde</v>
      </c>
      <c r="B8775" t="str">
        <f>T("   ZZZ_Monde")</f>
        <v xml:space="preserve">   ZZZ_Monde</v>
      </c>
      <c r="C8775">
        <v>28130042265</v>
      </c>
      <c r="D8775">
        <v>75036133</v>
      </c>
    </row>
    <row r="8776" spans="1:4" x14ac:dyDescent="0.25">
      <c r="A8776" t="str">
        <f>T("   AE")</f>
        <v xml:space="preserve">   AE</v>
      </c>
      <c r="B8776" t="str">
        <f>T("   Emirats Arabes Unis")</f>
        <v xml:space="preserve">   Emirats Arabes Unis</v>
      </c>
      <c r="C8776">
        <v>1139550032</v>
      </c>
      <c r="D8776">
        <v>3013086</v>
      </c>
    </row>
    <row r="8777" spans="1:4" x14ac:dyDescent="0.25">
      <c r="A8777" t="str">
        <f>T("   BE")</f>
        <v xml:space="preserve">   BE</v>
      </c>
      <c r="B8777" t="str">
        <f>T("   Belgique")</f>
        <v xml:space="preserve">   Belgique</v>
      </c>
      <c r="C8777">
        <v>3973705586</v>
      </c>
      <c r="D8777">
        <v>10496550</v>
      </c>
    </row>
    <row r="8778" spans="1:4" x14ac:dyDescent="0.25">
      <c r="A8778" t="str">
        <f>T("   CH")</f>
        <v xml:space="preserve">   CH</v>
      </c>
      <c r="B8778" t="str">
        <f>T("   Suisse")</f>
        <v xml:space="preserve">   Suisse</v>
      </c>
      <c r="C8778">
        <v>4275136355</v>
      </c>
      <c r="D8778">
        <v>11867105</v>
      </c>
    </row>
    <row r="8779" spans="1:4" x14ac:dyDescent="0.25">
      <c r="A8779" t="str">
        <f>T("   CI")</f>
        <v xml:space="preserve">   CI</v>
      </c>
      <c r="B8779" t="str">
        <f>T("   Côte d'Ivoire")</f>
        <v xml:space="preserve">   Côte d'Ivoire</v>
      </c>
      <c r="C8779">
        <v>1499905710</v>
      </c>
      <c r="D8779">
        <v>3968600</v>
      </c>
    </row>
    <row r="8780" spans="1:4" x14ac:dyDescent="0.25">
      <c r="A8780" t="str">
        <f>T("   DE")</f>
        <v xml:space="preserve">   DE</v>
      </c>
      <c r="B8780" t="str">
        <f>T("   Allemagne")</f>
        <v xml:space="preserve">   Allemagne</v>
      </c>
      <c r="C8780">
        <v>3432583218</v>
      </c>
      <c r="D8780">
        <v>8978140</v>
      </c>
    </row>
    <row r="8781" spans="1:4" x14ac:dyDescent="0.25">
      <c r="A8781" t="str">
        <f>T("   FR")</f>
        <v xml:space="preserve">   FR</v>
      </c>
      <c r="B8781" t="str">
        <f>T("   France")</f>
        <v xml:space="preserve">   France</v>
      </c>
      <c r="C8781">
        <v>988793459</v>
      </c>
      <c r="D8781">
        <v>2336696</v>
      </c>
    </row>
    <row r="8782" spans="1:4" x14ac:dyDescent="0.25">
      <c r="A8782" t="str">
        <f>T("   LU")</f>
        <v xml:space="preserve">   LU</v>
      </c>
      <c r="B8782" t="str">
        <f>T("   Luxembourg")</f>
        <v xml:space="preserve">   Luxembourg</v>
      </c>
      <c r="C8782">
        <v>3588228226</v>
      </c>
      <c r="D8782">
        <v>9396825</v>
      </c>
    </row>
    <row r="8783" spans="1:4" x14ac:dyDescent="0.25">
      <c r="A8783" t="str">
        <f>T("   TG")</f>
        <v xml:space="preserve">   TG</v>
      </c>
      <c r="B8783" t="str">
        <f>T("   Togo")</f>
        <v xml:space="preserve">   Togo</v>
      </c>
      <c r="C8783">
        <v>6660814</v>
      </c>
      <c r="D8783">
        <v>16880</v>
      </c>
    </row>
    <row r="8784" spans="1:4" x14ac:dyDescent="0.25">
      <c r="A8784" t="str">
        <f>T("   UA")</f>
        <v xml:space="preserve">   UA</v>
      </c>
      <c r="B8784" t="str">
        <f>T("   Ukraine")</f>
        <v xml:space="preserve">   Ukraine</v>
      </c>
      <c r="C8784">
        <v>6604154116</v>
      </c>
      <c r="D8784">
        <v>18130615</v>
      </c>
    </row>
    <row r="8785" spans="1:4" x14ac:dyDescent="0.25">
      <c r="A8785" t="str">
        <f>T("   ZA")</f>
        <v xml:space="preserve">   ZA</v>
      </c>
      <c r="B8785" t="str">
        <f>T("   Afrique du Sud")</f>
        <v xml:space="preserve">   Afrique du Sud</v>
      </c>
      <c r="C8785">
        <v>2621324749</v>
      </c>
      <c r="D8785">
        <v>6831636</v>
      </c>
    </row>
    <row r="8786" spans="1:4" x14ac:dyDescent="0.25">
      <c r="A8786" t="str">
        <f>T("721399")</f>
        <v>721399</v>
      </c>
      <c r="B8786" t="str">
        <f>T("FIL MACHINE EN FER OU ACIERS NON-ALLIÉS, ENROULÉ EN COURONNES IRRÉGULIÈRES (AUTRE QUE DE SECTION CIRCULAIRE DE DIAMÈTRE &lt; 14 MM, AUTRE QUE FIL MACHINE EN ACIERS DE DÉCOLLETAGE, OU AVEC INDENTATIONS, BOURRELETS, CREUX OU RELIEFS OBTENUS LORS DU LAMINAGE)")</f>
        <v>FIL MACHINE EN FER OU ACIERS NON-ALLIÉS, ENROULÉ EN COURONNES IRRÉGULIÈRES (AUTRE QUE DE SECTION CIRCULAIRE DE DIAMÈTRE &lt; 14 MM, AUTRE QUE FIL MACHINE EN ACIERS DE DÉCOLLETAGE, OU AVEC INDENTATIONS, BOURRELETS, CREUX OU RELIEFS OBTENUS LORS DU LAMINAGE)</v>
      </c>
    </row>
    <row r="8787" spans="1:4" x14ac:dyDescent="0.25">
      <c r="A8787" t="str">
        <f>T("   ZZZ_Monde")</f>
        <v xml:space="preserve">   ZZZ_Monde</v>
      </c>
      <c r="B8787" t="str">
        <f>T("   ZZZ_Monde")</f>
        <v xml:space="preserve">   ZZZ_Monde</v>
      </c>
      <c r="C8787">
        <v>14346617645</v>
      </c>
      <c r="D8787">
        <v>37293595</v>
      </c>
    </row>
    <row r="8788" spans="1:4" x14ac:dyDescent="0.25">
      <c r="A8788" t="str">
        <f>T("   BE")</f>
        <v xml:space="preserve">   BE</v>
      </c>
      <c r="B8788" t="str">
        <f>T("   Belgique")</f>
        <v xml:space="preserve">   Belgique</v>
      </c>
      <c r="C8788">
        <v>6234936383</v>
      </c>
      <c r="D8788">
        <v>16083984</v>
      </c>
    </row>
    <row r="8789" spans="1:4" x14ac:dyDescent="0.25">
      <c r="A8789" t="str">
        <f>T("   CH")</f>
        <v xml:space="preserve">   CH</v>
      </c>
      <c r="B8789" t="str">
        <f>T("   Suisse")</f>
        <v xml:space="preserve">   Suisse</v>
      </c>
      <c r="C8789">
        <v>4251233394</v>
      </c>
      <c r="D8789">
        <v>11262480</v>
      </c>
    </row>
    <row r="8790" spans="1:4" x14ac:dyDescent="0.25">
      <c r="A8790" t="str">
        <f>T("   CN")</f>
        <v xml:space="preserve">   CN</v>
      </c>
      <c r="B8790" t="str">
        <f>T("   Chine")</f>
        <v xml:space="preserve">   Chine</v>
      </c>
      <c r="C8790">
        <v>2457226</v>
      </c>
      <c r="D8790">
        <v>5731</v>
      </c>
    </row>
    <row r="8791" spans="1:4" x14ac:dyDescent="0.25">
      <c r="A8791" t="str">
        <f>T("   DE")</f>
        <v xml:space="preserve">   DE</v>
      </c>
      <c r="B8791" t="str">
        <f>T("   Allemagne")</f>
        <v xml:space="preserve">   Allemagne</v>
      </c>
      <c r="C8791">
        <v>1285945749</v>
      </c>
      <c r="D8791">
        <v>3251000</v>
      </c>
    </row>
    <row r="8792" spans="1:4" x14ac:dyDescent="0.25">
      <c r="A8792" t="str">
        <f>T("   NL")</f>
        <v xml:space="preserve">   NL</v>
      </c>
      <c r="B8792" t="str">
        <f>T("   Pays-bas")</f>
        <v xml:space="preserve">   Pays-bas</v>
      </c>
      <c r="C8792">
        <v>1294747118</v>
      </c>
      <c r="D8792">
        <v>3302200</v>
      </c>
    </row>
    <row r="8793" spans="1:4" x14ac:dyDescent="0.25">
      <c r="A8793" t="str">
        <f>T("   TR")</f>
        <v xml:space="preserve">   TR</v>
      </c>
      <c r="B8793" t="str">
        <f>T("   Turquie")</f>
        <v xml:space="preserve">   Turquie</v>
      </c>
      <c r="C8793">
        <v>1277297775</v>
      </c>
      <c r="D8793">
        <v>3388200</v>
      </c>
    </row>
    <row r="8794" spans="1:4" x14ac:dyDescent="0.25">
      <c r="A8794" t="str">
        <f>T("721410")</f>
        <v>721410</v>
      </c>
      <c r="B8794" t="str">
        <f>T("Barres, en fer ou en aciers non alliés, simplement forgées")</f>
        <v>Barres, en fer ou en aciers non alliés, simplement forgées</v>
      </c>
    </row>
    <row r="8795" spans="1:4" x14ac:dyDescent="0.25">
      <c r="A8795" t="str">
        <f>T("   ZZZ_Monde")</f>
        <v xml:space="preserve">   ZZZ_Monde</v>
      </c>
      <c r="B8795" t="str">
        <f>T("   ZZZ_Monde")</f>
        <v xml:space="preserve">   ZZZ_Monde</v>
      </c>
      <c r="C8795">
        <v>243325</v>
      </c>
      <c r="D8795">
        <v>1127</v>
      </c>
    </row>
    <row r="8796" spans="1:4" x14ac:dyDescent="0.25">
      <c r="A8796" t="str">
        <f>T("   FR")</f>
        <v xml:space="preserve">   FR</v>
      </c>
      <c r="B8796" t="str">
        <f>T("   France")</f>
        <v xml:space="preserve">   France</v>
      </c>
      <c r="C8796">
        <v>33454</v>
      </c>
      <c r="D8796">
        <v>20</v>
      </c>
    </row>
    <row r="8797" spans="1:4" x14ac:dyDescent="0.25">
      <c r="A8797" t="str">
        <f>T("   LB")</f>
        <v xml:space="preserve">   LB</v>
      </c>
      <c r="B8797" t="str">
        <f>T("   Liban")</f>
        <v xml:space="preserve">   Liban</v>
      </c>
      <c r="C8797">
        <v>157371</v>
      </c>
      <c r="D8797">
        <v>1057</v>
      </c>
    </row>
    <row r="8798" spans="1:4" x14ac:dyDescent="0.25">
      <c r="A8798" t="str">
        <f>T("   NG")</f>
        <v xml:space="preserve">   NG</v>
      </c>
      <c r="B8798" t="str">
        <f>T("   Nigéria")</f>
        <v xml:space="preserve">   Nigéria</v>
      </c>
      <c r="C8798">
        <v>52500</v>
      </c>
      <c r="D8798">
        <v>50</v>
      </c>
    </row>
    <row r="8799" spans="1:4" x14ac:dyDescent="0.25">
      <c r="A8799" t="str">
        <f>T("721420")</f>
        <v>721420</v>
      </c>
      <c r="B8799" t="str">
        <f>T("BARRES EN FER OU EN ACIERS NON ALLIÉS, COMPORTANT DES INDENTATIONS, BOURRELETS, CREUX OU RELIEFS OBTENUS AU COURS DU LAMINAGE OU AYANT SUBI UNE TORSION APRÈS LAMINAGE")</f>
        <v>BARRES EN FER OU EN ACIERS NON ALLIÉS, COMPORTANT DES INDENTATIONS, BOURRELETS, CREUX OU RELIEFS OBTENUS AU COURS DU LAMINAGE OU AYANT SUBI UNE TORSION APRÈS LAMINAGE</v>
      </c>
    </row>
    <row r="8800" spans="1:4" x14ac:dyDescent="0.25">
      <c r="A8800" t="str">
        <f>T("   ZZZ_Monde")</f>
        <v xml:space="preserve">   ZZZ_Monde</v>
      </c>
      <c r="B8800" t="str">
        <f>T("   ZZZ_Monde")</f>
        <v xml:space="preserve">   ZZZ_Monde</v>
      </c>
      <c r="C8800">
        <v>2034786666</v>
      </c>
      <c r="D8800">
        <v>5976037</v>
      </c>
    </row>
    <row r="8801" spans="1:4" x14ac:dyDescent="0.25">
      <c r="A8801" t="str">
        <f>T("   AE")</f>
        <v xml:space="preserve">   AE</v>
      </c>
      <c r="B8801" t="str">
        <f>T("   Emirats Arabes Unis")</f>
        <v xml:space="preserve">   Emirats Arabes Unis</v>
      </c>
      <c r="C8801">
        <v>37635326</v>
      </c>
      <c r="D8801">
        <v>111410</v>
      </c>
    </row>
    <row r="8802" spans="1:4" x14ac:dyDescent="0.25">
      <c r="A8802" t="str">
        <f>T("   BE")</f>
        <v xml:space="preserve">   BE</v>
      </c>
      <c r="B8802" t="str">
        <f>T("   Belgique")</f>
        <v xml:space="preserve">   Belgique</v>
      </c>
      <c r="C8802">
        <v>108200602</v>
      </c>
      <c r="D8802">
        <v>253640</v>
      </c>
    </row>
    <row r="8803" spans="1:4" x14ac:dyDescent="0.25">
      <c r="A8803" t="str">
        <f>T("   CH")</f>
        <v xml:space="preserve">   CH</v>
      </c>
      <c r="B8803" t="str">
        <f>T("   Suisse")</f>
        <v xml:space="preserve">   Suisse</v>
      </c>
      <c r="C8803">
        <v>218334685</v>
      </c>
      <c r="D8803">
        <v>576157</v>
      </c>
    </row>
    <row r="8804" spans="1:4" x14ac:dyDescent="0.25">
      <c r="A8804" t="str">
        <f>T("   CI")</f>
        <v xml:space="preserve">   CI</v>
      </c>
      <c r="B8804" t="str">
        <f>T("   Côte d'Ivoire")</f>
        <v xml:space="preserve">   Côte d'Ivoire</v>
      </c>
      <c r="C8804">
        <v>633139791</v>
      </c>
      <c r="D8804">
        <v>1501980</v>
      </c>
    </row>
    <row r="8805" spans="1:4" x14ac:dyDescent="0.25">
      <c r="A8805" t="str">
        <f>T("   DE")</f>
        <v xml:space="preserve">   DE</v>
      </c>
      <c r="B8805" t="str">
        <f>T("   Allemagne")</f>
        <v xml:space="preserve">   Allemagne</v>
      </c>
      <c r="C8805">
        <v>34855762</v>
      </c>
      <c r="D8805">
        <v>93740</v>
      </c>
    </row>
    <row r="8806" spans="1:4" x14ac:dyDescent="0.25">
      <c r="A8806" t="str">
        <f>T("   FR")</f>
        <v xml:space="preserve">   FR</v>
      </c>
      <c r="B8806" t="str">
        <f>T("   France")</f>
        <v xml:space="preserve">   France</v>
      </c>
      <c r="C8806">
        <v>57410931</v>
      </c>
      <c r="D8806">
        <v>122890</v>
      </c>
    </row>
    <row r="8807" spans="1:4" x14ac:dyDescent="0.25">
      <c r="A8807" t="str">
        <f>T("   GH")</f>
        <v xml:space="preserve">   GH</v>
      </c>
      <c r="B8807" t="str">
        <f>T("   Ghana")</f>
        <v xml:space="preserve">   Ghana</v>
      </c>
      <c r="C8807">
        <v>337428925</v>
      </c>
      <c r="D8807">
        <v>1303690</v>
      </c>
    </row>
    <row r="8808" spans="1:4" x14ac:dyDescent="0.25">
      <c r="A8808" t="str">
        <f>T("   NG")</f>
        <v xml:space="preserve">   NG</v>
      </c>
      <c r="B8808" t="str">
        <f>T("   Nigéria")</f>
        <v xml:space="preserve">   Nigéria</v>
      </c>
      <c r="C8808">
        <v>14403400</v>
      </c>
      <c r="D8808">
        <v>59400</v>
      </c>
    </row>
    <row r="8809" spans="1:4" x14ac:dyDescent="0.25">
      <c r="A8809" t="str">
        <f>T("   TG")</f>
        <v xml:space="preserve">   TG</v>
      </c>
      <c r="B8809" t="str">
        <f>T("   Togo")</f>
        <v xml:space="preserve">   Togo</v>
      </c>
      <c r="C8809">
        <v>400973822</v>
      </c>
      <c r="D8809">
        <v>1252160</v>
      </c>
    </row>
    <row r="8810" spans="1:4" x14ac:dyDescent="0.25">
      <c r="A8810" t="str">
        <f>T("   TR")</f>
        <v xml:space="preserve">   TR</v>
      </c>
      <c r="B8810" t="str">
        <f>T("   Turquie")</f>
        <v xml:space="preserve">   Turquie</v>
      </c>
      <c r="C8810">
        <v>192403422</v>
      </c>
      <c r="D8810">
        <v>700970</v>
      </c>
    </row>
    <row r="8811" spans="1:4" x14ac:dyDescent="0.25">
      <c r="A8811" t="str">
        <f>T("721430")</f>
        <v>721430</v>
      </c>
      <c r="B8811" t="str">
        <f>T("BARRES EN ACIERS DE DÉCOLLETAGE NON ALLIÉS, SIMPLEMENT LAMINÉES À CHAUD OU FILÉES À CHAUD OU EXTRUDÉES À CHAUD (À L'EXCL. DES BARRES COMPORTANT DES INDENTATIONS, BOURRELETS, CREUX OU RELIEFS OBTENUS AU COURS DU LAMINAGE OU AYANT SUBI UNE TORSION APRÈS LAM")</f>
        <v>BARRES EN ACIERS DE DÉCOLLETAGE NON ALLIÉS, SIMPLEMENT LAMINÉES À CHAUD OU FILÉES À CHAUD OU EXTRUDÉES À CHAUD (À L'EXCL. DES BARRES COMPORTANT DES INDENTATIONS, BOURRELETS, CREUX OU RELIEFS OBTENUS AU COURS DU LAMINAGE OU AYANT SUBI UNE TORSION APRÈS LAM</v>
      </c>
    </row>
    <row r="8812" spans="1:4" x14ac:dyDescent="0.25">
      <c r="A8812" t="str">
        <f>T("   ZZZ_Monde")</f>
        <v xml:space="preserve">   ZZZ_Monde</v>
      </c>
      <c r="B8812" t="str">
        <f>T("   ZZZ_Monde")</f>
        <v xml:space="preserve">   ZZZ_Monde</v>
      </c>
      <c r="C8812">
        <v>52800</v>
      </c>
      <c r="D8812">
        <v>210</v>
      </c>
    </row>
    <row r="8813" spans="1:4" x14ac:dyDescent="0.25">
      <c r="A8813" t="str">
        <f>T("   NG")</f>
        <v xml:space="preserve">   NG</v>
      </c>
      <c r="B8813" t="str">
        <f>T("   Nigéria")</f>
        <v xml:space="preserve">   Nigéria</v>
      </c>
      <c r="C8813">
        <v>52800</v>
      </c>
      <c r="D8813">
        <v>210</v>
      </c>
    </row>
    <row r="8814" spans="1:4" x14ac:dyDescent="0.25">
      <c r="A8814" t="str">
        <f>T("721491")</f>
        <v>721491</v>
      </c>
      <c r="B8814" t="str">
        <f>T("BARRES EN FER OU EN ACIERS NON-ALLIÉS, SIMPL. LAMINÉES OU FILÉES À CHAUD, DE SECTION TRANSVERSALE RECTANGULAIRE (À L'EXCL. DES BARRES EN ACIERS DE DÉCOLLETAGE AINSI QUE DES BARRES COMPORTANT DES INDENTATIONS, BOURRELETS, CREUX OU RELIEFS OBTENUS AU COURS")</f>
        <v>BARRES EN FER OU EN ACIERS NON-ALLIÉS, SIMPL. LAMINÉES OU FILÉES À CHAUD, DE SECTION TRANSVERSALE RECTANGULAIRE (À L'EXCL. DES BARRES EN ACIERS DE DÉCOLLETAGE AINSI QUE DES BARRES COMPORTANT DES INDENTATIONS, BOURRELETS, CREUX OU RELIEFS OBTENUS AU COURS</v>
      </c>
    </row>
    <row r="8815" spans="1:4" x14ac:dyDescent="0.25">
      <c r="A8815" t="str">
        <f>T("   ZZZ_Monde")</f>
        <v xml:space="preserve">   ZZZ_Monde</v>
      </c>
      <c r="B8815" t="str">
        <f>T("   ZZZ_Monde")</f>
        <v xml:space="preserve">   ZZZ_Monde</v>
      </c>
      <c r="C8815">
        <v>45382968</v>
      </c>
      <c r="D8815">
        <v>150000</v>
      </c>
    </row>
    <row r="8816" spans="1:4" x14ac:dyDescent="0.25">
      <c r="A8816" t="str">
        <f>T("   GH")</f>
        <v xml:space="preserve">   GH</v>
      </c>
      <c r="B8816" t="str">
        <f>T("   Ghana")</f>
        <v xml:space="preserve">   Ghana</v>
      </c>
      <c r="C8816">
        <v>45382968</v>
      </c>
      <c r="D8816">
        <v>150000</v>
      </c>
    </row>
    <row r="8817" spans="1:4" x14ac:dyDescent="0.25">
      <c r="A8817" t="str">
        <f>T("721499")</f>
        <v>721499</v>
      </c>
      <c r="B8817" t="str">
        <f>T("BARRES EN FER OU EN ACIERS NON-ALLIÉS, SIMPL. LAMINÉES OU FILÉES À CHAUD (À L'EXCL. DE SECTION TRANSVERSALE RECTANGULAIRE, DES BARRES COMPORTANT DES INDENTATIONS, BOURRELETS, CREUX OU RELIEFS OBTENUS AU COURS DU LAMINAGE OU AYANT SUBI UNE TORSION APRÈS LA")</f>
        <v>BARRES EN FER OU EN ACIERS NON-ALLIÉS, SIMPL. LAMINÉES OU FILÉES À CHAUD (À L'EXCL. DE SECTION TRANSVERSALE RECTANGULAIRE, DES BARRES COMPORTANT DES INDENTATIONS, BOURRELETS, CREUX OU RELIEFS OBTENUS AU COURS DU LAMINAGE OU AYANT SUBI UNE TORSION APRÈS LA</v>
      </c>
    </row>
    <row r="8818" spans="1:4" x14ac:dyDescent="0.25">
      <c r="A8818" t="str">
        <f>T("   ZZZ_Monde")</f>
        <v xml:space="preserve">   ZZZ_Monde</v>
      </c>
      <c r="B8818" t="str">
        <f>T("   ZZZ_Monde")</f>
        <v xml:space="preserve">   ZZZ_Monde</v>
      </c>
      <c r="C8818">
        <v>201931607</v>
      </c>
      <c r="D8818">
        <v>651387</v>
      </c>
    </row>
    <row r="8819" spans="1:4" x14ac:dyDescent="0.25">
      <c r="A8819" t="str">
        <f>T("   CN")</f>
        <v xml:space="preserve">   CN</v>
      </c>
      <c r="B8819" t="str">
        <f>T("   Chine")</f>
        <v xml:space="preserve">   Chine</v>
      </c>
      <c r="C8819">
        <v>6777928</v>
      </c>
      <c r="D8819">
        <v>20040</v>
      </c>
    </row>
    <row r="8820" spans="1:4" x14ac:dyDescent="0.25">
      <c r="A8820" t="str">
        <f>T("   FR")</f>
        <v xml:space="preserve">   FR</v>
      </c>
      <c r="B8820" t="str">
        <f>T("   France")</f>
        <v xml:space="preserve">   France</v>
      </c>
      <c r="C8820">
        <v>5046956</v>
      </c>
      <c r="D8820">
        <v>1182</v>
      </c>
    </row>
    <row r="8821" spans="1:4" x14ac:dyDescent="0.25">
      <c r="A8821" t="str">
        <f>T("   GH")</f>
        <v xml:space="preserve">   GH</v>
      </c>
      <c r="B8821" t="str">
        <f>T("   Ghana")</f>
        <v xml:space="preserve">   Ghana</v>
      </c>
      <c r="C8821">
        <v>124607030</v>
      </c>
      <c r="D8821">
        <v>483000</v>
      </c>
    </row>
    <row r="8822" spans="1:4" x14ac:dyDescent="0.25">
      <c r="A8822" t="str">
        <f>T("   TR")</f>
        <v xml:space="preserve">   TR</v>
      </c>
      <c r="B8822" t="str">
        <f>T("   Turquie")</f>
        <v xml:space="preserve">   Turquie</v>
      </c>
      <c r="C8822">
        <v>65499693</v>
      </c>
      <c r="D8822">
        <v>147165</v>
      </c>
    </row>
    <row r="8823" spans="1:4" x14ac:dyDescent="0.25">
      <c r="A8823" t="str">
        <f>T("721510")</f>
        <v>721510</v>
      </c>
      <c r="B8823" t="str">
        <f>T("Barres en aciers de décolletage non alliés, simplement obtenues ou parachevées à froid")</f>
        <v>Barres en aciers de décolletage non alliés, simplement obtenues ou parachevées à froid</v>
      </c>
    </row>
    <row r="8824" spans="1:4" x14ac:dyDescent="0.25">
      <c r="A8824" t="str">
        <f>T("   ZZZ_Monde")</f>
        <v xml:space="preserve">   ZZZ_Monde</v>
      </c>
      <c r="B8824" t="str">
        <f>T("   ZZZ_Monde")</f>
        <v xml:space="preserve">   ZZZ_Monde</v>
      </c>
      <c r="C8824">
        <v>12679051</v>
      </c>
      <c r="D8824">
        <v>15447</v>
      </c>
    </row>
    <row r="8825" spans="1:4" x14ac:dyDescent="0.25">
      <c r="A8825" t="str">
        <f>T("   IT")</f>
        <v xml:space="preserve">   IT</v>
      </c>
      <c r="B8825" t="str">
        <f>T("   Italie")</f>
        <v xml:space="preserve">   Italie</v>
      </c>
      <c r="C8825">
        <v>12679051</v>
      </c>
      <c r="D8825">
        <v>15447</v>
      </c>
    </row>
    <row r="8826" spans="1:4" x14ac:dyDescent="0.25">
      <c r="A8826" t="str">
        <f>T("721590")</f>
        <v>721590</v>
      </c>
      <c r="B8826" t="str">
        <f>T("Barres en fer ou en aciers non alliés, obtenues ou parachevées à froid et ayant subi certaines ouvraisons plus poussées ou obtenues à chaud et ayant subi certaines ouvraisons plus poussées, n.d.a.")</f>
        <v>Barres en fer ou en aciers non alliés, obtenues ou parachevées à froid et ayant subi certaines ouvraisons plus poussées ou obtenues à chaud et ayant subi certaines ouvraisons plus poussées, n.d.a.</v>
      </c>
    </row>
    <row r="8827" spans="1:4" x14ac:dyDescent="0.25">
      <c r="A8827" t="str">
        <f>T("   ZZZ_Monde")</f>
        <v xml:space="preserve">   ZZZ_Monde</v>
      </c>
      <c r="B8827" t="str">
        <f>T("   ZZZ_Monde")</f>
        <v xml:space="preserve">   ZZZ_Monde</v>
      </c>
      <c r="C8827">
        <v>3066966701</v>
      </c>
      <c r="D8827">
        <v>7270296</v>
      </c>
    </row>
    <row r="8828" spans="1:4" x14ac:dyDescent="0.25">
      <c r="A8828" t="str">
        <f>T("   CN")</f>
        <v xml:space="preserve">   CN</v>
      </c>
      <c r="B8828" t="str">
        <f>T("   Chine")</f>
        <v xml:space="preserve">   Chine</v>
      </c>
      <c r="C8828">
        <v>2879438751</v>
      </c>
      <c r="D8828">
        <v>6602275</v>
      </c>
    </row>
    <row r="8829" spans="1:4" x14ac:dyDescent="0.25">
      <c r="A8829" t="str">
        <f>T("   DE")</f>
        <v xml:space="preserve">   DE</v>
      </c>
      <c r="B8829" t="str">
        <f>T("   Allemagne")</f>
        <v xml:space="preserve">   Allemagne</v>
      </c>
      <c r="C8829">
        <v>45376341</v>
      </c>
      <c r="D8829">
        <v>122040</v>
      </c>
    </row>
    <row r="8830" spans="1:4" x14ac:dyDescent="0.25">
      <c r="A8830" t="str">
        <f>T("   FR")</f>
        <v xml:space="preserve">   FR</v>
      </c>
      <c r="B8830" t="str">
        <f>T("   France")</f>
        <v xml:space="preserve">   France</v>
      </c>
      <c r="C8830">
        <v>987428</v>
      </c>
      <c r="D8830">
        <v>138</v>
      </c>
    </row>
    <row r="8831" spans="1:4" x14ac:dyDescent="0.25">
      <c r="A8831" t="str">
        <f>T("   GH")</f>
        <v xml:space="preserve">   GH</v>
      </c>
      <c r="B8831" t="str">
        <f>T("   Ghana")</f>
        <v xml:space="preserve">   Ghana</v>
      </c>
      <c r="C8831">
        <v>57531876</v>
      </c>
      <c r="D8831">
        <v>210000</v>
      </c>
    </row>
    <row r="8832" spans="1:4" x14ac:dyDescent="0.25">
      <c r="A8832" t="str">
        <f>T("   NG")</f>
        <v xml:space="preserve">   NG</v>
      </c>
      <c r="B8832" t="str">
        <f>T("   Nigéria")</f>
        <v xml:space="preserve">   Nigéria</v>
      </c>
      <c r="C8832">
        <v>62759200</v>
      </c>
      <c r="D8832">
        <v>250785</v>
      </c>
    </row>
    <row r="8833" spans="1:4" x14ac:dyDescent="0.25">
      <c r="A8833" t="str">
        <f>T("   TG")</f>
        <v xml:space="preserve">   TG</v>
      </c>
      <c r="B8833" t="str">
        <f>T("   Togo")</f>
        <v xml:space="preserve">   Togo</v>
      </c>
      <c r="C8833">
        <v>20673105</v>
      </c>
      <c r="D8833">
        <v>85000</v>
      </c>
    </row>
    <row r="8834" spans="1:4" x14ac:dyDescent="0.25">
      <c r="A8834" t="str">
        <f>T("   TN")</f>
        <v xml:space="preserve">   TN</v>
      </c>
      <c r="B8834" t="str">
        <f>T("   Tunisie")</f>
        <v xml:space="preserve">   Tunisie</v>
      </c>
      <c r="C8834">
        <v>200000</v>
      </c>
      <c r="D8834">
        <v>58</v>
      </c>
    </row>
    <row r="8835" spans="1:4" x14ac:dyDescent="0.25">
      <c r="A8835" t="str">
        <f>T("721610")</f>
        <v>721610</v>
      </c>
      <c r="B8835" t="str">
        <f>T("PROFILÉS U, I OU H EN FER OU EN ACIERS NON ALLIÉS, SIMPLEMENT LAMINÉS OU FILÉS À CHAUD, HAUTEUR &lt; 80 MM")</f>
        <v>PROFILÉS U, I OU H EN FER OU EN ACIERS NON ALLIÉS, SIMPLEMENT LAMINÉS OU FILÉS À CHAUD, HAUTEUR &lt; 80 MM</v>
      </c>
    </row>
    <row r="8836" spans="1:4" x14ac:dyDescent="0.25">
      <c r="A8836" t="str">
        <f>T("   ZZZ_Monde")</f>
        <v xml:space="preserve">   ZZZ_Monde</v>
      </c>
      <c r="B8836" t="str">
        <f>T("   ZZZ_Monde")</f>
        <v xml:space="preserve">   ZZZ_Monde</v>
      </c>
      <c r="C8836">
        <v>55845189</v>
      </c>
      <c r="D8836">
        <v>131947</v>
      </c>
    </row>
    <row r="8837" spans="1:4" x14ac:dyDescent="0.25">
      <c r="A8837" t="str">
        <f>T("   BE")</f>
        <v xml:space="preserve">   BE</v>
      </c>
      <c r="B8837" t="str">
        <f>T("   Belgique")</f>
        <v xml:space="preserve">   Belgique</v>
      </c>
      <c r="C8837">
        <v>9953572</v>
      </c>
      <c r="D8837">
        <v>24527</v>
      </c>
    </row>
    <row r="8838" spans="1:4" x14ac:dyDescent="0.25">
      <c r="A8838" t="str">
        <f>T("   TR")</f>
        <v xml:space="preserve">   TR</v>
      </c>
      <c r="B8838" t="str">
        <f>T("   Turquie")</f>
        <v xml:space="preserve">   Turquie</v>
      </c>
      <c r="C8838">
        <v>45891617</v>
      </c>
      <c r="D8838">
        <v>107420</v>
      </c>
    </row>
    <row r="8839" spans="1:4" x14ac:dyDescent="0.25">
      <c r="A8839" t="str">
        <f>T("721621")</f>
        <v>721621</v>
      </c>
      <c r="B8839" t="str">
        <f>T("PROFILÉS EN L EN FER OU ACIERS NON ALLIÉS, SIMPLEMENT LAMINÉS OU FILÉS À CHAUD, HAUTEUR &lt; 80 MM")</f>
        <v>PROFILÉS EN L EN FER OU ACIERS NON ALLIÉS, SIMPLEMENT LAMINÉS OU FILÉS À CHAUD, HAUTEUR &lt; 80 MM</v>
      </c>
    </row>
    <row r="8840" spans="1:4" x14ac:dyDescent="0.25">
      <c r="A8840" t="str">
        <f>T("   ZZZ_Monde")</f>
        <v xml:space="preserve">   ZZZ_Monde</v>
      </c>
      <c r="B8840" t="str">
        <f>T("   ZZZ_Monde")</f>
        <v xml:space="preserve">   ZZZ_Monde</v>
      </c>
      <c r="C8840">
        <v>154231644</v>
      </c>
      <c r="D8840">
        <v>458204</v>
      </c>
    </row>
    <row r="8841" spans="1:4" x14ac:dyDescent="0.25">
      <c r="A8841" t="str">
        <f>T("   BE")</f>
        <v xml:space="preserve">   BE</v>
      </c>
      <c r="B8841" t="str">
        <f>T("   Belgique")</f>
        <v xml:space="preserve">   Belgique</v>
      </c>
      <c r="C8841">
        <v>9397208</v>
      </c>
      <c r="D8841">
        <v>27292</v>
      </c>
    </row>
    <row r="8842" spans="1:4" x14ac:dyDescent="0.25">
      <c r="A8842" t="str">
        <f>T("   FR")</f>
        <v xml:space="preserve">   FR</v>
      </c>
      <c r="B8842" t="str">
        <f>T("   France")</f>
        <v xml:space="preserve">   France</v>
      </c>
      <c r="C8842">
        <v>53857582</v>
      </c>
      <c r="D8842">
        <v>140000</v>
      </c>
    </row>
    <row r="8843" spans="1:4" x14ac:dyDescent="0.25">
      <c r="A8843" t="str">
        <f>T("   TR")</f>
        <v xml:space="preserve">   TR</v>
      </c>
      <c r="B8843" t="str">
        <f>T("   Turquie")</f>
        <v xml:space="preserve">   Turquie</v>
      </c>
      <c r="C8843">
        <v>27728760</v>
      </c>
      <c r="D8843">
        <v>90060</v>
      </c>
    </row>
    <row r="8844" spans="1:4" x14ac:dyDescent="0.25">
      <c r="A8844" t="str">
        <f>T("   ZA")</f>
        <v xml:space="preserve">   ZA</v>
      </c>
      <c r="B8844" t="str">
        <f>T("   Afrique du Sud")</f>
        <v xml:space="preserve">   Afrique du Sud</v>
      </c>
      <c r="C8844">
        <v>63248094</v>
      </c>
      <c r="D8844">
        <v>200852</v>
      </c>
    </row>
    <row r="8845" spans="1:4" x14ac:dyDescent="0.25">
      <c r="A8845" t="str">
        <f>T("721622")</f>
        <v>721622</v>
      </c>
      <c r="B8845" t="str">
        <f>T("PROFILÉS EN T EN FER OU ACIERS NON ALLIÉS, SIMPLEMENT LAMINÉS OU FILÉS À CHAUD, HAUTEUR &lt; 80 MM")</f>
        <v>PROFILÉS EN T EN FER OU ACIERS NON ALLIÉS, SIMPLEMENT LAMINÉS OU FILÉS À CHAUD, HAUTEUR &lt; 80 MM</v>
      </c>
    </row>
    <row r="8846" spans="1:4" x14ac:dyDescent="0.25">
      <c r="A8846" t="str">
        <f>T("   ZZZ_Monde")</f>
        <v xml:space="preserve">   ZZZ_Monde</v>
      </c>
      <c r="B8846" t="str">
        <f>T("   ZZZ_Monde")</f>
        <v xml:space="preserve">   ZZZ_Monde</v>
      </c>
      <c r="C8846">
        <v>6038247</v>
      </c>
      <c r="D8846">
        <v>8174</v>
      </c>
    </row>
    <row r="8847" spans="1:4" x14ac:dyDescent="0.25">
      <c r="A8847" t="str">
        <f>T("   TG")</f>
        <v xml:space="preserve">   TG</v>
      </c>
      <c r="B8847" t="str">
        <f>T("   Togo")</f>
        <v xml:space="preserve">   Togo</v>
      </c>
      <c r="C8847">
        <v>6038247</v>
      </c>
      <c r="D8847">
        <v>8174</v>
      </c>
    </row>
    <row r="8848" spans="1:4" x14ac:dyDescent="0.25">
      <c r="A8848" t="str">
        <f>T("721631")</f>
        <v>721631</v>
      </c>
      <c r="B8848" t="str">
        <f>T("PROFILÉS EN U, EN FER OU EN ACIERS NON-ALLIÉS, SIMPL. LAMINÉS OU FILÉS À CHAUD, D'UNE HAUTEUR &gt;= 80 MM")</f>
        <v>PROFILÉS EN U, EN FER OU EN ACIERS NON-ALLIÉS, SIMPL. LAMINÉS OU FILÉS À CHAUD, D'UNE HAUTEUR &gt;= 80 MM</v>
      </c>
    </row>
    <row r="8849" spans="1:4" x14ac:dyDescent="0.25">
      <c r="A8849" t="str">
        <f>T("   ZZZ_Monde")</f>
        <v xml:space="preserve">   ZZZ_Monde</v>
      </c>
      <c r="B8849" t="str">
        <f>T("   ZZZ_Monde")</f>
        <v xml:space="preserve">   ZZZ_Monde</v>
      </c>
      <c r="C8849">
        <v>27940248</v>
      </c>
      <c r="D8849">
        <v>104658</v>
      </c>
    </row>
    <row r="8850" spans="1:4" x14ac:dyDescent="0.25">
      <c r="A8850" t="str">
        <f>T("   BE")</f>
        <v xml:space="preserve">   BE</v>
      </c>
      <c r="B8850" t="str">
        <f>T("   Belgique")</f>
        <v xml:space="preserve">   Belgique</v>
      </c>
      <c r="C8850">
        <v>3267045</v>
      </c>
      <c r="D8850">
        <v>16043</v>
      </c>
    </row>
    <row r="8851" spans="1:4" x14ac:dyDescent="0.25">
      <c r="A8851" t="str">
        <f>T("   FR")</f>
        <v xml:space="preserve">   FR</v>
      </c>
      <c r="B8851" t="str">
        <f>T("   France")</f>
        <v xml:space="preserve">   France</v>
      </c>
      <c r="C8851">
        <v>625130</v>
      </c>
      <c r="D8851">
        <v>1060</v>
      </c>
    </row>
    <row r="8852" spans="1:4" x14ac:dyDescent="0.25">
      <c r="A8852" t="str">
        <f>T("   NG")</f>
        <v xml:space="preserve">   NG</v>
      </c>
      <c r="B8852" t="str">
        <f>T("   Nigéria")</f>
        <v xml:space="preserve">   Nigéria</v>
      </c>
      <c r="C8852">
        <v>15003696</v>
      </c>
      <c r="D8852">
        <v>60645</v>
      </c>
    </row>
    <row r="8853" spans="1:4" x14ac:dyDescent="0.25">
      <c r="A8853" t="str">
        <f>T("   TR")</f>
        <v xml:space="preserve">   TR</v>
      </c>
      <c r="B8853" t="str">
        <f>T("   Turquie")</f>
        <v xml:space="preserve">   Turquie</v>
      </c>
      <c r="C8853">
        <v>9044377</v>
      </c>
      <c r="D8853">
        <v>26910</v>
      </c>
    </row>
    <row r="8854" spans="1:4" x14ac:dyDescent="0.25">
      <c r="A8854" t="str">
        <f>T("721632")</f>
        <v>721632</v>
      </c>
      <c r="B8854" t="str">
        <f>T("PROFILÉS EN I, EN FER OU EN ACIERS NON-ALLIÉS, SIMPL. LAMINÉS OU FILÉS À CHAUD, D'UNE HAUTEUR &gt;= 80 MM")</f>
        <v>PROFILÉS EN I, EN FER OU EN ACIERS NON-ALLIÉS, SIMPL. LAMINÉS OU FILÉS À CHAUD, D'UNE HAUTEUR &gt;= 80 MM</v>
      </c>
    </row>
    <row r="8855" spans="1:4" x14ac:dyDescent="0.25">
      <c r="A8855" t="str">
        <f>T("   ZZZ_Monde")</f>
        <v xml:space="preserve">   ZZZ_Monde</v>
      </c>
      <c r="B8855" t="str">
        <f>T("   ZZZ_Monde")</f>
        <v xml:space="preserve">   ZZZ_Monde</v>
      </c>
      <c r="C8855">
        <v>9397198</v>
      </c>
      <c r="D8855">
        <v>27736</v>
      </c>
    </row>
    <row r="8856" spans="1:4" x14ac:dyDescent="0.25">
      <c r="A8856" t="str">
        <f>T("   BE")</f>
        <v xml:space="preserve">   BE</v>
      </c>
      <c r="B8856" t="str">
        <f>T("   Belgique")</f>
        <v xml:space="preserve">   Belgique</v>
      </c>
      <c r="C8856">
        <v>9397198</v>
      </c>
      <c r="D8856">
        <v>27736</v>
      </c>
    </row>
    <row r="8857" spans="1:4" x14ac:dyDescent="0.25">
      <c r="A8857" t="str">
        <f>T("721633")</f>
        <v>721633</v>
      </c>
      <c r="B8857" t="str">
        <f>T("PROFILÉS EN H, EN FER OU EN ACIERS NON-ALLIÉS, SIMPL. LAMINÉS OU FILÉS À CHAUD, D'UNE HAUTEUR &gt;= 80 MM")</f>
        <v>PROFILÉS EN H, EN FER OU EN ACIERS NON-ALLIÉS, SIMPL. LAMINÉS OU FILÉS À CHAUD, D'UNE HAUTEUR &gt;= 80 MM</v>
      </c>
    </row>
    <row r="8858" spans="1:4" x14ac:dyDescent="0.25">
      <c r="A8858" t="str">
        <f>T("   ZZZ_Monde")</f>
        <v xml:space="preserve">   ZZZ_Monde</v>
      </c>
      <c r="B8858" t="str">
        <f>T("   ZZZ_Monde")</f>
        <v xml:space="preserve">   ZZZ_Monde</v>
      </c>
      <c r="C8858">
        <v>6338800</v>
      </c>
      <c r="D8858">
        <v>24355</v>
      </c>
    </row>
    <row r="8859" spans="1:4" x14ac:dyDescent="0.25">
      <c r="A8859" t="str">
        <f>T("   NG")</f>
        <v xml:space="preserve">   NG</v>
      </c>
      <c r="B8859" t="str">
        <f>T("   Nigéria")</f>
        <v xml:space="preserve">   Nigéria</v>
      </c>
      <c r="C8859">
        <v>6338800</v>
      </c>
      <c r="D8859">
        <v>24355</v>
      </c>
    </row>
    <row r="8860" spans="1:4" x14ac:dyDescent="0.25">
      <c r="A8860" t="str">
        <f>T("721640")</f>
        <v>721640</v>
      </c>
      <c r="B8860" t="str">
        <f>T("PROFILÉS EN L OU EN T, EN FER OU EN ACIERS NON-ALLIÉS, SIMPL. LAMINÉS OU FILÉS À CHAUD, D'UNE HAUTEUR &gt;= 80 MM")</f>
        <v>PROFILÉS EN L OU EN T, EN FER OU EN ACIERS NON-ALLIÉS, SIMPL. LAMINÉS OU FILÉS À CHAUD, D'UNE HAUTEUR &gt;= 80 MM</v>
      </c>
    </row>
    <row r="8861" spans="1:4" x14ac:dyDescent="0.25">
      <c r="A8861" t="str">
        <f>T("   ZZZ_Monde")</f>
        <v xml:space="preserve">   ZZZ_Monde</v>
      </c>
      <c r="B8861" t="str">
        <f>T("   ZZZ_Monde")</f>
        <v xml:space="preserve">   ZZZ_Monde</v>
      </c>
      <c r="C8861">
        <v>4924363</v>
      </c>
      <c r="D8861">
        <v>18000</v>
      </c>
    </row>
    <row r="8862" spans="1:4" x14ac:dyDescent="0.25">
      <c r="A8862" t="str">
        <f>T("   CN")</f>
        <v xml:space="preserve">   CN</v>
      </c>
      <c r="B8862" t="str">
        <f>T("   Chine")</f>
        <v xml:space="preserve">   Chine</v>
      </c>
      <c r="C8862">
        <v>4924363</v>
      </c>
      <c r="D8862">
        <v>18000</v>
      </c>
    </row>
    <row r="8863" spans="1:4" x14ac:dyDescent="0.25">
      <c r="A8863" t="str">
        <f>T("721650")</f>
        <v>721650</v>
      </c>
      <c r="B8863" t="str">
        <f>T("PROFILÉS, EN FER OU EN ACIERS NON-ALLIÉS, SIMPL. LAMINÉS OU FILÉS À CHAUD (À L'EXCL. DES PROFILÉS EN U, EN I, EN H, EN L OU EN T)")</f>
        <v>PROFILÉS, EN FER OU EN ACIERS NON-ALLIÉS, SIMPL. LAMINÉS OU FILÉS À CHAUD (À L'EXCL. DES PROFILÉS EN U, EN I, EN H, EN L OU EN T)</v>
      </c>
    </row>
    <row r="8864" spans="1:4" x14ac:dyDescent="0.25">
      <c r="A8864" t="str">
        <f>T("   ZZZ_Monde")</f>
        <v xml:space="preserve">   ZZZ_Monde</v>
      </c>
      <c r="B8864" t="str">
        <f>T("   ZZZ_Monde")</f>
        <v xml:space="preserve">   ZZZ_Monde</v>
      </c>
      <c r="C8864">
        <v>137463119</v>
      </c>
      <c r="D8864">
        <v>513348</v>
      </c>
    </row>
    <row r="8865" spans="1:4" x14ac:dyDescent="0.25">
      <c r="A8865" t="str">
        <f>T("   BE")</f>
        <v xml:space="preserve">   BE</v>
      </c>
      <c r="B8865" t="str">
        <f>T("   Belgique")</f>
        <v xml:space="preserve">   Belgique</v>
      </c>
      <c r="C8865">
        <v>102410280</v>
      </c>
      <c r="D8865">
        <v>296202</v>
      </c>
    </row>
    <row r="8866" spans="1:4" x14ac:dyDescent="0.25">
      <c r="A8866" t="str">
        <f>T("   TG")</f>
        <v xml:space="preserve">   TG</v>
      </c>
      <c r="B8866" t="str">
        <f>T("   Togo")</f>
        <v xml:space="preserve">   Togo</v>
      </c>
      <c r="C8866">
        <v>16640000</v>
      </c>
      <c r="D8866">
        <v>65000</v>
      </c>
    </row>
    <row r="8867" spans="1:4" x14ac:dyDescent="0.25">
      <c r="A8867" t="str">
        <f>T("   TR")</f>
        <v xml:space="preserve">   TR</v>
      </c>
      <c r="B8867" t="str">
        <f>T("   Turquie")</f>
        <v xml:space="preserve">   Turquie</v>
      </c>
      <c r="C8867">
        <v>18412839</v>
      </c>
      <c r="D8867">
        <v>152146</v>
      </c>
    </row>
    <row r="8868" spans="1:4" x14ac:dyDescent="0.25">
      <c r="A8868" t="str">
        <f>T("721661")</f>
        <v>721661</v>
      </c>
      <c r="B8868" t="str">
        <f>T("PROFILÉS EN FER OU ACIERS NON-ALLIÉS, SIMPL. OBTENUS À FROID À PARTIR DE PRODUITS LAMINÉS PLATS (À L'EXCL. DES TÔLES NERVURÉES)")</f>
        <v>PROFILÉS EN FER OU ACIERS NON-ALLIÉS, SIMPL. OBTENUS À FROID À PARTIR DE PRODUITS LAMINÉS PLATS (À L'EXCL. DES TÔLES NERVURÉES)</v>
      </c>
    </row>
    <row r="8869" spans="1:4" x14ac:dyDescent="0.25">
      <c r="A8869" t="str">
        <f>T("   ZZZ_Monde")</f>
        <v xml:space="preserve">   ZZZ_Monde</v>
      </c>
      <c r="B8869" t="str">
        <f>T("   ZZZ_Monde")</f>
        <v xml:space="preserve">   ZZZ_Monde</v>
      </c>
      <c r="C8869">
        <v>198518805</v>
      </c>
      <c r="D8869">
        <v>490960</v>
      </c>
    </row>
    <row r="8870" spans="1:4" x14ac:dyDescent="0.25">
      <c r="A8870" t="str">
        <f>T("   GH")</f>
        <v xml:space="preserve">   GH</v>
      </c>
      <c r="B8870" t="str">
        <f>T("   Ghana")</f>
        <v xml:space="preserve">   Ghana</v>
      </c>
      <c r="C8870">
        <v>11207682</v>
      </c>
      <c r="D8870">
        <v>45710</v>
      </c>
    </row>
    <row r="8871" spans="1:4" x14ac:dyDescent="0.25">
      <c r="A8871" t="str">
        <f>T("   TG")</f>
        <v xml:space="preserve">   TG</v>
      </c>
      <c r="B8871" t="str">
        <f>T("   Togo")</f>
        <v xml:space="preserve">   Togo</v>
      </c>
      <c r="C8871">
        <v>187311123</v>
      </c>
      <c r="D8871">
        <v>445250</v>
      </c>
    </row>
    <row r="8872" spans="1:4" x14ac:dyDescent="0.25">
      <c r="A8872" t="str">
        <f>T("721669")</f>
        <v>721669</v>
      </c>
      <c r="B8872" t="str">
        <f>T("Profilés en fer ou en aciers non alliés, simplement obtenus ou parachevés à froid (à l'excl. des profilés obtenus à partir de produits laminés plats et des tôles nervurées)")</f>
        <v>Profilés en fer ou en aciers non alliés, simplement obtenus ou parachevés à froid (à l'excl. des profilés obtenus à partir de produits laminés plats et des tôles nervurées)</v>
      </c>
    </row>
    <row r="8873" spans="1:4" x14ac:dyDescent="0.25">
      <c r="A8873" t="str">
        <f>T("   ZZZ_Monde")</f>
        <v xml:space="preserve">   ZZZ_Monde</v>
      </c>
      <c r="B8873" t="str">
        <f>T("   ZZZ_Monde")</f>
        <v xml:space="preserve">   ZZZ_Monde</v>
      </c>
      <c r="C8873">
        <v>21726593</v>
      </c>
      <c r="D8873">
        <v>97108</v>
      </c>
    </row>
    <row r="8874" spans="1:4" x14ac:dyDescent="0.25">
      <c r="A8874" t="str">
        <f>T("   CN")</f>
        <v xml:space="preserve">   CN</v>
      </c>
      <c r="B8874" t="str">
        <f>T("   Chine")</f>
        <v xml:space="preserve">   Chine</v>
      </c>
      <c r="C8874">
        <v>204682</v>
      </c>
      <c r="D8874">
        <v>159</v>
      </c>
    </row>
    <row r="8875" spans="1:4" x14ac:dyDescent="0.25">
      <c r="A8875" t="str">
        <f>T("   FR")</f>
        <v xml:space="preserve">   FR</v>
      </c>
      <c r="B8875" t="str">
        <f>T("   France")</f>
        <v xml:space="preserve">   France</v>
      </c>
      <c r="C8875">
        <v>117417</v>
      </c>
      <c r="D8875">
        <v>199</v>
      </c>
    </row>
    <row r="8876" spans="1:4" x14ac:dyDescent="0.25">
      <c r="A8876" t="str">
        <f>T("   TG")</f>
        <v xml:space="preserve">   TG</v>
      </c>
      <c r="B8876" t="str">
        <f>T("   Togo")</f>
        <v xml:space="preserve">   Togo</v>
      </c>
      <c r="C8876">
        <v>21404494</v>
      </c>
      <c r="D8876">
        <v>96750</v>
      </c>
    </row>
    <row r="8877" spans="1:4" x14ac:dyDescent="0.25">
      <c r="A8877" t="str">
        <f>T("721691")</f>
        <v>721691</v>
      </c>
      <c r="B8877" t="str">
        <f>T("PROFILÉS EN FER OU ACIERS NON-ALLIÉS, OBTENUS OU PARACHEVÉS À FROID À PARTIR DE PRODUITS LAMINÉS PLATS ET AYANT SUBI CERTAINES OUVRAISONS PLUS POUSSÉES")</f>
        <v>PROFILÉS EN FER OU ACIERS NON-ALLIÉS, OBTENUS OU PARACHEVÉS À FROID À PARTIR DE PRODUITS LAMINÉS PLATS ET AYANT SUBI CERTAINES OUVRAISONS PLUS POUSSÉES</v>
      </c>
    </row>
    <row r="8878" spans="1:4" x14ac:dyDescent="0.25">
      <c r="A8878" t="str">
        <f>T("   ZZZ_Monde")</f>
        <v xml:space="preserve">   ZZZ_Monde</v>
      </c>
      <c r="B8878" t="str">
        <f>T("   ZZZ_Monde")</f>
        <v xml:space="preserve">   ZZZ_Monde</v>
      </c>
      <c r="C8878">
        <v>93842997</v>
      </c>
      <c r="D8878">
        <v>145991</v>
      </c>
    </row>
    <row r="8879" spans="1:4" x14ac:dyDescent="0.25">
      <c r="A8879" t="str">
        <f>T("   CI")</f>
        <v xml:space="preserve">   CI</v>
      </c>
      <c r="B8879" t="str">
        <f>T("   Côte d'Ivoire")</f>
        <v xml:space="preserve">   Côte d'Ivoire</v>
      </c>
      <c r="C8879">
        <v>60885618</v>
      </c>
      <c r="D8879">
        <v>112593</v>
      </c>
    </row>
    <row r="8880" spans="1:4" x14ac:dyDescent="0.25">
      <c r="A8880" t="str">
        <f>T("   FR")</f>
        <v xml:space="preserve">   FR</v>
      </c>
      <c r="B8880" t="str">
        <f>T("   France")</f>
        <v xml:space="preserve">   France</v>
      </c>
      <c r="C8880">
        <v>32957379</v>
      </c>
      <c r="D8880">
        <v>33398</v>
      </c>
    </row>
    <row r="8881" spans="1:4" x14ac:dyDescent="0.25">
      <c r="A8881" t="str">
        <f>T("721699")</f>
        <v>721699</v>
      </c>
      <c r="B8881" t="str">
        <f>T("Profilés en fer ou en aciers non alliés, obtenus ou parachevés à froid et ayant subi certaines ouvraisons plus poussées (autres que obtenus à partir de produits laminés plats) ou simplement forgés ou forgés ou autrement obtenus à chaud et ayant subi certa")</f>
        <v>Profilés en fer ou en aciers non alliés, obtenus ou parachevés à froid et ayant subi certaines ouvraisons plus poussées (autres que obtenus à partir de produits laminés plats) ou simplement forgés ou forgés ou autrement obtenus à chaud et ayant subi certa</v>
      </c>
    </row>
    <row r="8882" spans="1:4" x14ac:dyDescent="0.25">
      <c r="A8882" t="str">
        <f>T("   ZZZ_Monde")</f>
        <v xml:space="preserve">   ZZZ_Monde</v>
      </c>
      <c r="B8882" t="str">
        <f>T("   ZZZ_Monde")</f>
        <v xml:space="preserve">   ZZZ_Monde</v>
      </c>
      <c r="C8882">
        <v>642841</v>
      </c>
      <c r="D8882">
        <v>300</v>
      </c>
    </row>
    <row r="8883" spans="1:4" x14ac:dyDescent="0.25">
      <c r="A8883" t="str">
        <f>T("   BE")</f>
        <v xml:space="preserve">   BE</v>
      </c>
      <c r="B8883" t="str">
        <f>T("   Belgique")</f>
        <v xml:space="preserve">   Belgique</v>
      </c>
      <c r="C8883">
        <v>642841</v>
      </c>
      <c r="D8883">
        <v>300</v>
      </c>
    </row>
    <row r="8884" spans="1:4" x14ac:dyDescent="0.25">
      <c r="A8884" t="str">
        <f>T("721710")</f>
        <v>721710</v>
      </c>
      <c r="B8884" t="str">
        <f>T("FILS EN FER OU EN ACIERS NON-ALLIÉS, ENROULÉS, NON-REVÊTUS, MÊME POLIS (À L'EXCL. DU FIL MACHINE)")</f>
        <v>FILS EN FER OU EN ACIERS NON-ALLIÉS, ENROULÉS, NON-REVÊTUS, MÊME POLIS (À L'EXCL. DU FIL MACHINE)</v>
      </c>
    </row>
    <row r="8885" spans="1:4" x14ac:dyDescent="0.25">
      <c r="A8885" t="str">
        <f>T("   ZZZ_Monde")</f>
        <v xml:space="preserve">   ZZZ_Monde</v>
      </c>
      <c r="B8885" t="str">
        <f>T("   ZZZ_Monde")</f>
        <v xml:space="preserve">   ZZZ_Monde</v>
      </c>
      <c r="C8885">
        <v>139081165</v>
      </c>
      <c r="D8885">
        <v>326460</v>
      </c>
    </row>
    <row r="8886" spans="1:4" x14ac:dyDescent="0.25">
      <c r="A8886" t="str">
        <f>T("   CI")</f>
        <v xml:space="preserve">   CI</v>
      </c>
      <c r="B8886" t="str">
        <f>T("   Côte d'Ivoire")</f>
        <v xml:space="preserve">   Côte d'Ivoire</v>
      </c>
      <c r="C8886">
        <v>125250329</v>
      </c>
      <c r="D8886">
        <v>253400</v>
      </c>
    </row>
    <row r="8887" spans="1:4" x14ac:dyDescent="0.25">
      <c r="A8887" t="str">
        <f>T("   CN")</f>
        <v xml:space="preserve">   CN</v>
      </c>
      <c r="B8887" t="str">
        <f>T("   Chine")</f>
        <v xml:space="preserve">   Chine</v>
      </c>
      <c r="C8887">
        <v>12728488</v>
      </c>
      <c r="D8887">
        <v>72160</v>
      </c>
    </row>
    <row r="8888" spans="1:4" x14ac:dyDescent="0.25">
      <c r="A8888" t="str">
        <f>T("   TG")</f>
        <v xml:space="preserve">   TG</v>
      </c>
      <c r="B8888" t="str">
        <f>T("   Togo")</f>
        <v xml:space="preserve">   Togo</v>
      </c>
      <c r="C8888">
        <v>1102348</v>
      </c>
      <c r="D8888">
        <v>900</v>
      </c>
    </row>
    <row r="8889" spans="1:4" x14ac:dyDescent="0.25">
      <c r="A8889" t="str">
        <f>T("721720")</f>
        <v>721720</v>
      </c>
      <c r="B8889" t="str">
        <f>T("FILS EN FER OU EN ACIERS NON-ALLIÉS, ENROULÉS, ZINGUÉS (À L'EXCL. DU FIL MACHINE)")</f>
        <v>FILS EN FER OU EN ACIERS NON-ALLIÉS, ENROULÉS, ZINGUÉS (À L'EXCL. DU FIL MACHINE)</v>
      </c>
    </row>
    <row r="8890" spans="1:4" x14ac:dyDescent="0.25">
      <c r="A8890" t="str">
        <f>T("   ZZZ_Monde")</f>
        <v xml:space="preserve">   ZZZ_Monde</v>
      </c>
      <c r="B8890" t="str">
        <f>T("   ZZZ_Monde")</f>
        <v xml:space="preserve">   ZZZ_Monde</v>
      </c>
      <c r="C8890">
        <v>79856744</v>
      </c>
      <c r="D8890">
        <v>200016</v>
      </c>
    </row>
    <row r="8891" spans="1:4" x14ac:dyDescent="0.25">
      <c r="A8891" t="str">
        <f>T("   CN")</f>
        <v xml:space="preserve">   CN</v>
      </c>
      <c r="B8891" t="str">
        <f>T("   Chine")</f>
        <v xml:space="preserve">   Chine</v>
      </c>
      <c r="C8891">
        <v>8082498</v>
      </c>
      <c r="D8891">
        <v>20016</v>
      </c>
    </row>
    <row r="8892" spans="1:4" x14ac:dyDescent="0.25">
      <c r="A8892" t="str">
        <f>T("   NL")</f>
        <v xml:space="preserve">   NL</v>
      </c>
      <c r="B8892" t="str">
        <f>T("   Pays-bas")</f>
        <v xml:space="preserve">   Pays-bas</v>
      </c>
      <c r="C8892">
        <v>8462723</v>
      </c>
      <c r="D8892">
        <v>20000</v>
      </c>
    </row>
    <row r="8893" spans="1:4" x14ac:dyDescent="0.25">
      <c r="A8893" t="str">
        <f>T("   TG")</f>
        <v xml:space="preserve">   TG</v>
      </c>
      <c r="B8893" t="str">
        <f>T("   Togo")</f>
        <v xml:space="preserve">   Togo</v>
      </c>
      <c r="C8893">
        <v>63311523</v>
      </c>
      <c r="D8893">
        <v>160000</v>
      </c>
    </row>
    <row r="8894" spans="1:4" x14ac:dyDescent="0.25">
      <c r="A8894" t="str">
        <f>T("721730")</f>
        <v>721730</v>
      </c>
      <c r="B8894" t="str">
        <f>T("FILS EN FER OU EN ACIERS NON-ALLIÉS, ENROULÉS, REVÊTUS DE MÉTAUX COMMUNS (À L'EXCL. DES FILS ZINGUÉS AINSI QUE DU FIL MACHINE)")</f>
        <v>FILS EN FER OU EN ACIERS NON-ALLIÉS, ENROULÉS, REVÊTUS DE MÉTAUX COMMUNS (À L'EXCL. DES FILS ZINGUÉS AINSI QUE DU FIL MACHINE)</v>
      </c>
    </row>
    <row r="8895" spans="1:4" x14ac:dyDescent="0.25">
      <c r="A8895" t="str">
        <f>T("   ZZZ_Monde")</f>
        <v xml:space="preserve">   ZZZ_Monde</v>
      </c>
      <c r="B8895" t="str">
        <f>T("   ZZZ_Monde")</f>
        <v xml:space="preserve">   ZZZ_Monde</v>
      </c>
      <c r="C8895">
        <v>38938577</v>
      </c>
      <c r="D8895">
        <v>42646</v>
      </c>
    </row>
    <row r="8896" spans="1:4" x14ac:dyDescent="0.25">
      <c r="A8896" t="str">
        <f>T("   DE")</f>
        <v xml:space="preserve">   DE</v>
      </c>
      <c r="B8896" t="str">
        <f>T("   Allemagne")</f>
        <v xml:space="preserve">   Allemagne</v>
      </c>
      <c r="C8896">
        <v>18999881</v>
      </c>
      <c r="D8896">
        <v>21298</v>
      </c>
    </row>
    <row r="8897" spans="1:4" x14ac:dyDescent="0.25">
      <c r="A8897" t="str">
        <f>T("   GB")</f>
        <v xml:space="preserve">   GB</v>
      </c>
      <c r="B8897" t="str">
        <f>T("   Royaume-Uni")</f>
        <v xml:space="preserve">   Royaume-Uni</v>
      </c>
      <c r="C8897">
        <v>18235688</v>
      </c>
      <c r="D8897">
        <v>21298</v>
      </c>
    </row>
    <row r="8898" spans="1:4" x14ac:dyDescent="0.25">
      <c r="A8898" t="str">
        <f>T("   JP")</f>
        <v xml:space="preserve">   JP</v>
      </c>
      <c r="B8898" t="str">
        <f>T("   Japon")</f>
        <v xml:space="preserve">   Japon</v>
      </c>
      <c r="C8898">
        <v>1703008</v>
      </c>
      <c r="D8898">
        <v>50</v>
      </c>
    </row>
    <row r="8899" spans="1:4" x14ac:dyDescent="0.25">
      <c r="A8899" t="str">
        <f>T("721790")</f>
        <v>721790</v>
      </c>
      <c r="B8899" t="str">
        <f>T("FILS EN FER OU EN ACIERS NON-ALLIÉS, ENROULÉS, REVÊTUS (À L'EXCL. DU FIL MACHINE AINSI QUE DES FILS REVÊTUS DE MÉTAUX COMMUNS)")</f>
        <v>FILS EN FER OU EN ACIERS NON-ALLIÉS, ENROULÉS, REVÊTUS (À L'EXCL. DU FIL MACHINE AINSI QUE DES FILS REVÊTUS DE MÉTAUX COMMUNS)</v>
      </c>
    </row>
    <row r="8900" spans="1:4" x14ac:dyDescent="0.25">
      <c r="A8900" t="str">
        <f>T("   ZZZ_Monde")</f>
        <v xml:space="preserve">   ZZZ_Monde</v>
      </c>
      <c r="B8900" t="str">
        <f>T("   ZZZ_Monde")</f>
        <v xml:space="preserve">   ZZZ_Monde</v>
      </c>
      <c r="C8900">
        <v>111707403</v>
      </c>
      <c r="D8900">
        <v>283166</v>
      </c>
    </row>
    <row r="8901" spans="1:4" x14ac:dyDescent="0.25">
      <c r="A8901" t="str">
        <f>T("   BE")</f>
        <v xml:space="preserve">   BE</v>
      </c>
      <c r="B8901" t="str">
        <f>T("   Belgique")</f>
        <v xml:space="preserve">   Belgique</v>
      </c>
      <c r="C8901">
        <v>12980372</v>
      </c>
      <c r="D8901">
        <v>52000</v>
      </c>
    </row>
    <row r="8902" spans="1:4" x14ac:dyDescent="0.25">
      <c r="A8902" t="str">
        <f>T("   CI")</f>
        <v xml:space="preserve">   CI</v>
      </c>
      <c r="B8902" t="str">
        <f>T("   Côte d'Ivoire")</f>
        <v xml:space="preserve">   Côte d'Ivoire</v>
      </c>
      <c r="C8902">
        <v>10344889</v>
      </c>
      <c r="D8902">
        <v>30000</v>
      </c>
    </row>
    <row r="8903" spans="1:4" x14ac:dyDescent="0.25">
      <c r="A8903" t="str">
        <f>T("   CN")</f>
        <v xml:space="preserve">   CN</v>
      </c>
      <c r="B8903" t="str">
        <f>T("   Chine")</f>
        <v xml:space="preserve">   Chine</v>
      </c>
      <c r="C8903">
        <v>9751999</v>
      </c>
      <c r="D8903">
        <v>37966</v>
      </c>
    </row>
    <row r="8904" spans="1:4" x14ac:dyDescent="0.25">
      <c r="A8904" t="str">
        <f>T("   GB")</f>
        <v xml:space="preserve">   GB</v>
      </c>
      <c r="B8904" t="str">
        <f>T("   Royaume-Uni")</f>
        <v xml:space="preserve">   Royaume-Uni</v>
      </c>
      <c r="C8904">
        <v>100000</v>
      </c>
      <c r="D8904">
        <v>200</v>
      </c>
    </row>
    <row r="8905" spans="1:4" x14ac:dyDescent="0.25">
      <c r="A8905" t="str">
        <f>T("   NL")</f>
        <v xml:space="preserve">   NL</v>
      </c>
      <c r="B8905" t="str">
        <f>T("   Pays-bas")</f>
        <v xml:space="preserve">   Pays-bas</v>
      </c>
      <c r="C8905">
        <v>3086051</v>
      </c>
      <c r="D8905">
        <v>6000</v>
      </c>
    </row>
    <row r="8906" spans="1:4" x14ac:dyDescent="0.25">
      <c r="A8906" t="str">
        <f>T("   SE")</f>
        <v xml:space="preserve">   SE</v>
      </c>
      <c r="B8906" t="str">
        <f>T("   Suède")</f>
        <v xml:space="preserve">   Suède</v>
      </c>
      <c r="C8906">
        <v>13256924</v>
      </c>
      <c r="D8906">
        <v>52000</v>
      </c>
    </row>
    <row r="8907" spans="1:4" x14ac:dyDescent="0.25">
      <c r="A8907" t="str">
        <f>T("   TG")</f>
        <v xml:space="preserve">   TG</v>
      </c>
      <c r="B8907" t="str">
        <f>T("   Togo")</f>
        <v xml:space="preserve">   Togo</v>
      </c>
      <c r="C8907">
        <v>62187168</v>
      </c>
      <c r="D8907">
        <v>105000</v>
      </c>
    </row>
    <row r="8908" spans="1:4" x14ac:dyDescent="0.25">
      <c r="A8908" t="str">
        <f>T("721810")</f>
        <v>721810</v>
      </c>
      <c r="B8908" t="str">
        <f>T("ACIERS INOXYDABLES EN LINGOTS ET AUTRES FORMES PRIMAIRES (SAUF DÉCHETS LINGOTÉS ET PRODUITS OBTENUS PAR COULÉE CONTINUE)")</f>
        <v>ACIERS INOXYDABLES EN LINGOTS ET AUTRES FORMES PRIMAIRES (SAUF DÉCHETS LINGOTÉS ET PRODUITS OBTENUS PAR COULÉE CONTINUE)</v>
      </c>
    </row>
    <row r="8909" spans="1:4" x14ac:dyDescent="0.25">
      <c r="A8909" t="str">
        <f>T("   ZZZ_Monde")</f>
        <v xml:space="preserve">   ZZZ_Monde</v>
      </c>
      <c r="B8909" t="str">
        <f>T("   ZZZ_Monde")</f>
        <v xml:space="preserve">   ZZZ_Monde</v>
      </c>
      <c r="C8909">
        <v>736314</v>
      </c>
      <c r="D8909">
        <v>710</v>
      </c>
    </row>
    <row r="8910" spans="1:4" x14ac:dyDescent="0.25">
      <c r="A8910" t="str">
        <f>T("   TG")</f>
        <v xml:space="preserve">   TG</v>
      </c>
      <c r="B8910" t="str">
        <f>T("   Togo")</f>
        <v xml:space="preserve">   Togo</v>
      </c>
      <c r="C8910">
        <v>736314</v>
      </c>
      <c r="D8910">
        <v>710</v>
      </c>
    </row>
    <row r="8911" spans="1:4" x14ac:dyDescent="0.25">
      <c r="A8911" t="str">
        <f>T("721990")</f>
        <v>721990</v>
      </c>
      <c r="B8911" t="str">
        <f>T("Produits laminés plats, en aciers inoxydables, d'une largeur &gt;= 600 mm, laminés à chaud ou à froid et ayant subi certaines ouvraisons plus poussées")</f>
        <v>Produits laminés plats, en aciers inoxydables, d'une largeur &gt;= 600 mm, laminés à chaud ou à froid et ayant subi certaines ouvraisons plus poussées</v>
      </c>
    </row>
    <row r="8912" spans="1:4" x14ac:dyDescent="0.25">
      <c r="A8912" t="str">
        <f>T("   ZZZ_Monde")</f>
        <v xml:space="preserve">   ZZZ_Monde</v>
      </c>
      <c r="B8912" t="str">
        <f>T("   ZZZ_Monde")</f>
        <v xml:space="preserve">   ZZZ_Monde</v>
      </c>
      <c r="C8912">
        <v>1016083</v>
      </c>
      <c r="D8912">
        <v>273</v>
      </c>
    </row>
    <row r="8913" spans="1:4" x14ac:dyDescent="0.25">
      <c r="A8913" t="str">
        <f>T("   FR")</f>
        <v xml:space="preserve">   FR</v>
      </c>
      <c r="B8913" t="str">
        <f>T("   France")</f>
        <v xml:space="preserve">   France</v>
      </c>
      <c r="C8913">
        <v>1016083</v>
      </c>
      <c r="D8913">
        <v>273</v>
      </c>
    </row>
    <row r="8914" spans="1:4" x14ac:dyDescent="0.25">
      <c r="A8914" t="str">
        <f>T("722240")</f>
        <v>722240</v>
      </c>
      <c r="B8914" t="str">
        <f>T("Profilés, en aciers inoxydables, n.d.a.")</f>
        <v>Profilés, en aciers inoxydables, n.d.a.</v>
      </c>
    </row>
    <row r="8915" spans="1:4" x14ac:dyDescent="0.25">
      <c r="A8915" t="str">
        <f>T("   ZZZ_Monde")</f>
        <v xml:space="preserve">   ZZZ_Monde</v>
      </c>
      <c r="B8915" t="str">
        <f>T("   ZZZ_Monde")</f>
        <v xml:space="preserve">   ZZZ_Monde</v>
      </c>
      <c r="C8915">
        <v>7204736</v>
      </c>
      <c r="D8915">
        <v>13296</v>
      </c>
    </row>
    <row r="8916" spans="1:4" x14ac:dyDescent="0.25">
      <c r="A8916" t="str">
        <f>T("   CN")</f>
        <v xml:space="preserve">   CN</v>
      </c>
      <c r="B8916" t="str">
        <f>T("   Chine")</f>
        <v xml:space="preserve">   Chine</v>
      </c>
      <c r="C8916">
        <v>7204736</v>
      </c>
      <c r="D8916">
        <v>13296</v>
      </c>
    </row>
    <row r="8917" spans="1:4" x14ac:dyDescent="0.25">
      <c r="A8917" t="str">
        <f>T("722300")</f>
        <v>722300</v>
      </c>
      <c r="B8917" t="str">
        <f>T("Fils en aciers inoxydables, en couronnes ou rouleaux (autres que fil machine)")</f>
        <v>Fils en aciers inoxydables, en couronnes ou rouleaux (autres que fil machine)</v>
      </c>
    </row>
    <row r="8918" spans="1:4" x14ac:dyDescent="0.25">
      <c r="A8918" t="str">
        <f>T("   ZZZ_Monde")</f>
        <v xml:space="preserve">   ZZZ_Monde</v>
      </c>
      <c r="B8918" t="str">
        <f>T("   ZZZ_Monde")</f>
        <v xml:space="preserve">   ZZZ_Monde</v>
      </c>
      <c r="C8918">
        <v>32459219</v>
      </c>
      <c r="D8918">
        <v>68675</v>
      </c>
    </row>
    <row r="8919" spans="1:4" x14ac:dyDescent="0.25">
      <c r="A8919" t="str">
        <f>T("   CN")</f>
        <v xml:space="preserve">   CN</v>
      </c>
      <c r="B8919" t="str">
        <f>T("   Chine")</f>
        <v xml:space="preserve">   Chine</v>
      </c>
      <c r="C8919">
        <v>4428386</v>
      </c>
      <c r="D8919">
        <v>27000</v>
      </c>
    </row>
    <row r="8920" spans="1:4" x14ac:dyDescent="0.25">
      <c r="A8920" t="str">
        <f>T("   FR")</f>
        <v xml:space="preserve">   FR</v>
      </c>
      <c r="B8920" t="str">
        <f>T("   France")</f>
        <v xml:space="preserve">   France</v>
      </c>
      <c r="C8920">
        <v>1479840</v>
      </c>
      <c r="D8920">
        <v>6675</v>
      </c>
    </row>
    <row r="8921" spans="1:4" x14ac:dyDescent="0.25">
      <c r="A8921" t="str">
        <f>T("   TG")</f>
        <v xml:space="preserve">   TG</v>
      </c>
      <c r="B8921" t="str">
        <f>T("   Togo")</f>
        <v xml:space="preserve">   Togo</v>
      </c>
      <c r="C8921">
        <v>26550993</v>
      </c>
      <c r="D8921">
        <v>35000</v>
      </c>
    </row>
    <row r="8922" spans="1:4" x14ac:dyDescent="0.25">
      <c r="A8922" t="str">
        <f>T("722540")</f>
        <v>722540</v>
      </c>
      <c r="B8922" t="str">
        <f>T("PRODUITS LAMINÉS PLATS EN ACIERS ALLIÉS AUTRES QU'ACIERS INOXYDABLES, D'UNE LARGEUR &gt;= 600 MM, SIMPL. LAMINÉS À CHAUD, NON-ENROULÉS (SAUF ACIERS AU SILICIUM DITS -MAGNÉTIQUES-)")</f>
        <v>PRODUITS LAMINÉS PLATS EN ACIERS ALLIÉS AUTRES QU'ACIERS INOXYDABLES, D'UNE LARGEUR &gt;= 600 MM, SIMPL. LAMINÉS À CHAUD, NON-ENROULÉS (SAUF ACIERS AU SILICIUM DITS -MAGNÉTIQUES-)</v>
      </c>
    </row>
    <row r="8923" spans="1:4" x14ac:dyDescent="0.25">
      <c r="A8923" t="str">
        <f>T("   ZZZ_Monde")</f>
        <v xml:space="preserve">   ZZZ_Monde</v>
      </c>
      <c r="B8923" t="str">
        <f>T("   ZZZ_Monde")</f>
        <v xml:space="preserve">   ZZZ_Monde</v>
      </c>
      <c r="C8923">
        <v>5914791</v>
      </c>
      <c r="D8923">
        <v>2375</v>
      </c>
    </row>
    <row r="8924" spans="1:4" x14ac:dyDescent="0.25">
      <c r="A8924" t="str">
        <f>T("   FR")</f>
        <v xml:space="preserve">   FR</v>
      </c>
      <c r="B8924" t="str">
        <f>T("   France")</f>
        <v xml:space="preserve">   France</v>
      </c>
      <c r="C8924">
        <v>5914791</v>
      </c>
      <c r="D8924">
        <v>2375</v>
      </c>
    </row>
    <row r="8925" spans="1:4" x14ac:dyDescent="0.25">
      <c r="A8925" t="str">
        <f>T("722550")</f>
        <v>722550</v>
      </c>
      <c r="B8925" t="str">
        <f>T("PRODUITS LAMINÉS PLATS EN ACIERS ALLIÉS AUTRES QU'ACIERS INOXYDABLES, D'UNE LARGEUR &gt;= 600 MM, SIMPL. LAMINÉS À FROID (SAUF ACIERS AU SILICIUM DITS -MAGNÉTIQUES-)")</f>
        <v>PRODUITS LAMINÉS PLATS EN ACIERS ALLIÉS AUTRES QU'ACIERS INOXYDABLES, D'UNE LARGEUR &gt;= 600 MM, SIMPL. LAMINÉS À FROID (SAUF ACIERS AU SILICIUM DITS -MAGNÉTIQUES-)</v>
      </c>
    </row>
    <row r="8926" spans="1:4" x14ac:dyDescent="0.25">
      <c r="A8926" t="str">
        <f>T("   ZZZ_Monde")</f>
        <v xml:space="preserve">   ZZZ_Monde</v>
      </c>
      <c r="B8926" t="str">
        <f>T("   ZZZ_Monde")</f>
        <v xml:space="preserve">   ZZZ_Monde</v>
      </c>
      <c r="C8926">
        <v>498228</v>
      </c>
      <c r="D8926">
        <v>20</v>
      </c>
    </row>
    <row r="8927" spans="1:4" x14ac:dyDescent="0.25">
      <c r="A8927" t="str">
        <f>T("   FR")</f>
        <v xml:space="preserve">   FR</v>
      </c>
      <c r="B8927" t="str">
        <f>T("   France")</f>
        <v xml:space="preserve">   France</v>
      </c>
      <c r="C8927">
        <v>498228</v>
      </c>
      <c r="D8927">
        <v>20</v>
      </c>
    </row>
    <row r="8928" spans="1:4" x14ac:dyDescent="0.25">
      <c r="A8928" t="str">
        <f>T("722699")</f>
        <v>722699</v>
      </c>
      <c r="B8928" t="str">
        <f>T("PRODUITS LAMINÉS PLATS EN ACIERS ALLIÉS AUTRES QU'ACIERS INOXYDABLES, LARGEUR &lt; 600 MM, LAMINÉS À CHAUD OU À FROID ET AUTREMENT TRAITÉS (SAUF PRODUITS EN ACIERS À COUPE RAPIDE OU ACIERS AU SILICIUM DITS -MAGNÉTIQUES-)")</f>
        <v>PRODUITS LAMINÉS PLATS EN ACIERS ALLIÉS AUTRES QU'ACIERS INOXYDABLES, LARGEUR &lt; 600 MM, LAMINÉS À CHAUD OU À FROID ET AUTREMENT TRAITÉS (SAUF PRODUITS EN ACIERS À COUPE RAPIDE OU ACIERS AU SILICIUM DITS -MAGNÉTIQUES-)</v>
      </c>
    </row>
    <row r="8929" spans="1:4" x14ac:dyDescent="0.25">
      <c r="A8929" t="str">
        <f>T("   ZZZ_Monde")</f>
        <v xml:space="preserve">   ZZZ_Monde</v>
      </c>
      <c r="B8929" t="str">
        <f>T("   ZZZ_Monde")</f>
        <v xml:space="preserve">   ZZZ_Monde</v>
      </c>
      <c r="C8929">
        <v>42492461</v>
      </c>
      <c r="D8929">
        <v>11445</v>
      </c>
    </row>
    <row r="8930" spans="1:4" x14ac:dyDescent="0.25">
      <c r="A8930" t="str">
        <f>T("   CN")</f>
        <v xml:space="preserve">   CN</v>
      </c>
      <c r="B8930" t="str">
        <f>T("   Chine")</f>
        <v xml:space="preserve">   Chine</v>
      </c>
      <c r="C8930">
        <v>42492461</v>
      </c>
      <c r="D8930">
        <v>11445</v>
      </c>
    </row>
    <row r="8931" spans="1:4" x14ac:dyDescent="0.25">
      <c r="A8931" t="str">
        <f>T("722810")</f>
        <v>722810</v>
      </c>
      <c r="B8931" t="str">
        <f>T("Barres en aciers à coupe rapide")</f>
        <v>Barres en aciers à coupe rapide</v>
      </c>
    </row>
    <row r="8932" spans="1:4" x14ac:dyDescent="0.25">
      <c r="A8932" t="str">
        <f>T("   ZZZ_Monde")</f>
        <v xml:space="preserve">   ZZZ_Monde</v>
      </c>
      <c r="B8932" t="str">
        <f>T("   ZZZ_Monde")</f>
        <v xml:space="preserve">   ZZZ_Monde</v>
      </c>
      <c r="C8932">
        <v>3170101</v>
      </c>
      <c r="D8932">
        <v>2876</v>
      </c>
    </row>
    <row r="8933" spans="1:4" x14ac:dyDescent="0.25">
      <c r="A8933" t="str">
        <f>T("   FR")</f>
        <v xml:space="preserve">   FR</v>
      </c>
      <c r="B8933" t="str">
        <f>T("   France")</f>
        <v xml:space="preserve">   France</v>
      </c>
      <c r="C8933">
        <v>3170101</v>
      </c>
      <c r="D8933">
        <v>2876</v>
      </c>
    </row>
    <row r="8934" spans="1:4" x14ac:dyDescent="0.25">
      <c r="A8934" t="str">
        <f>T("722830")</f>
        <v>722830</v>
      </c>
      <c r="B8934" t="str">
        <f>T("BARRES EN ACIERS ALLIÉS AUTRES QU'ACIERS INOXYDABLES, SIMPL. LAMINÉES OU FILÉES À CHAUD (SAUF EN ACIERS À COUPE RAPIDE OU SILICOMANGANEUX)")</f>
        <v>BARRES EN ACIERS ALLIÉS AUTRES QU'ACIERS INOXYDABLES, SIMPL. LAMINÉES OU FILÉES À CHAUD (SAUF EN ACIERS À COUPE RAPIDE OU SILICOMANGANEUX)</v>
      </c>
    </row>
    <row r="8935" spans="1:4" x14ac:dyDescent="0.25">
      <c r="A8935" t="str">
        <f>T("   ZZZ_Monde")</f>
        <v xml:space="preserve">   ZZZ_Monde</v>
      </c>
      <c r="B8935" t="str">
        <f>T("   ZZZ_Monde")</f>
        <v xml:space="preserve">   ZZZ_Monde</v>
      </c>
      <c r="C8935">
        <v>1884580</v>
      </c>
      <c r="D8935">
        <v>481</v>
      </c>
    </row>
    <row r="8936" spans="1:4" x14ac:dyDescent="0.25">
      <c r="A8936" t="str">
        <f>T("   FR")</f>
        <v xml:space="preserve">   FR</v>
      </c>
      <c r="B8936" t="str">
        <f>T("   France")</f>
        <v xml:space="preserve">   France</v>
      </c>
      <c r="C8936">
        <v>1884580</v>
      </c>
      <c r="D8936">
        <v>481</v>
      </c>
    </row>
    <row r="8937" spans="1:4" x14ac:dyDescent="0.25">
      <c r="A8937" t="str">
        <f>T("722860")</f>
        <v>722860</v>
      </c>
      <c r="B8937" t="str">
        <f>T("Barres en aciers alliés autres qu'aciers inoxydables, obtenues ou parachevées à froid et autrement traitées, ou obtenues à chaud et autrement traitées n.d.a. (sauf en aciers à coupe rapide ou aciers silicomanganeux)")</f>
        <v>Barres en aciers alliés autres qu'aciers inoxydables, obtenues ou parachevées à froid et autrement traitées, ou obtenues à chaud et autrement traitées n.d.a. (sauf en aciers à coupe rapide ou aciers silicomanganeux)</v>
      </c>
    </row>
    <row r="8938" spans="1:4" x14ac:dyDescent="0.25">
      <c r="A8938" t="str">
        <f>T("   ZZZ_Monde")</f>
        <v xml:space="preserve">   ZZZ_Monde</v>
      </c>
      <c r="B8938" t="str">
        <f>T("   ZZZ_Monde")</f>
        <v xml:space="preserve">   ZZZ_Monde</v>
      </c>
      <c r="C8938">
        <v>516240</v>
      </c>
      <c r="D8938">
        <v>145</v>
      </c>
    </row>
    <row r="8939" spans="1:4" x14ac:dyDescent="0.25">
      <c r="A8939" t="str">
        <f>T("   FR")</f>
        <v xml:space="preserve">   FR</v>
      </c>
      <c r="B8939" t="str">
        <f>T("   France")</f>
        <v xml:space="preserve">   France</v>
      </c>
      <c r="C8939">
        <v>516240</v>
      </c>
      <c r="D8939">
        <v>145</v>
      </c>
    </row>
    <row r="8940" spans="1:4" x14ac:dyDescent="0.25">
      <c r="A8940" t="str">
        <f>T("722870")</f>
        <v>722870</v>
      </c>
      <c r="B8940" t="str">
        <f>T("Profilés en aciers alliés autres qu'aciers inoxydables n.d.a.")</f>
        <v>Profilés en aciers alliés autres qu'aciers inoxydables n.d.a.</v>
      </c>
    </row>
    <row r="8941" spans="1:4" x14ac:dyDescent="0.25">
      <c r="A8941" t="str">
        <f>T("   ZZZ_Monde")</f>
        <v xml:space="preserve">   ZZZ_Monde</v>
      </c>
      <c r="B8941" t="str">
        <f>T("   ZZZ_Monde")</f>
        <v xml:space="preserve">   ZZZ_Monde</v>
      </c>
      <c r="C8941">
        <v>29518200</v>
      </c>
      <c r="D8941">
        <v>35204</v>
      </c>
    </row>
    <row r="8942" spans="1:4" x14ac:dyDescent="0.25">
      <c r="A8942" t="str">
        <f>T("   FR")</f>
        <v xml:space="preserve">   FR</v>
      </c>
      <c r="B8942" t="str">
        <f>T("   France")</f>
        <v xml:space="preserve">   France</v>
      </c>
      <c r="C8942">
        <v>29518200</v>
      </c>
      <c r="D8942">
        <v>35204</v>
      </c>
    </row>
    <row r="8943" spans="1:4" x14ac:dyDescent="0.25">
      <c r="A8943" t="str">
        <f>T("722880")</f>
        <v>722880</v>
      </c>
      <c r="B8943" t="str">
        <f>T("Barres creuses pour le forage, en aciers alliés ou non alliés")</f>
        <v>Barres creuses pour le forage, en aciers alliés ou non alliés</v>
      </c>
    </row>
    <row r="8944" spans="1:4" x14ac:dyDescent="0.25">
      <c r="A8944" t="str">
        <f>T("   ZZZ_Monde")</f>
        <v xml:space="preserve">   ZZZ_Monde</v>
      </c>
      <c r="B8944" t="str">
        <f>T("   ZZZ_Monde")</f>
        <v xml:space="preserve">   ZZZ_Monde</v>
      </c>
      <c r="C8944">
        <v>27065000</v>
      </c>
      <c r="D8944">
        <v>226914</v>
      </c>
    </row>
    <row r="8945" spans="1:4" x14ac:dyDescent="0.25">
      <c r="A8945" t="str">
        <f>T("   Z2")</f>
        <v xml:space="preserve">   Z2</v>
      </c>
      <c r="B8945" t="str">
        <f>T("   Pays non défini")</f>
        <v xml:space="preserve">   Pays non défini</v>
      </c>
      <c r="C8945">
        <v>27065000</v>
      </c>
      <c r="D8945">
        <v>226914</v>
      </c>
    </row>
    <row r="8946" spans="1:4" x14ac:dyDescent="0.25">
      <c r="A8946" t="str">
        <f>T("730110")</f>
        <v>730110</v>
      </c>
      <c r="B8946" t="str">
        <f>T("PALPLANCHES EN FER OU EN ACIER, MÊME PERCÉES OU FAITES D'ÉLÉMENTS ASSEMBLÉS")</f>
        <v>PALPLANCHES EN FER OU EN ACIER, MÊME PERCÉES OU FAITES D'ÉLÉMENTS ASSEMBLÉS</v>
      </c>
    </row>
    <row r="8947" spans="1:4" x14ac:dyDescent="0.25">
      <c r="A8947" t="str">
        <f>T("   ZZZ_Monde")</f>
        <v xml:space="preserve">   ZZZ_Monde</v>
      </c>
      <c r="B8947" t="str">
        <f>T("   ZZZ_Monde")</f>
        <v xml:space="preserve">   ZZZ_Monde</v>
      </c>
      <c r="C8947">
        <v>40000</v>
      </c>
      <c r="D8947">
        <v>200</v>
      </c>
    </row>
    <row r="8948" spans="1:4" x14ac:dyDescent="0.25">
      <c r="A8948" t="str">
        <f>T("   NG")</f>
        <v xml:space="preserve">   NG</v>
      </c>
      <c r="B8948" t="str">
        <f>T("   Nigéria")</f>
        <v xml:space="preserve">   Nigéria</v>
      </c>
      <c r="C8948">
        <v>40000</v>
      </c>
      <c r="D8948">
        <v>200</v>
      </c>
    </row>
    <row r="8949" spans="1:4" x14ac:dyDescent="0.25">
      <c r="A8949" t="str">
        <f>T("730120")</f>
        <v>730120</v>
      </c>
      <c r="B8949" t="str">
        <f>T("Profilés en fer ou en acier, obtenus par soudage")</f>
        <v>Profilés en fer ou en acier, obtenus par soudage</v>
      </c>
    </row>
    <row r="8950" spans="1:4" x14ac:dyDescent="0.25">
      <c r="A8950" t="str">
        <f>T("   ZZZ_Monde")</f>
        <v xml:space="preserve">   ZZZ_Monde</v>
      </c>
      <c r="B8950" t="str">
        <f>T("   ZZZ_Monde")</f>
        <v xml:space="preserve">   ZZZ_Monde</v>
      </c>
      <c r="C8950">
        <v>26791856</v>
      </c>
      <c r="D8950">
        <v>31457</v>
      </c>
    </row>
    <row r="8951" spans="1:4" x14ac:dyDescent="0.25">
      <c r="A8951" t="str">
        <f>T("   CN")</f>
        <v xml:space="preserve">   CN</v>
      </c>
      <c r="B8951" t="str">
        <f>T("   Chine")</f>
        <v xml:space="preserve">   Chine</v>
      </c>
      <c r="C8951">
        <v>6715584</v>
      </c>
      <c r="D8951">
        <v>23030</v>
      </c>
    </row>
    <row r="8952" spans="1:4" x14ac:dyDescent="0.25">
      <c r="A8952" t="str">
        <f>T("   FR")</f>
        <v xml:space="preserve">   FR</v>
      </c>
      <c r="B8952" t="str">
        <f>T("   France")</f>
        <v xml:space="preserve">   France</v>
      </c>
      <c r="C8952">
        <v>17700815</v>
      </c>
      <c r="D8952">
        <v>5365</v>
      </c>
    </row>
    <row r="8953" spans="1:4" x14ac:dyDescent="0.25">
      <c r="A8953" t="str">
        <f>T("   IN")</f>
        <v xml:space="preserve">   IN</v>
      </c>
      <c r="B8953" t="str">
        <f>T("   Inde")</f>
        <v xml:space="preserve">   Inde</v>
      </c>
      <c r="C8953">
        <v>1173928</v>
      </c>
      <c r="D8953">
        <v>1562</v>
      </c>
    </row>
    <row r="8954" spans="1:4" x14ac:dyDescent="0.25">
      <c r="A8954" t="str">
        <f>T("   TG")</f>
        <v xml:space="preserve">   TG</v>
      </c>
      <c r="B8954" t="str">
        <f>T("   Togo")</f>
        <v xml:space="preserve">   Togo</v>
      </c>
      <c r="C8954">
        <v>1201529</v>
      </c>
      <c r="D8954">
        <v>1500</v>
      </c>
    </row>
    <row r="8955" spans="1:4" x14ac:dyDescent="0.25">
      <c r="A8955" t="str">
        <f>T("730210")</f>
        <v>730210</v>
      </c>
      <c r="B8955" t="str">
        <f>T("Rails en fonte, fer ou acier pour voies ferrées ( à l'excl. des contre-rails)")</f>
        <v>Rails en fonte, fer ou acier pour voies ferrées ( à l'excl. des contre-rails)</v>
      </c>
    </row>
    <row r="8956" spans="1:4" x14ac:dyDescent="0.25">
      <c r="A8956" t="str">
        <f>T("   ZZZ_Monde")</f>
        <v xml:space="preserve">   ZZZ_Monde</v>
      </c>
      <c r="B8956" t="str">
        <f>T("   ZZZ_Monde")</f>
        <v xml:space="preserve">   ZZZ_Monde</v>
      </c>
      <c r="C8956">
        <v>1765147</v>
      </c>
      <c r="D8956">
        <v>4391</v>
      </c>
    </row>
    <row r="8957" spans="1:4" x14ac:dyDescent="0.25">
      <c r="A8957" t="str">
        <f>T("   FR")</f>
        <v xml:space="preserve">   FR</v>
      </c>
      <c r="B8957" t="str">
        <f>T("   France")</f>
        <v xml:space="preserve">   France</v>
      </c>
      <c r="C8957">
        <v>869147</v>
      </c>
      <c r="D8957">
        <v>391</v>
      </c>
    </row>
    <row r="8958" spans="1:4" x14ac:dyDescent="0.25">
      <c r="A8958" t="str">
        <f>T("   Z2")</f>
        <v xml:space="preserve">   Z2</v>
      </c>
      <c r="B8958" t="str">
        <f>T("   Pays non défini")</f>
        <v xml:space="preserve">   Pays non défini</v>
      </c>
      <c r="C8958">
        <v>896000</v>
      </c>
      <c r="D8958">
        <v>4000</v>
      </c>
    </row>
    <row r="8959" spans="1:4" x14ac:dyDescent="0.25">
      <c r="A8959" t="str">
        <f>T("730230")</f>
        <v>730230</v>
      </c>
      <c r="B8959" t="str">
        <f>T("Aiguilles, pointes de coeur, tringles d'aiguillage et autres éléments de croisement ou de changement de voies, en fonte, fer ou acier")</f>
        <v>Aiguilles, pointes de coeur, tringles d'aiguillage et autres éléments de croisement ou de changement de voies, en fonte, fer ou acier</v>
      </c>
    </row>
    <row r="8960" spans="1:4" x14ac:dyDescent="0.25">
      <c r="A8960" t="str">
        <f>T("   ZZZ_Monde")</f>
        <v xml:space="preserve">   ZZZ_Monde</v>
      </c>
      <c r="B8960" t="str">
        <f>T("   ZZZ_Monde")</f>
        <v xml:space="preserve">   ZZZ_Monde</v>
      </c>
      <c r="C8960">
        <v>13119200</v>
      </c>
      <c r="D8960">
        <v>15000</v>
      </c>
    </row>
    <row r="8961" spans="1:4" x14ac:dyDescent="0.25">
      <c r="A8961" t="str">
        <f>T("   FR")</f>
        <v xml:space="preserve">   FR</v>
      </c>
      <c r="B8961" t="str">
        <f>T("   France")</f>
        <v xml:space="preserve">   France</v>
      </c>
      <c r="C8961">
        <v>13119200</v>
      </c>
      <c r="D8961">
        <v>15000</v>
      </c>
    </row>
    <row r="8962" spans="1:4" x14ac:dyDescent="0.25">
      <c r="A8962" t="str">
        <f>T("730300")</f>
        <v>730300</v>
      </c>
      <c r="B8962" t="str">
        <f>T("Tubes, tuyaux et profilés creux, en fonte")</f>
        <v>Tubes, tuyaux et profilés creux, en fonte</v>
      </c>
    </row>
    <row r="8963" spans="1:4" x14ac:dyDescent="0.25">
      <c r="A8963" t="str">
        <f>T("   ZZZ_Monde")</f>
        <v xml:space="preserve">   ZZZ_Monde</v>
      </c>
      <c r="B8963" t="str">
        <f>T("   ZZZ_Monde")</f>
        <v xml:space="preserve">   ZZZ_Monde</v>
      </c>
      <c r="C8963">
        <v>26623466</v>
      </c>
      <c r="D8963">
        <v>97410</v>
      </c>
    </row>
    <row r="8964" spans="1:4" x14ac:dyDescent="0.25">
      <c r="A8964" t="str">
        <f>T("   CN")</f>
        <v xml:space="preserve">   CN</v>
      </c>
      <c r="B8964" t="str">
        <f>T("   Chine")</f>
        <v xml:space="preserve">   Chine</v>
      </c>
      <c r="C8964">
        <v>3088966</v>
      </c>
      <c r="D8964">
        <v>2200</v>
      </c>
    </row>
    <row r="8965" spans="1:4" x14ac:dyDescent="0.25">
      <c r="A8965" t="str">
        <f>T("   FR")</f>
        <v xml:space="preserve">   FR</v>
      </c>
      <c r="B8965" t="str">
        <f>T("   France")</f>
        <v xml:space="preserve">   France</v>
      </c>
      <c r="C8965">
        <v>150000</v>
      </c>
      <c r="D8965">
        <v>200</v>
      </c>
    </row>
    <row r="8966" spans="1:4" x14ac:dyDescent="0.25">
      <c r="A8966" t="str">
        <f>T("   NG")</f>
        <v xml:space="preserve">   NG</v>
      </c>
      <c r="B8966" t="str">
        <f>T("   Nigéria")</f>
        <v xml:space="preserve">   Nigéria</v>
      </c>
      <c r="C8966">
        <v>22744500</v>
      </c>
      <c r="D8966">
        <v>85510</v>
      </c>
    </row>
    <row r="8967" spans="1:4" x14ac:dyDescent="0.25">
      <c r="A8967" t="str">
        <f>T("   Z2")</f>
        <v xml:space="preserve">   Z2</v>
      </c>
      <c r="B8967" t="str">
        <f>T("   Pays non défini")</f>
        <v xml:space="preserve">   Pays non défini</v>
      </c>
      <c r="C8967">
        <v>640000</v>
      </c>
      <c r="D8967">
        <v>9500</v>
      </c>
    </row>
    <row r="8968" spans="1:4" x14ac:dyDescent="0.25">
      <c r="A8968" t="str">
        <f>T("730410")</f>
        <v>730410</v>
      </c>
      <c r="B8968" t="str">
        <f>T("Tubes et tuyaux sans soudure, en fer (à l'excl. de la fonte) ou en acier, des types utilisés pour oléoducs ou gazoducs")</f>
        <v>Tubes et tuyaux sans soudure, en fer (à l'excl. de la fonte) ou en acier, des types utilisés pour oléoducs ou gazoducs</v>
      </c>
    </row>
    <row r="8969" spans="1:4" x14ac:dyDescent="0.25">
      <c r="A8969" t="str">
        <f>T("   ZZZ_Monde")</f>
        <v xml:space="preserve">   ZZZ_Monde</v>
      </c>
      <c r="B8969" t="str">
        <f>T("   ZZZ_Monde")</f>
        <v xml:space="preserve">   ZZZ_Monde</v>
      </c>
      <c r="C8969">
        <v>5116488</v>
      </c>
      <c r="D8969">
        <v>6735</v>
      </c>
    </row>
    <row r="8970" spans="1:4" x14ac:dyDescent="0.25">
      <c r="A8970" t="str">
        <f>T("   FR")</f>
        <v xml:space="preserve">   FR</v>
      </c>
      <c r="B8970" t="str">
        <f>T("   France")</f>
        <v xml:space="preserve">   France</v>
      </c>
      <c r="C8970">
        <v>5116488</v>
      </c>
      <c r="D8970">
        <v>6735</v>
      </c>
    </row>
    <row r="8971" spans="1:4" x14ac:dyDescent="0.25">
      <c r="A8971" t="str">
        <f>T("730429")</f>
        <v>730429</v>
      </c>
      <c r="B8971" t="str">
        <f>T("Tubes et tuyaux de cuvelage ou de production sans soudure, en fer (à l'excl. de la fonte) ou en acier, des types utilisés pour l'extraction du pétrole ou du gaz")</f>
        <v>Tubes et tuyaux de cuvelage ou de production sans soudure, en fer (à l'excl. de la fonte) ou en acier, des types utilisés pour l'extraction du pétrole ou du gaz</v>
      </c>
    </row>
    <row r="8972" spans="1:4" x14ac:dyDescent="0.25">
      <c r="A8972" t="str">
        <f>T("   ZZZ_Monde")</f>
        <v xml:space="preserve">   ZZZ_Monde</v>
      </c>
      <c r="B8972" t="str">
        <f>T("   ZZZ_Monde")</f>
        <v xml:space="preserve">   ZZZ_Monde</v>
      </c>
      <c r="C8972">
        <v>3000000</v>
      </c>
      <c r="D8972">
        <v>21750</v>
      </c>
    </row>
    <row r="8973" spans="1:4" x14ac:dyDescent="0.25">
      <c r="A8973" t="str">
        <f>T("   TG")</f>
        <v xml:space="preserve">   TG</v>
      </c>
      <c r="B8973" t="str">
        <f>T("   Togo")</f>
        <v xml:space="preserve">   Togo</v>
      </c>
      <c r="C8973">
        <v>3000000</v>
      </c>
      <c r="D8973">
        <v>21750</v>
      </c>
    </row>
    <row r="8974" spans="1:4" x14ac:dyDescent="0.25">
      <c r="A8974" t="str">
        <f>T("730431")</f>
        <v>730431</v>
      </c>
      <c r="B8974" t="str">
        <f>T("TUBES, TUYAUX ET PROFILÉS CREUX SANS SOUDURE, DE SECTION CIRCULAIRE, EN FER (À L'EXCL. DE LA FONTE) OU ACIERS NON-ALLIÉS, ÉTIRÉS OU LAMINÉS À FROID (SAUF TUBES ET TUYAUX DES TYPES UTILISÉS POUR LES OLÉODUCS OU GAZODUCS OU POUR L'EXTRACTION DU PÉTROLE OU D")</f>
        <v>TUBES, TUYAUX ET PROFILÉS CREUX SANS SOUDURE, DE SECTION CIRCULAIRE, EN FER (À L'EXCL. DE LA FONTE) OU ACIERS NON-ALLIÉS, ÉTIRÉS OU LAMINÉS À FROID (SAUF TUBES ET TUYAUX DES TYPES UTILISÉS POUR LES OLÉODUCS OU GAZODUCS OU POUR L'EXTRACTION DU PÉTROLE OU D</v>
      </c>
    </row>
    <row r="8975" spans="1:4" x14ac:dyDescent="0.25">
      <c r="A8975" t="str">
        <f>T("   ZZZ_Monde")</f>
        <v xml:space="preserve">   ZZZ_Monde</v>
      </c>
      <c r="B8975" t="str">
        <f>T("   ZZZ_Monde")</f>
        <v xml:space="preserve">   ZZZ_Monde</v>
      </c>
      <c r="C8975">
        <v>100000</v>
      </c>
      <c r="D8975">
        <v>200</v>
      </c>
    </row>
    <row r="8976" spans="1:4" x14ac:dyDescent="0.25">
      <c r="A8976" t="str">
        <f>T("   NG")</f>
        <v xml:space="preserve">   NG</v>
      </c>
      <c r="B8976" t="str">
        <f>T("   Nigéria")</f>
        <v xml:space="preserve">   Nigéria</v>
      </c>
      <c r="C8976">
        <v>100000</v>
      </c>
      <c r="D8976">
        <v>200</v>
      </c>
    </row>
    <row r="8977" spans="1:4" x14ac:dyDescent="0.25">
      <c r="A8977" t="str">
        <f>T("730439")</f>
        <v>730439</v>
      </c>
      <c r="B8977" t="str">
        <f>T("TUBES, TUYAUX ET PROFILÉS CREUX, SANS SOUDURE, DE SECTION CIRCULAIRE, EN FER (À L'EXCL. DE LA FONTE) OU EN ACIERS NON-ALLIÉS, NON-ÉTIRÉS OU LAMINÉS À FROID (À L'EXCL. DES TUBES, TUYAUX ET PROFILÉS CREUX DES TYPES UTILISÉS POUR LES OLÉODUCS ET LES GAZODUCS")</f>
        <v>TUBES, TUYAUX ET PROFILÉS CREUX, SANS SOUDURE, DE SECTION CIRCULAIRE, EN FER (À L'EXCL. DE LA FONTE) OU EN ACIERS NON-ALLIÉS, NON-ÉTIRÉS OU LAMINÉS À FROID (À L'EXCL. DES TUBES, TUYAUX ET PROFILÉS CREUX DES TYPES UTILISÉS POUR LES OLÉODUCS ET LES GAZODUCS</v>
      </c>
    </row>
    <row r="8978" spans="1:4" x14ac:dyDescent="0.25">
      <c r="A8978" t="str">
        <f>T("   ZZZ_Monde")</f>
        <v xml:space="preserve">   ZZZ_Monde</v>
      </c>
      <c r="B8978" t="str">
        <f>T("   ZZZ_Monde")</f>
        <v xml:space="preserve">   ZZZ_Monde</v>
      </c>
      <c r="C8978">
        <v>15462118</v>
      </c>
      <c r="D8978">
        <v>52664</v>
      </c>
    </row>
    <row r="8979" spans="1:4" x14ac:dyDescent="0.25">
      <c r="A8979" t="str">
        <f>T("   AT")</f>
        <v xml:space="preserve">   AT</v>
      </c>
      <c r="B8979" t="str">
        <f>T("   Autriche")</f>
        <v xml:space="preserve">   Autriche</v>
      </c>
      <c r="C8979">
        <v>4324160</v>
      </c>
      <c r="D8979">
        <v>419</v>
      </c>
    </row>
    <row r="8980" spans="1:4" x14ac:dyDescent="0.25">
      <c r="A8980" t="str">
        <f>T("   FR")</f>
        <v xml:space="preserve">   FR</v>
      </c>
      <c r="B8980" t="str">
        <f>T("   France")</f>
        <v xml:space="preserve">   France</v>
      </c>
      <c r="C8980">
        <v>11137958</v>
      </c>
      <c r="D8980">
        <v>52245</v>
      </c>
    </row>
    <row r="8981" spans="1:4" x14ac:dyDescent="0.25">
      <c r="A8981" t="str">
        <f>T("730449")</f>
        <v>730449</v>
      </c>
      <c r="B8981" t="str">
        <f>T("TUBES, TUYAUX ET PROFILÉS CREUX, SANS SOUDURE, DE SECTION CIRCULAIRE, EN ACIERS INOXYDABLES, NON-ÉTIRÉS OU LAMINÉS À FROID (AUTRES QUE LES TUBES DES TYPES UTILISÉS POUR LES OLÉODUCS OU LES GAZODUCS OU POUR L'EXTRACTION DU PÉTROLE OU DU GAZ)")</f>
        <v>TUBES, TUYAUX ET PROFILÉS CREUX, SANS SOUDURE, DE SECTION CIRCULAIRE, EN ACIERS INOXYDABLES, NON-ÉTIRÉS OU LAMINÉS À FROID (AUTRES QUE LES TUBES DES TYPES UTILISÉS POUR LES OLÉODUCS OU LES GAZODUCS OU POUR L'EXTRACTION DU PÉTROLE OU DU GAZ)</v>
      </c>
    </row>
    <row r="8982" spans="1:4" x14ac:dyDescent="0.25">
      <c r="A8982" t="str">
        <f>T("   ZZZ_Monde")</f>
        <v xml:space="preserve">   ZZZ_Monde</v>
      </c>
      <c r="B8982" t="str">
        <f>T("   ZZZ_Monde")</f>
        <v xml:space="preserve">   ZZZ_Monde</v>
      </c>
      <c r="C8982">
        <v>31464407</v>
      </c>
      <c r="D8982">
        <v>108547</v>
      </c>
    </row>
    <row r="8983" spans="1:4" x14ac:dyDescent="0.25">
      <c r="A8983" t="str">
        <f>T("   CN")</f>
        <v xml:space="preserve">   CN</v>
      </c>
      <c r="B8983" t="str">
        <f>T("   Chine")</f>
        <v xml:space="preserve">   Chine</v>
      </c>
      <c r="C8983">
        <v>31464407</v>
      </c>
      <c r="D8983">
        <v>108547</v>
      </c>
    </row>
    <row r="8984" spans="1:4" x14ac:dyDescent="0.25">
      <c r="A8984" t="str">
        <f>T("730490")</f>
        <v>730490</v>
      </c>
      <c r="B8984" t="str">
        <f>T("Tubes, tuyaux et profilés creux, sans soudure, de section autre que circulaire, en fer (à l'excl. de la fonte) ou en acier")</f>
        <v>Tubes, tuyaux et profilés creux, sans soudure, de section autre que circulaire, en fer (à l'excl. de la fonte) ou en acier</v>
      </c>
    </row>
    <row r="8985" spans="1:4" x14ac:dyDescent="0.25">
      <c r="A8985" t="str">
        <f>T("   ZZZ_Monde")</f>
        <v xml:space="preserve">   ZZZ_Monde</v>
      </c>
      <c r="B8985" t="str">
        <f>T("   ZZZ_Monde")</f>
        <v xml:space="preserve">   ZZZ_Monde</v>
      </c>
      <c r="C8985">
        <v>342600163</v>
      </c>
      <c r="D8985">
        <v>902408</v>
      </c>
    </row>
    <row r="8986" spans="1:4" x14ac:dyDescent="0.25">
      <c r="A8986" t="str">
        <f>T("   AE")</f>
        <v xml:space="preserve">   AE</v>
      </c>
      <c r="B8986" t="str">
        <f>T("   Emirats Arabes Unis")</f>
        <v xml:space="preserve">   Emirats Arabes Unis</v>
      </c>
      <c r="C8986">
        <v>14381</v>
      </c>
      <c r="D8986">
        <v>22</v>
      </c>
    </row>
    <row r="8987" spans="1:4" x14ac:dyDescent="0.25">
      <c r="A8987" t="str">
        <f>T("   BE")</f>
        <v xml:space="preserve">   BE</v>
      </c>
      <c r="B8987" t="str">
        <f>T("   Belgique")</f>
        <v xml:space="preserve">   Belgique</v>
      </c>
      <c r="C8987">
        <v>255968</v>
      </c>
      <c r="D8987">
        <v>8</v>
      </c>
    </row>
    <row r="8988" spans="1:4" x14ac:dyDescent="0.25">
      <c r="A8988" t="str">
        <f>T("   CN")</f>
        <v xml:space="preserve">   CN</v>
      </c>
      <c r="B8988" t="str">
        <f>T("   Chine")</f>
        <v xml:space="preserve">   Chine</v>
      </c>
      <c r="C8988">
        <v>340041719</v>
      </c>
      <c r="D8988">
        <v>902044</v>
      </c>
    </row>
    <row r="8989" spans="1:4" x14ac:dyDescent="0.25">
      <c r="A8989" t="str">
        <f>T("   NG")</f>
        <v xml:space="preserve">   NG</v>
      </c>
      <c r="B8989" t="str">
        <f>T("   Nigéria")</f>
        <v xml:space="preserve">   Nigéria</v>
      </c>
      <c r="C8989">
        <v>38000</v>
      </c>
      <c r="D8989">
        <v>50</v>
      </c>
    </row>
    <row r="8990" spans="1:4" x14ac:dyDescent="0.25">
      <c r="A8990" t="str">
        <f>T("   NZ")</f>
        <v xml:space="preserve">   NZ</v>
      </c>
      <c r="B8990" t="str">
        <f>T("   Nouvelle-Zélande")</f>
        <v xml:space="preserve">   Nouvelle-Zélande</v>
      </c>
      <c r="C8990">
        <v>2228249</v>
      </c>
      <c r="D8990">
        <v>164</v>
      </c>
    </row>
    <row r="8991" spans="1:4" x14ac:dyDescent="0.25">
      <c r="A8991" t="str">
        <f>T("   TG")</f>
        <v xml:space="preserve">   TG</v>
      </c>
      <c r="B8991" t="str">
        <f>T("   Togo")</f>
        <v xml:space="preserve">   Togo</v>
      </c>
      <c r="C8991">
        <v>21846</v>
      </c>
      <c r="D8991">
        <v>120</v>
      </c>
    </row>
    <row r="8992" spans="1:4" x14ac:dyDescent="0.25">
      <c r="A8992" t="str">
        <f>T("730520")</f>
        <v>730520</v>
      </c>
      <c r="B8992" t="str">
        <f>T("Tubes et tuyaux de cuvelage des types utilisés pour l'extraction du pétrole ou du gaz, de section circulaire, d'un diamètre extérieur &gt; 406,4 mm, en produits laminés plats en fer ou en acier")</f>
        <v>Tubes et tuyaux de cuvelage des types utilisés pour l'extraction du pétrole ou du gaz, de section circulaire, d'un diamètre extérieur &gt; 406,4 mm, en produits laminés plats en fer ou en acier</v>
      </c>
    </row>
    <row r="8993" spans="1:4" x14ac:dyDescent="0.25">
      <c r="A8993" t="str">
        <f>T("   ZZZ_Monde")</f>
        <v xml:space="preserve">   ZZZ_Monde</v>
      </c>
      <c r="B8993" t="str">
        <f>T("   ZZZ_Monde")</f>
        <v xml:space="preserve">   ZZZ_Monde</v>
      </c>
      <c r="C8993">
        <v>537150</v>
      </c>
      <c r="D8993">
        <v>1993</v>
      </c>
    </row>
    <row r="8994" spans="1:4" x14ac:dyDescent="0.25">
      <c r="A8994" t="str">
        <f>T("   TG")</f>
        <v xml:space="preserve">   TG</v>
      </c>
      <c r="B8994" t="str">
        <f>T("   Togo")</f>
        <v xml:space="preserve">   Togo</v>
      </c>
      <c r="C8994">
        <v>537150</v>
      </c>
      <c r="D8994">
        <v>1993</v>
      </c>
    </row>
    <row r="8995" spans="1:4" x14ac:dyDescent="0.25">
      <c r="A8995" t="str">
        <f>T("730531")</f>
        <v>730531</v>
      </c>
      <c r="B8995" t="str">
        <f>T("Tubes et tuyaux, de section circulaire, d'un diamètre extérieur &gt; 406,4 mm, en fer ou en acier, soudés longitudinalement (sauf tubes et tuyaux des types utilisés pour les oléoducs ou gazoducs ou pour l'extraction de pétrole ou de gaz)")</f>
        <v>Tubes et tuyaux, de section circulaire, d'un diamètre extérieur &gt; 406,4 mm, en fer ou en acier, soudés longitudinalement (sauf tubes et tuyaux des types utilisés pour les oléoducs ou gazoducs ou pour l'extraction de pétrole ou de gaz)</v>
      </c>
    </row>
    <row r="8996" spans="1:4" x14ac:dyDescent="0.25">
      <c r="A8996" t="str">
        <f>T("   ZZZ_Monde")</f>
        <v xml:space="preserve">   ZZZ_Monde</v>
      </c>
      <c r="B8996" t="str">
        <f>T("   ZZZ_Monde")</f>
        <v xml:space="preserve">   ZZZ_Monde</v>
      </c>
      <c r="C8996">
        <v>26216515</v>
      </c>
      <c r="D8996">
        <v>81000</v>
      </c>
    </row>
    <row r="8997" spans="1:4" x14ac:dyDescent="0.25">
      <c r="A8997" t="str">
        <f>T("   CN")</f>
        <v xml:space="preserve">   CN</v>
      </c>
      <c r="B8997" t="str">
        <f>T("   Chine")</f>
        <v xml:space="preserve">   Chine</v>
      </c>
      <c r="C8997">
        <v>17477677</v>
      </c>
      <c r="D8997">
        <v>54000</v>
      </c>
    </row>
    <row r="8998" spans="1:4" x14ac:dyDescent="0.25">
      <c r="A8998" t="str">
        <f>T("   DE")</f>
        <v xml:space="preserve">   DE</v>
      </c>
      <c r="B8998" t="str">
        <f>T("   Allemagne")</f>
        <v xml:space="preserve">   Allemagne</v>
      </c>
      <c r="C8998">
        <v>8738838</v>
      </c>
      <c r="D8998">
        <v>27000</v>
      </c>
    </row>
    <row r="8999" spans="1:4" x14ac:dyDescent="0.25">
      <c r="A8999" t="str">
        <f>T("730630")</f>
        <v>730630</v>
      </c>
      <c r="B8999" t="str">
        <f>T("TUBES, TUYAUX ET PROFILÉS CREUX SOUDÉS, DE SECTION CIRCULAIRE, EN FER OU ACIERS NON-ALLIÉS (SAUF TUBES DE SECTIONS INTÉRIEURE ET EXTÉRIEURE CIRCULAIRES ET DE DIAMÈTRE EXTÉRIEUR &gt; 406,4 MM ET SAUF TUBES DES TYPES UTILISÉS POUR LES OLÉODUCS OU LES GAZODUCS")</f>
        <v>TUBES, TUYAUX ET PROFILÉS CREUX SOUDÉS, DE SECTION CIRCULAIRE, EN FER OU ACIERS NON-ALLIÉS (SAUF TUBES DE SECTIONS INTÉRIEURE ET EXTÉRIEURE CIRCULAIRES ET DE DIAMÈTRE EXTÉRIEUR &gt; 406,4 MM ET SAUF TUBES DES TYPES UTILISÉS POUR LES OLÉODUCS OU LES GAZODUCS</v>
      </c>
    </row>
    <row r="9000" spans="1:4" x14ac:dyDescent="0.25">
      <c r="A9000" t="str">
        <f>T("   ZZZ_Monde")</f>
        <v xml:space="preserve">   ZZZ_Monde</v>
      </c>
      <c r="B9000" t="str">
        <f>T("   ZZZ_Monde")</f>
        <v xml:space="preserve">   ZZZ_Monde</v>
      </c>
      <c r="C9000">
        <v>101416949</v>
      </c>
      <c r="D9000">
        <v>318715</v>
      </c>
    </row>
    <row r="9001" spans="1:4" x14ac:dyDescent="0.25">
      <c r="A9001" t="str">
        <f>T("   BE")</f>
        <v xml:space="preserve">   BE</v>
      </c>
      <c r="B9001" t="str">
        <f>T("   Belgique")</f>
        <v xml:space="preserve">   Belgique</v>
      </c>
      <c r="C9001">
        <v>14299969</v>
      </c>
      <c r="D9001">
        <v>54000</v>
      </c>
    </row>
    <row r="9002" spans="1:4" x14ac:dyDescent="0.25">
      <c r="A9002" t="str">
        <f>T("   NG")</f>
        <v xml:space="preserve">   NG</v>
      </c>
      <c r="B9002" t="str">
        <f>T("   Nigéria")</f>
        <v xml:space="preserve">   Nigéria</v>
      </c>
      <c r="C9002">
        <v>2597000</v>
      </c>
      <c r="D9002">
        <v>2805</v>
      </c>
    </row>
    <row r="9003" spans="1:4" x14ac:dyDescent="0.25">
      <c r="A9003" t="str">
        <f>T("   SE")</f>
        <v xml:space="preserve">   SE</v>
      </c>
      <c r="B9003" t="str">
        <f>T("   Suède")</f>
        <v xml:space="preserve">   Suède</v>
      </c>
      <c r="C9003">
        <v>26661447</v>
      </c>
      <c r="D9003">
        <v>104410</v>
      </c>
    </row>
    <row r="9004" spans="1:4" x14ac:dyDescent="0.25">
      <c r="A9004" t="str">
        <f>T("   TG")</f>
        <v xml:space="preserve">   TG</v>
      </c>
      <c r="B9004" t="str">
        <f>T("   Togo")</f>
        <v xml:space="preserve">   Togo</v>
      </c>
      <c r="C9004">
        <v>57858533</v>
      </c>
      <c r="D9004">
        <v>157500</v>
      </c>
    </row>
    <row r="9005" spans="1:4" x14ac:dyDescent="0.25">
      <c r="A9005" t="str">
        <f>T("730640")</f>
        <v>730640</v>
      </c>
      <c r="B9005" t="str">
        <f>T("Tubes, tuyaux et profilés creux soudés, de section circulaire, en aciers inoxydables (autres que tubes à sections intérieure et extérieure circulaires et à diamètre extérieur &gt; 406,4 mm et sauf tubes des types utilisés pour les oléoducs et les gazoducs ou")</f>
        <v>Tubes, tuyaux et profilés creux soudés, de section circulaire, en aciers inoxydables (autres que tubes à sections intérieure et extérieure circulaires et à diamètre extérieur &gt; 406,4 mm et sauf tubes des types utilisés pour les oléoducs et les gazoducs ou</v>
      </c>
    </row>
    <row r="9006" spans="1:4" x14ac:dyDescent="0.25">
      <c r="A9006" t="str">
        <f>T("   ZZZ_Monde")</f>
        <v xml:space="preserve">   ZZZ_Monde</v>
      </c>
      <c r="B9006" t="str">
        <f>T("   ZZZ_Monde")</f>
        <v xml:space="preserve">   ZZZ_Monde</v>
      </c>
      <c r="C9006">
        <v>41378545</v>
      </c>
      <c r="D9006">
        <v>102223</v>
      </c>
    </row>
    <row r="9007" spans="1:4" x14ac:dyDescent="0.25">
      <c r="A9007" t="str">
        <f>T("   BE")</f>
        <v xml:space="preserve">   BE</v>
      </c>
      <c r="B9007" t="str">
        <f>T("   Belgique")</f>
        <v xml:space="preserve">   Belgique</v>
      </c>
      <c r="C9007">
        <v>178815</v>
      </c>
      <c r="D9007">
        <v>119</v>
      </c>
    </row>
    <row r="9008" spans="1:4" x14ac:dyDescent="0.25">
      <c r="A9008" t="str">
        <f>T("   CN")</f>
        <v xml:space="preserve">   CN</v>
      </c>
      <c r="B9008" t="str">
        <f>T("   Chine")</f>
        <v xml:space="preserve">   Chine</v>
      </c>
      <c r="C9008">
        <v>12264170</v>
      </c>
      <c r="D9008">
        <v>77755</v>
      </c>
    </row>
    <row r="9009" spans="1:4" x14ac:dyDescent="0.25">
      <c r="A9009" t="str">
        <f>T("   FR")</f>
        <v xml:space="preserve">   FR</v>
      </c>
      <c r="B9009" t="str">
        <f>T("   France")</f>
        <v xml:space="preserve">   France</v>
      </c>
      <c r="C9009">
        <v>20384220</v>
      </c>
      <c r="D9009">
        <v>6189</v>
      </c>
    </row>
    <row r="9010" spans="1:4" x14ac:dyDescent="0.25">
      <c r="A9010" t="str">
        <f>T("   TG")</f>
        <v xml:space="preserve">   TG</v>
      </c>
      <c r="B9010" t="str">
        <f>T("   Togo")</f>
        <v xml:space="preserve">   Togo</v>
      </c>
      <c r="C9010">
        <v>8551340</v>
      </c>
      <c r="D9010">
        <v>18160</v>
      </c>
    </row>
    <row r="9011" spans="1:4" x14ac:dyDescent="0.25">
      <c r="A9011" t="str">
        <f>T("730650")</f>
        <v>730650</v>
      </c>
      <c r="B9011" t="str">
        <f>T("Tubes, tuyaux et profilés creux soudés, de section circulaire, en aciers alliés autres qu'inoxydables (autres que tubes de sections intérieure et extérieure circulaires et d'un diamètre extérieur &gt; 406,4 mm et sauf tubes des types utilisés pour les oléodu")</f>
        <v>Tubes, tuyaux et profilés creux soudés, de section circulaire, en aciers alliés autres qu'inoxydables (autres que tubes de sections intérieure et extérieure circulaires et d'un diamètre extérieur &gt; 406,4 mm et sauf tubes des types utilisés pour les oléodu</v>
      </c>
    </row>
    <row r="9012" spans="1:4" x14ac:dyDescent="0.25">
      <c r="A9012" t="str">
        <f>T("   ZZZ_Monde")</f>
        <v xml:space="preserve">   ZZZ_Monde</v>
      </c>
      <c r="B9012" t="str">
        <f>T("   ZZZ_Monde")</f>
        <v xml:space="preserve">   ZZZ_Monde</v>
      </c>
      <c r="C9012">
        <v>96587457</v>
      </c>
      <c r="D9012">
        <v>388244</v>
      </c>
    </row>
    <row r="9013" spans="1:4" x14ac:dyDescent="0.25">
      <c r="A9013" t="str">
        <f>T("   CN")</f>
        <v xml:space="preserve">   CN</v>
      </c>
      <c r="B9013" t="str">
        <f>T("   Chine")</f>
        <v xml:space="preserve">   Chine</v>
      </c>
      <c r="C9013">
        <v>96587457</v>
      </c>
      <c r="D9013">
        <v>388244</v>
      </c>
    </row>
    <row r="9014" spans="1:4" x14ac:dyDescent="0.25">
      <c r="A9014" t="str">
        <f>T("730660")</f>
        <v>730660</v>
      </c>
      <c r="B9014" t="str">
        <f>T("Tubes, tuyaux et profilés creux soudés, de section autre que circulaire, en fer ou en acier (autres que tubes à sections intérieure et extérieure circulaires et d'un diamètre extérieur &gt; 406,4 mm et sauf tubes des types utilisés pour les oléoducs et les g")</f>
        <v>Tubes, tuyaux et profilés creux soudés, de section autre que circulaire, en fer ou en acier (autres que tubes à sections intérieure et extérieure circulaires et d'un diamètre extérieur &gt; 406,4 mm et sauf tubes des types utilisés pour les oléoducs et les g</v>
      </c>
    </row>
    <row r="9015" spans="1:4" x14ac:dyDescent="0.25">
      <c r="A9015" t="str">
        <f>T("   ZZZ_Monde")</f>
        <v xml:space="preserve">   ZZZ_Monde</v>
      </c>
      <c r="B9015" t="str">
        <f>T("   ZZZ_Monde")</f>
        <v xml:space="preserve">   ZZZ_Monde</v>
      </c>
      <c r="C9015">
        <v>474193396</v>
      </c>
      <c r="D9015">
        <v>1276133</v>
      </c>
    </row>
    <row r="9016" spans="1:4" x14ac:dyDescent="0.25">
      <c r="A9016" t="str">
        <f>T("   CI")</f>
        <v xml:space="preserve">   CI</v>
      </c>
      <c r="B9016" t="str">
        <f>T("   Côte d'Ivoire")</f>
        <v xml:space="preserve">   Côte d'Ivoire</v>
      </c>
      <c r="C9016">
        <v>103317610</v>
      </c>
      <c r="D9016">
        <v>196869</v>
      </c>
    </row>
    <row r="9017" spans="1:4" x14ac:dyDescent="0.25">
      <c r="A9017" t="str">
        <f>T("   CN")</f>
        <v xml:space="preserve">   CN</v>
      </c>
      <c r="B9017" t="str">
        <f>T("   Chine")</f>
        <v xml:space="preserve">   Chine</v>
      </c>
      <c r="C9017">
        <v>144152529</v>
      </c>
      <c r="D9017">
        <v>419284</v>
      </c>
    </row>
    <row r="9018" spans="1:4" x14ac:dyDescent="0.25">
      <c r="A9018" t="str">
        <f>T("   GH")</f>
        <v xml:space="preserve">   GH</v>
      </c>
      <c r="B9018" t="str">
        <f>T("   Ghana")</f>
        <v xml:space="preserve">   Ghana</v>
      </c>
      <c r="C9018">
        <v>98941736</v>
      </c>
      <c r="D9018">
        <v>367880</v>
      </c>
    </row>
    <row r="9019" spans="1:4" x14ac:dyDescent="0.25">
      <c r="A9019" t="str">
        <f>T("   TG")</f>
        <v xml:space="preserve">   TG</v>
      </c>
      <c r="B9019" t="str">
        <f>T("   Togo")</f>
        <v xml:space="preserve">   Togo</v>
      </c>
      <c r="C9019">
        <v>127781521</v>
      </c>
      <c r="D9019">
        <v>292100</v>
      </c>
    </row>
    <row r="9020" spans="1:4" x14ac:dyDescent="0.25">
      <c r="A9020" t="str">
        <f>T("730690")</f>
        <v>730690</v>
      </c>
      <c r="B9020" t="str">
        <f>T("Tubes, tuyaux et profilés creux [p.ex. rivés, agrafés ou à bords simplement rapprochés], en fer ou en acier (sauf tubes sans soudure ou soudés et tubes de sections intérieure et extérieure circulaires et d'un diamètre extérieur &gt; 406,4 mm)")</f>
        <v>Tubes, tuyaux et profilés creux [p.ex. rivés, agrafés ou à bords simplement rapprochés], en fer ou en acier (sauf tubes sans soudure ou soudés et tubes de sections intérieure et extérieure circulaires et d'un diamètre extérieur &gt; 406,4 mm)</v>
      </c>
    </row>
    <row r="9021" spans="1:4" x14ac:dyDescent="0.25">
      <c r="A9021" t="str">
        <f>T("   ZZZ_Monde")</f>
        <v xml:space="preserve">   ZZZ_Monde</v>
      </c>
      <c r="B9021" t="str">
        <f>T("   ZZZ_Monde")</f>
        <v xml:space="preserve">   ZZZ_Monde</v>
      </c>
      <c r="C9021">
        <v>558942554</v>
      </c>
      <c r="D9021">
        <v>1450125</v>
      </c>
    </row>
    <row r="9022" spans="1:4" x14ac:dyDescent="0.25">
      <c r="A9022" t="str">
        <f>T("   CN")</f>
        <v xml:space="preserve">   CN</v>
      </c>
      <c r="B9022" t="str">
        <f>T("   Chine")</f>
        <v xml:space="preserve">   Chine</v>
      </c>
      <c r="C9022">
        <v>385202609</v>
      </c>
      <c r="D9022">
        <v>823248</v>
      </c>
    </row>
    <row r="9023" spans="1:4" x14ac:dyDescent="0.25">
      <c r="A9023" t="str">
        <f>T("   FR")</f>
        <v xml:space="preserve">   FR</v>
      </c>
      <c r="B9023" t="str">
        <f>T("   France")</f>
        <v xml:space="preserve">   France</v>
      </c>
      <c r="C9023">
        <v>4643109</v>
      </c>
      <c r="D9023">
        <v>1377</v>
      </c>
    </row>
    <row r="9024" spans="1:4" x14ac:dyDescent="0.25">
      <c r="A9024" t="str">
        <f>T("   GH")</f>
        <v xml:space="preserve">   GH</v>
      </c>
      <c r="B9024" t="str">
        <f>T("   Ghana")</f>
        <v xml:space="preserve">   Ghana</v>
      </c>
      <c r="C9024">
        <v>137581013</v>
      </c>
      <c r="D9024">
        <v>539000</v>
      </c>
    </row>
    <row r="9025" spans="1:4" x14ac:dyDescent="0.25">
      <c r="A9025" t="str">
        <f>T("   NG")</f>
        <v xml:space="preserve">   NG</v>
      </c>
      <c r="B9025" t="str">
        <f>T("   Nigéria")</f>
        <v xml:space="preserve">   Nigéria</v>
      </c>
      <c r="C9025">
        <v>426000</v>
      </c>
      <c r="D9025">
        <v>1500</v>
      </c>
    </row>
    <row r="9026" spans="1:4" x14ac:dyDescent="0.25">
      <c r="A9026" t="str">
        <f>T("   TG")</f>
        <v xml:space="preserve">   TG</v>
      </c>
      <c r="B9026" t="str">
        <f>T("   Togo")</f>
        <v xml:space="preserve">   Togo</v>
      </c>
      <c r="C9026">
        <v>31089823</v>
      </c>
      <c r="D9026">
        <v>85000</v>
      </c>
    </row>
    <row r="9027" spans="1:4" x14ac:dyDescent="0.25">
      <c r="A9027" t="str">
        <f>T("730711")</f>
        <v>730711</v>
      </c>
      <c r="B9027" t="str">
        <f>T("ACCESSOIRES DE TUYAUTERIE MOULÉS EN FONTE NON-MALLÉABLE")</f>
        <v>ACCESSOIRES DE TUYAUTERIE MOULÉS EN FONTE NON-MALLÉABLE</v>
      </c>
    </row>
    <row r="9028" spans="1:4" x14ac:dyDescent="0.25">
      <c r="A9028" t="str">
        <f>T("   ZZZ_Monde")</f>
        <v xml:space="preserve">   ZZZ_Monde</v>
      </c>
      <c r="B9028" t="str">
        <f>T("   ZZZ_Monde")</f>
        <v xml:space="preserve">   ZZZ_Monde</v>
      </c>
      <c r="C9028">
        <v>65109735</v>
      </c>
      <c r="D9028">
        <v>83476</v>
      </c>
    </row>
    <row r="9029" spans="1:4" x14ac:dyDescent="0.25">
      <c r="A9029" t="str">
        <f>T("   CN")</f>
        <v xml:space="preserve">   CN</v>
      </c>
      <c r="B9029" t="str">
        <f>T("   Chine")</f>
        <v xml:space="preserve">   Chine</v>
      </c>
      <c r="C9029">
        <v>38712791</v>
      </c>
      <c r="D9029">
        <v>19550</v>
      </c>
    </row>
    <row r="9030" spans="1:4" x14ac:dyDescent="0.25">
      <c r="A9030" t="str">
        <f>T("   FR")</f>
        <v xml:space="preserve">   FR</v>
      </c>
      <c r="B9030" t="str">
        <f>T("   France")</f>
        <v xml:space="preserve">   France</v>
      </c>
      <c r="C9030">
        <v>10524944</v>
      </c>
      <c r="D9030">
        <v>1926</v>
      </c>
    </row>
    <row r="9031" spans="1:4" x14ac:dyDescent="0.25">
      <c r="A9031" t="str">
        <f>T("   GH")</f>
        <v xml:space="preserve">   GH</v>
      </c>
      <c r="B9031" t="str">
        <f>T("   Ghana")</f>
        <v xml:space="preserve">   Ghana</v>
      </c>
      <c r="C9031">
        <v>15872000</v>
      </c>
      <c r="D9031">
        <v>62000</v>
      </c>
    </row>
    <row r="9032" spans="1:4" x14ac:dyDescent="0.25">
      <c r="A9032" t="str">
        <f>T("730719")</f>
        <v>730719</v>
      </c>
      <c r="B9032" t="str">
        <f>T("Accessoires de tuyauterie moulés en fonte, fer ou acier (sauf fonte non-malléable)")</f>
        <v>Accessoires de tuyauterie moulés en fonte, fer ou acier (sauf fonte non-malléable)</v>
      </c>
    </row>
    <row r="9033" spans="1:4" x14ac:dyDescent="0.25">
      <c r="A9033" t="str">
        <f>T("   ZZZ_Monde")</f>
        <v xml:space="preserve">   ZZZ_Monde</v>
      </c>
      <c r="B9033" t="str">
        <f>T("   ZZZ_Monde")</f>
        <v xml:space="preserve">   ZZZ_Monde</v>
      </c>
      <c r="C9033">
        <v>109027961</v>
      </c>
      <c r="D9033">
        <v>26225.1</v>
      </c>
    </row>
    <row r="9034" spans="1:4" x14ac:dyDescent="0.25">
      <c r="A9034" t="str">
        <f>T("   BE")</f>
        <v xml:space="preserve">   BE</v>
      </c>
      <c r="B9034" t="str">
        <f>T("   Belgique")</f>
        <v xml:space="preserve">   Belgique</v>
      </c>
      <c r="C9034">
        <v>951791</v>
      </c>
      <c r="D9034">
        <v>5</v>
      </c>
    </row>
    <row r="9035" spans="1:4" x14ac:dyDescent="0.25">
      <c r="A9035" t="str">
        <f>T("   CN")</f>
        <v xml:space="preserve">   CN</v>
      </c>
      <c r="B9035" t="str">
        <f>T("   Chine")</f>
        <v xml:space="preserve">   Chine</v>
      </c>
      <c r="C9035">
        <v>85048815</v>
      </c>
      <c r="D9035">
        <v>22591</v>
      </c>
    </row>
    <row r="9036" spans="1:4" x14ac:dyDescent="0.25">
      <c r="A9036" t="str">
        <f>T("   FR")</f>
        <v xml:space="preserve">   FR</v>
      </c>
      <c r="B9036" t="str">
        <f>T("   France")</f>
        <v xml:space="preserve">   France</v>
      </c>
      <c r="C9036">
        <v>22200189</v>
      </c>
      <c r="D9036">
        <v>3559.1</v>
      </c>
    </row>
    <row r="9037" spans="1:4" x14ac:dyDescent="0.25">
      <c r="A9037" t="str">
        <f>T("   US")</f>
        <v xml:space="preserve">   US</v>
      </c>
      <c r="B9037" t="str">
        <f>T("   Etats-Unis")</f>
        <v xml:space="preserve">   Etats-Unis</v>
      </c>
      <c r="C9037">
        <v>827166</v>
      </c>
      <c r="D9037">
        <v>70</v>
      </c>
    </row>
    <row r="9038" spans="1:4" x14ac:dyDescent="0.25">
      <c r="A9038" t="str">
        <f>T("730721")</f>
        <v>730721</v>
      </c>
      <c r="B9038" t="str">
        <f>T("Brides en aciers inoxydables (non moulés)")</f>
        <v>Brides en aciers inoxydables (non moulés)</v>
      </c>
    </row>
    <row r="9039" spans="1:4" x14ac:dyDescent="0.25">
      <c r="A9039" t="str">
        <f>T("   ZZZ_Monde")</f>
        <v xml:space="preserve">   ZZZ_Monde</v>
      </c>
      <c r="B9039" t="str">
        <f>T("   ZZZ_Monde")</f>
        <v xml:space="preserve">   ZZZ_Monde</v>
      </c>
      <c r="C9039">
        <v>5615315</v>
      </c>
      <c r="D9039">
        <v>2644</v>
      </c>
    </row>
    <row r="9040" spans="1:4" x14ac:dyDescent="0.25">
      <c r="A9040" t="str">
        <f>T("   DE")</f>
        <v xml:space="preserve">   DE</v>
      </c>
      <c r="B9040" t="str">
        <f>T("   Allemagne")</f>
        <v xml:space="preserve">   Allemagne</v>
      </c>
      <c r="C9040">
        <v>59334</v>
      </c>
      <c r="D9040">
        <v>3</v>
      </c>
    </row>
    <row r="9041" spans="1:4" x14ac:dyDescent="0.25">
      <c r="A9041" t="str">
        <f>T("   FR")</f>
        <v xml:space="preserve">   FR</v>
      </c>
      <c r="B9041" t="str">
        <f>T("   France")</f>
        <v xml:space="preserve">   France</v>
      </c>
      <c r="C9041">
        <v>5555981</v>
      </c>
      <c r="D9041">
        <v>2641</v>
      </c>
    </row>
    <row r="9042" spans="1:4" x14ac:dyDescent="0.25">
      <c r="A9042" t="str">
        <f>T("730723")</f>
        <v>730723</v>
      </c>
      <c r="B9042" t="str">
        <f>T("ACCESSOIRES DE TUYAUTERIE EN ACIERS INOXYDABLES, À SOUDER BOUT À BOUT (NON-MOULÉS)")</f>
        <v>ACCESSOIRES DE TUYAUTERIE EN ACIERS INOXYDABLES, À SOUDER BOUT À BOUT (NON-MOULÉS)</v>
      </c>
    </row>
    <row r="9043" spans="1:4" x14ac:dyDescent="0.25">
      <c r="A9043" t="str">
        <f>T("   ZZZ_Monde")</f>
        <v xml:space="preserve">   ZZZ_Monde</v>
      </c>
      <c r="B9043" t="str">
        <f>T("   ZZZ_Monde")</f>
        <v xml:space="preserve">   ZZZ_Monde</v>
      </c>
      <c r="C9043">
        <v>12202824</v>
      </c>
      <c r="D9043">
        <v>14</v>
      </c>
    </row>
    <row r="9044" spans="1:4" x14ac:dyDescent="0.25">
      <c r="A9044" t="str">
        <f>T("   BE")</f>
        <v xml:space="preserve">   BE</v>
      </c>
      <c r="B9044" t="str">
        <f>T("   Belgique")</f>
        <v xml:space="preserve">   Belgique</v>
      </c>
      <c r="C9044">
        <v>12202824</v>
      </c>
      <c r="D9044">
        <v>14</v>
      </c>
    </row>
    <row r="9045" spans="1:4" x14ac:dyDescent="0.25">
      <c r="A9045" t="str">
        <f>T("730729")</f>
        <v>730729</v>
      </c>
      <c r="B9045" t="str">
        <f>T("ACCESSOIRES DE TUYAUTERIE, EN ACIERS INOXYDABLES (NON-MOULÉS ET SAUF BRIDES; COUDES, COURBES ET MANCHONS FILETÉS; ACCESSOIRES À SOUDER BOUT À BOUT)")</f>
        <v>ACCESSOIRES DE TUYAUTERIE, EN ACIERS INOXYDABLES (NON-MOULÉS ET SAUF BRIDES; COUDES, COURBES ET MANCHONS FILETÉS; ACCESSOIRES À SOUDER BOUT À BOUT)</v>
      </c>
    </row>
    <row r="9046" spans="1:4" x14ac:dyDescent="0.25">
      <c r="A9046" t="str">
        <f>T("   ZZZ_Monde")</f>
        <v xml:space="preserve">   ZZZ_Monde</v>
      </c>
      <c r="B9046" t="str">
        <f>T("   ZZZ_Monde")</f>
        <v xml:space="preserve">   ZZZ_Monde</v>
      </c>
      <c r="C9046">
        <v>3647821</v>
      </c>
      <c r="D9046">
        <v>91</v>
      </c>
    </row>
    <row r="9047" spans="1:4" x14ac:dyDescent="0.25">
      <c r="A9047" t="str">
        <f>T("   AT")</f>
        <v xml:space="preserve">   AT</v>
      </c>
      <c r="B9047" t="str">
        <f>T("   Autriche")</f>
        <v xml:space="preserve">   Autriche</v>
      </c>
      <c r="C9047">
        <v>300430</v>
      </c>
      <c r="D9047">
        <v>11</v>
      </c>
    </row>
    <row r="9048" spans="1:4" x14ac:dyDescent="0.25">
      <c r="A9048" t="str">
        <f>T("   DE")</f>
        <v xml:space="preserve">   DE</v>
      </c>
      <c r="B9048" t="str">
        <f>T("   Allemagne")</f>
        <v xml:space="preserve">   Allemagne</v>
      </c>
      <c r="C9048">
        <v>640263</v>
      </c>
      <c r="D9048">
        <v>6</v>
      </c>
    </row>
    <row r="9049" spans="1:4" x14ac:dyDescent="0.25">
      <c r="A9049" t="str">
        <f>T("   FR")</f>
        <v xml:space="preserve">   FR</v>
      </c>
      <c r="B9049" t="str">
        <f>T("   France")</f>
        <v xml:space="preserve">   France</v>
      </c>
      <c r="C9049">
        <v>2707128</v>
      </c>
      <c r="D9049">
        <v>74</v>
      </c>
    </row>
    <row r="9050" spans="1:4" x14ac:dyDescent="0.25">
      <c r="A9050" t="str">
        <f>T("730791")</f>
        <v>730791</v>
      </c>
      <c r="B9050" t="str">
        <f>T("Brides en fer ou aciers (autres que moulés ou en acier inoxydable)")</f>
        <v>Brides en fer ou aciers (autres que moulés ou en acier inoxydable)</v>
      </c>
    </row>
    <row r="9051" spans="1:4" x14ac:dyDescent="0.25">
      <c r="A9051" t="str">
        <f>T("   ZZZ_Monde")</f>
        <v xml:space="preserve">   ZZZ_Monde</v>
      </c>
      <c r="B9051" t="str">
        <f>T("   ZZZ_Monde")</f>
        <v xml:space="preserve">   ZZZ_Monde</v>
      </c>
      <c r="C9051">
        <v>4394276</v>
      </c>
      <c r="D9051">
        <v>821</v>
      </c>
    </row>
    <row r="9052" spans="1:4" x14ac:dyDescent="0.25">
      <c r="A9052" t="str">
        <f>T("   DE")</f>
        <v xml:space="preserve">   DE</v>
      </c>
      <c r="B9052" t="str">
        <f>T("   Allemagne")</f>
        <v xml:space="preserve">   Allemagne</v>
      </c>
      <c r="C9052">
        <v>102986</v>
      </c>
      <c r="D9052">
        <v>1</v>
      </c>
    </row>
    <row r="9053" spans="1:4" x14ac:dyDescent="0.25">
      <c r="A9053" t="str">
        <f>T("   DK")</f>
        <v xml:space="preserve">   DK</v>
      </c>
      <c r="B9053" t="str">
        <f>T("   Danemark")</f>
        <v xml:space="preserve">   Danemark</v>
      </c>
      <c r="C9053">
        <v>1256819</v>
      </c>
      <c r="D9053">
        <v>25</v>
      </c>
    </row>
    <row r="9054" spans="1:4" x14ac:dyDescent="0.25">
      <c r="A9054" t="str">
        <f>T("   FR")</f>
        <v xml:space="preserve">   FR</v>
      </c>
      <c r="B9054" t="str">
        <f>T("   France")</f>
        <v xml:space="preserve">   France</v>
      </c>
      <c r="C9054">
        <v>2491336</v>
      </c>
      <c r="D9054">
        <v>449</v>
      </c>
    </row>
    <row r="9055" spans="1:4" x14ac:dyDescent="0.25">
      <c r="A9055" t="str">
        <f>T("   MA")</f>
        <v xml:space="preserve">   MA</v>
      </c>
      <c r="B9055" t="str">
        <f>T("   Maroc")</f>
        <v xml:space="preserve">   Maroc</v>
      </c>
      <c r="C9055">
        <v>543135</v>
      </c>
      <c r="D9055">
        <v>346</v>
      </c>
    </row>
    <row r="9056" spans="1:4" x14ac:dyDescent="0.25">
      <c r="A9056" t="str">
        <f>T("730792")</f>
        <v>730792</v>
      </c>
      <c r="B9056" t="str">
        <f>T("Coudes, courbes et manchons en fer ou en aciers, filetés (autres que moulés ou en aciers inoxydables)")</f>
        <v>Coudes, courbes et manchons en fer ou en aciers, filetés (autres que moulés ou en aciers inoxydables)</v>
      </c>
    </row>
    <row r="9057" spans="1:4" x14ac:dyDescent="0.25">
      <c r="A9057" t="str">
        <f>T("   ZZZ_Monde")</f>
        <v xml:space="preserve">   ZZZ_Monde</v>
      </c>
      <c r="B9057" t="str">
        <f>T("   ZZZ_Monde")</f>
        <v xml:space="preserve">   ZZZ_Monde</v>
      </c>
      <c r="C9057">
        <v>5097180</v>
      </c>
      <c r="D9057">
        <v>748</v>
      </c>
    </row>
    <row r="9058" spans="1:4" x14ac:dyDescent="0.25">
      <c r="A9058" t="str">
        <f>T("   FR")</f>
        <v xml:space="preserve">   FR</v>
      </c>
      <c r="B9058" t="str">
        <f>T("   France")</f>
        <v xml:space="preserve">   France</v>
      </c>
      <c r="C9058">
        <v>1278046</v>
      </c>
      <c r="D9058">
        <v>476</v>
      </c>
    </row>
    <row r="9059" spans="1:4" x14ac:dyDescent="0.25">
      <c r="A9059" t="str">
        <f>T("   SR")</f>
        <v xml:space="preserve">   SR</v>
      </c>
      <c r="B9059" t="str">
        <f>T("   Suriname")</f>
        <v xml:space="preserve">   Suriname</v>
      </c>
      <c r="C9059">
        <v>28318</v>
      </c>
      <c r="D9059">
        <v>5</v>
      </c>
    </row>
    <row r="9060" spans="1:4" x14ac:dyDescent="0.25">
      <c r="A9060" t="str">
        <f>T("   US")</f>
        <v xml:space="preserve">   US</v>
      </c>
      <c r="B9060" t="str">
        <f>T("   Etats-Unis")</f>
        <v xml:space="preserve">   Etats-Unis</v>
      </c>
      <c r="C9060">
        <v>3790816</v>
      </c>
      <c r="D9060">
        <v>267</v>
      </c>
    </row>
    <row r="9061" spans="1:4" x14ac:dyDescent="0.25">
      <c r="A9061" t="str">
        <f>T("730799")</f>
        <v>730799</v>
      </c>
      <c r="B9061" t="str">
        <f>T("Accessoires de tuyauterie, en fer ou aciers (autres que moulés ou en aciers inoxydables; sauf brides; coudes, courbes et manchons, filetés et sauf accessoires à souder bout à bout)")</f>
        <v>Accessoires de tuyauterie, en fer ou aciers (autres que moulés ou en aciers inoxydables; sauf brides; coudes, courbes et manchons, filetés et sauf accessoires à souder bout à bout)</v>
      </c>
    </row>
    <row r="9062" spans="1:4" x14ac:dyDescent="0.25">
      <c r="A9062" t="str">
        <f>T("   ZZZ_Monde")</f>
        <v xml:space="preserve">   ZZZ_Monde</v>
      </c>
      <c r="B9062" t="str">
        <f>T("   ZZZ_Monde")</f>
        <v xml:space="preserve">   ZZZ_Monde</v>
      </c>
      <c r="C9062">
        <v>29563002</v>
      </c>
      <c r="D9062">
        <v>5950.5</v>
      </c>
    </row>
    <row r="9063" spans="1:4" x14ac:dyDescent="0.25">
      <c r="A9063" t="str">
        <f>T("   AT")</f>
        <v xml:space="preserve">   AT</v>
      </c>
      <c r="B9063" t="str">
        <f>T("   Autriche")</f>
        <v xml:space="preserve">   Autriche</v>
      </c>
      <c r="C9063">
        <v>3119555</v>
      </c>
      <c r="D9063">
        <v>51</v>
      </c>
    </row>
    <row r="9064" spans="1:4" x14ac:dyDescent="0.25">
      <c r="A9064" t="str">
        <f>T("   CA")</f>
        <v xml:space="preserve">   CA</v>
      </c>
      <c r="B9064" t="str">
        <f>T("   Canada")</f>
        <v xml:space="preserve">   Canada</v>
      </c>
      <c r="C9064">
        <v>18371987</v>
      </c>
      <c r="D9064">
        <v>4386</v>
      </c>
    </row>
    <row r="9065" spans="1:4" x14ac:dyDescent="0.25">
      <c r="A9065" t="str">
        <f>T("   DE")</f>
        <v xml:space="preserve">   DE</v>
      </c>
      <c r="B9065" t="str">
        <f>T("   Allemagne")</f>
        <v xml:space="preserve">   Allemagne</v>
      </c>
      <c r="C9065">
        <v>807126</v>
      </c>
      <c r="D9065">
        <v>3</v>
      </c>
    </row>
    <row r="9066" spans="1:4" x14ac:dyDescent="0.25">
      <c r="A9066" t="str">
        <f>T("   FR")</f>
        <v xml:space="preserve">   FR</v>
      </c>
      <c r="B9066" t="str">
        <f>T("   France")</f>
        <v xml:space="preserve">   France</v>
      </c>
      <c r="C9066">
        <v>5046303</v>
      </c>
      <c r="D9066">
        <v>249</v>
      </c>
    </row>
    <row r="9067" spans="1:4" x14ac:dyDescent="0.25">
      <c r="A9067" t="str">
        <f>T("   IT")</f>
        <v xml:space="preserve">   IT</v>
      </c>
      <c r="B9067" t="str">
        <f>T("   Italie")</f>
        <v xml:space="preserve">   Italie</v>
      </c>
      <c r="C9067">
        <v>73468</v>
      </c>
      <c r="D9067">
        <v>0.5</v>
      </c>
    </row>
    <row r="9068" spans="1:4" x14ac:dyDescent="0.25">
      <c r="A9068" t="str">
        <f>T("   MA")</f>
        <v xml:space="preserve">   MA</v>
      </c>
      <c r="B9068" t="str">
        <f>T("   Maroc")</f>
        <v xml:space="preserve">   Maroc</v>
      </c>
      <c r="C9068">
        <v>1100701</v>
      </c>
      <c r="D9068">
        <v>1200</v>
      </c>
    </row>
    <row r="9069" spans="1:4" x14ac:dyDescent="0.25">
      <c r="A9069" t="str">
        <f>T("   NL")</f>
        <v xml:space="preserve">   NL</v>
      </c>
      <c r="B9069" t="str">
        <f>T("   Pays-bas")</f>
        <v xml:space="preserve">   Pays-bas</v>
      </c>
      <c r="C9069">
        <v>1043862</v>
      </c>
      <c r="D9069">
        <v>61</v>
      </c>
    </row>
    <row r="9070" spans="1:4" x14ac:dyDescent="0.25">
      <c r="A9070" t="str">
        <f>T("730820")</f>
        <v>730820</v>
      </c>
      <c r="B9070" t="str">
        <f>T("Tours et pylônes, en fer ou en acier")</f>
        <v>Tours et pylônes, en fer ou en acier</v>
      </c>
    </row>
    <row r="9071" spans="1:4" x14ac:dyDescent="0.25">
      <c r="A9071" t="str">
        <f>T("   ZZZ_Monde")</f>
        <v xml:space="preserve">   ZZZ_Monde</v>
      </c>
      <c r="B9071" t="str">
        <f>T("   ZZZ_Monde")</f>
        <v xml:space="preserve">   ZZZ_Monde</v>
      </c>
      <c r="C9071">
        <v>718133870</v>
      </c>
      <c r="D9071">
        <v>722309</v>
      </c>
    </row>
    <row r="9072" spans="1:4" x14ac:dyDescent="0.25">
      <c r="A9072" t="str">
        <f>T("   CI")</f>
        <v xml:space="preserve">   CI</v>
      </c>
      <c r="B9072" t="str">
        <f>T("   Côte d'Ivoire")</f>
        <v xml:space="preserve">   Côte d'Ivoire</v>
      </c>
      <c r="C9072">
        <v>242207297</v>
      </c>
      <c r="D9072">
        <v>81378</v>
      </c>
    </row>
    <row r="9073" spans="1:4" x14ac:dyDescent="0.25">
      <c r="A9073" t="str">
        <f>T("   CN")</f>
        <v xml:space="preserve">   CN</v>
      </c>
      <c r="B9073" t="str">
        <f>T("   Chine")</f>
        <v xml:space="preserve">   Chine</v>
      </c>
      <c r="C9073">
        <v>293439536</v>
      </c>
      <c r="D9073">
        <v>391263</v>
      </c>
    </row>
    <row r="9074" spans="1:4" x14ac:dyDescent="0.25">
      <c r="A9074" t="str">
        <f>T("   FR")</f>
        <v xml:space="preserve">   FR</v>
      </c>
      <c r="B9074" t="str">
        <f>T("   France")</f>
        <v xml:space="preserve">   France</v>
      </c>
      <c r="C9074">
        <v>2123343</v>
      </c>
      <c r="D9074">
        <v>155</v>
      </c>
    </row>
    <row r="9075" spans="1:4" x14ac:dyDescent="0.25">
      <c r="A9075" t="str">
        <f>T("   NG")</f>
        <v xml:space="preserve">   NG</v>
      </c>
      <c r="B9075" t="str">
        <f>T("   Nigéria")</f>
        <v xml:space="preserve">   Nigéria</v>
      </c>
      <c r="C9075">
        <v>132374198</v>
      </c>
      <c r="D9075">
        <v>233500</v>
      </c>
    </row>
    <row r="9076" spans="1:4" x14ac:dyDescent="0.25">
      <c r="A9076" t="str">
        <f>T("   TR")</f>
        <v xml:space="preserve">   TR</v>
      </c>
      <c r="B9076" t="str">
        <f>T("   Turquie")</f>
        <v xml:space="preserve">   Turquie</v>
      </c>
      <c r="C9076">
        <v>28080930</v>
      </c>
      <c r="D9076">
        <v>6913</v>
      </c>
    </row>
    <row r="9077" spans="1:4" x14ac:dyDescent="0.25">
      <c r="A9077" t="str">
        <f>T("   ZA")</f>
        <v xml:space="preserve">   ZA</v>
      </c>
      <c r="B9077" t="str">
        <f>T("   Afrique du Sud")</f>
        <v xml:space="preserve">   Afrique du Sud</v>
      </c>
      <c r="C9077">
        <v>19908566</v>
      </c>
      <c r="D9077">
        <v>9100</v>
      </c>
    </row>
    <row r="9078" spans="1:4" x14ac:dyDescent="0.25">
      <c r="A9078" t="str">
        <f>T("730830")</f>
        <v>730830</v>
      </c>
      <c r="B9078" t="str">
        <f>T("Portes, fenêtres et leurs cadres et chambranles ainsi que leurs seuils, en fer ou en acier")</f>
        <v>Portes, fenêtres et leurs cadres et chambranles ainsi que leurs seuils, en fer ou en acier</v>
      </c>
    </row>
    <row r="9079" spans="1:4" x14ac:dyDescent="0.25">
      <c r="A9079" t="str">
        <f>T("   ZZZ_Monde")</f>
        <v xml:space="preserve">   ZZZ_Monde</v>
      </c>
      <c r="B9079" t="str">
        <f>T("   ZZZ_Monde")</f>
        <v xml:space="preserve">   ZZZ_Monde</v>
      </c>
      <c r="C9079">
        <v>25170615</v>
      </c>
      <c r="D9079">
        <v>79942</v>
      </c>
    </row>
    <row r="9080" spans="1:4" x14ac:dyDescent="0.25">
      <c r="A9080" t="str">
        <f>T("   AE")</f>
        <v xml:space="preserve">   AE</v>
      </c>
      <c r="B9080" t="str">
        <f>T("   Emirats Arabes Unis")</f>
        <v xml:space="preserve">   Emirats Arabes Unis</v>
      </c>
      <c r="C9080">
        <v>35000</v>
      </c>
      <c r="D9080">
        <v>200</v>
      </c>
    </row>
    <row r="9081" spans="1:4" x14ac:dyDescent="0.25">
      <c r="A9081" t="str">
        <f>T("   CN")</f>
        <v xml:space="preserve">   CN</v>
      </c>
      <c r="B9081" t="str">
        <f>T("   Chine")</f>
        <v xml:space="preserve">   Chine</v>
      </c>
      <c r="C9081">
        <v>19314101</v>
      </c>
      <c r="D9081">
        <v>66377</v>
      </c>
    </row>
    <row r="9082" spans="1:4" x14ac:dyDescent="0.25">
      <c r="A9082" t="str">
        <f>T("   DE")</f>
        <v xml:space="preserve">   DE</v>
      </c>
      <c r="B9082" t="str">
        <f>T("   Allemagne")</f>
        <v xml:space="preserve">   Allemagne</v>
      </c>
      <c r="C9082">
        <v>206454</v>
      </c>
      <c r="D9082">
        <v>112</v>
      </c>
    </row>
    <row r="9083" spans="1:4" x14ac:dyDescent="0.25">
      <c r="A9083" t="str">
        <f>T("   FR")</f>
        <v xml:space="preserve">   FR</v>
      </c>
      <c r="B9083" t="str">
        <f>T("   France")</f>
        <v xml:space="preserve">   France</v>
      </c>
      <c r="C9083">
        <v>1128920</v>
      </c>
      <c r="D9083">
        <v>4033</v>
      </c>
    </row>
    <row r="9084" spans="1:4" x14ac:dyDescent="0.25">
      <c r="A9084" t="str">
        <f>T("   IT")</f>
        <v xml:space="preserve">   IT</v>
      </c>
      <c r="B9084" t="str">
        <f>T("   Italie")</f>
        <v xml:space="preserve">   Italie</v>
      </c>
      <c r="C9084">
        <v>1313967</v>
      </c>
      <c r="D9084">
        <v>150</v>
      </c>
    </row>
    <row r="9085" spans="1:4" x14ac:dyDescent="0.25">
      <c r="A9085" t="str">
        <f>T("   NO")</f>
        <v xml:space="preserve">   NO</v>
      </c>
      <c r="B9085" t="str">
        <f>T("   Norvège")</f>
        <v xml:space="preserve">   Norvège</v>
      </c>
      <c r="C9085">
        <v>1672173</v>
      </c>
      <c r="D9085">
        <v>160</v>
      </c>
    </row>
    <row r="9086" spans="1:4" x14ac:dyDescent="0.25">
      <c r="A9086" t="str">
        <f>T("   TG")</f>
        <v xml:space="preserve">   TG</v>
      </c>
      <c r="B9086" t="str">
        <f>T("   Togo")</f>
        <v xml:space="preserve">   Togo</v>
      </c>
      <c r="C9086">
        <v>1500000</v>
      </c>
      <c r="D9086">
        <v>8910</v>
      </c>
    </row>
    <row r="9087" spans="1:4" x14ac:dyDescent="0.25">
      <c r="A9087" t="str">
        <f>T("730840")</f>
        <v>730840</v>
      </c>
      <c r="B9087" t="str">
        <f>T("Matériel d'échafaudage, de coffrage ou d'étayage, en fer ou en acier (autre que palplanches assemblées et coffrages pour béton, qui présentent les caractéristiques de moules)")</f>
        <v>Matériel d'échafaudage, de coffrage ou d'étayage, en fer ou en acier (autre que palplanches assemblées et coffrages pour béton, qui présentent les caractéristiques de moules)</v>
      </c>
    </row>
    <row r="9088" spans="1:4" x14ac:dyDescent="0.25">
      <c r="A9088" t="str">
        <f>T("   ZZZ_Monde")</f>
        <v xml:space="preserve">   ZZZ_Monde</v>
      </c>
      <c r="B9088" t="str">
        <f>T("   ZZZ_Monde")</f>
        <v xml:space="preserve">   ZZZ_Monde</v>
      </c>
      <c r="C9088">
        <v>299731190</v>
      </c>
      <c r="D9088">
        <v>391350</v>
      </c>
    </row>
    <row r="9089" spans="1:4" x14ac:dyDescent="0.25">
      <c r="A9089" t="str">
        <f>T("   CN")</f>
        <v xml:space="preserve">   CN</v>
      </c>
      <c r="B9089" t="str">
        <f>T("   Chine")</f>
        <v xml:space="preserve">   Chine</v>
      </c>
      <c r="C9089">
        <v>207692348</v>
      </c>
      <c r="D9089">
        <v>337194</v>
      </c>
    </row>
    <row r="9090" spans="1:4" x14ac:dyDescent="0.25">
      <c r="A9090" t="str">
        <f>T("   FR")</f>
        <v xml:space="preserve">   FR</v>
      </c>
      <c r="B9090" t="str">
        <f>T("   France")</f>
        <v xml:space="preserve">   France</v>
      </c>
      <c r="C9090">
        <v>81878239</v>
      </c>
      <c r="D9090">
        <v>31436</v>
      </c>
    </row>
    <row r="9091" spans="1:4" x14ac:dyDescent="0.25">
      <c r="A9091" t="str">
        <f>T("   TG")</f>
        <v xml:space="preserve">   TG</v>
      </c>
      <c r="B9091" t="str">
        <f>T("   Togo")</f>
        <v xml:space="preserve">   Togo</v>
      </c>
      <c r="C9091">
        <v>179050</v>
      </c>
      <c r="D9091">
        <v>1130</v>
      </c>
    </row>
    <row r="9092" spans="1:4" x14ac:dyDescent="0.25">
      <c r="A9092" t="str">
        <f>T("   UA")</f>
        <v xml:space="preserve">   UA</v>
      </c>
      <c r="B9092" t="str">
        <f>T("   Ukraine")</f>
        <v xml:space="preserve">   Ukraine</v>
      </c>
      <c r="C9092">
        <v>9981553</v>
      </c>
      <c r="D9092">
        <v>21590</v>
      </c>
    </row>
    <row r="9093" spans="1:4" x14ac:dyDescent="0.25">
      <c r="A9093" t="str">
        <f>T("730890")</f>
        <v>730890</v>
      </c>
      <c r="B9093" t="str">
        <f>T("Constructions et parties de constructions, en fonte, fer ou acier, n.d.a. (à l'excl. des ponts et éléments de ponts, tours et pylônes, portes et fenêtres et leurs cadres, chambranles et seuils, et à l'excl. du matériel d'échafaudage, de coffrage et d'étay")</f>
        <v>Constructions et parties de constructions, en fonte, fer ou acier, n.d.a. (à l'excl. des ponts et éléments de ponts, tours et pylônes, portes et fenêtres et leurs cadres, chambranles et seuils, et à l'excl. du matériel d'échafaudage, de coffrage et d'étay</v>
      </c>
    </row>
    <row r="9094" spans="1:4" x14ac:dyDescent="0.25">
      <c r="A9094" t="str">
        <f>T("   ZZZ_Monde")</f>
        <v xml:space="preserve">   ZZZ_Monde</v>
      </c>
      <c r="B9094" t="str">
        <f>T("   ZZZ_Monde")</f>
        <v xml:space="preserve">   ZZZ_Monde</v>
      </c>
      <c r="C9094">
        <v>672240525</v>
      </c>
      <c r="D9094">
        <v>792262</v>
      </c>
    </row>
    <row r="9095" spans="1:4" x14ac:dyDescent="0.25">
      <c r="A9095" t="str">
        <f>T("   BE")</f>
        <v xml:space="preserve">   BE</v>
      </c>
      <c r="B9095" t="str">
        <f>T("   Belgique")</f>
        <v xml:space="preserve">   Belgique</v>
      </c>
      <c r="C9095">
        <v>2288455</v>
      </c>
      <c r="D9095">
        <v>3185</v>
      </c>
    </row>
    <row r="9096" spans="1:4" x14ac:dyDescent="0.25">
      <c r="A9096" t="str">
        <f>T("   CN")</f>
        <v xml:space="preserve">   CN</v>
      </c>
      <c r="B9096" t="str">
        <f>T("   Chine")</f>
        <v xml:space="preserve">   Chine</v>
      </c>
      <c r="C9096">
        <v>389101266</v>
      </c>
      <c r="D9096">
        <v>543438</v>
      </c>
    </row>
    <row r="9097" spans="1:4" x14ac:dyDescent="0.25">
      <c r="A9097" t="str">
        <f>T("   DE")</f>
        <v xml:space="preserve">   DE</v>
      </c>
      <c r="B9097" t="str">
        <f>T("   Allemagne")</f>
        <v xml:space="preserve">   Allemagne</v>
      </c>
      <c r="C9097">
        <v>3920016</v>
      </c>
      <c r="D9097">
        <v>4038</v>
      </c>
    </row>
    <row r="9098" spans="1:4" x14ac:dyDescent="0.25">
      <c r="A9098" t="str">
        <f>T("   ES")</f>
        <v xml:space="preserve">   ES</v>
      </c>
      <c r="B9098" t="str">
        <f>T("   Espagne")</f>
        <v xml:space="preserve">   Espagne</v>
      </c>
      <c r="C9098">
        <v>52824098</v>
      </c>
      <c r="D9098">
        <v>24205</v>
      </c>
    </row>
    <row r="9099" spans="1:4" x14ac:dyDescent="0.25">
      <c r="A9099" t="str">
        <f>T("   FR")</f>
        <v xml:space="preserve">   FR</v>
      </c>
      <c r="B9099" t="str">
        <f>T("   France")</f>
        <v xml:space="preserve">   France</v>
      </c>
      <c r="C9099">
        <v>192462908</v>
      </c>
      <c r="D9099">
        <v>122872</v>
      </c>
    </row>
    <row r="9100" spans="1:4" x14ac:dyDescent="0.25">
      <c r="A9100" t="str">
        <f>T("   IT")</f>
        <v xml:space="preserve">   IT</v>
      </c>
      <c r="B9100" t="str">
        <f>T("   Italie")</f>
        <v xml:space="preserve">   Italie</v>
      </c>
      <c r="C9100">
        <v>1154489</v>
      </c>
      <c r="D9100">
        <v>2238</v>
      </c>
    </row>
    <row r="9101" spans="1:4" x14ac:dyDescent="0.25">
      <c r="A9101" t="str">
        <f>T("   KW")</f>
        <v xml:space="preserve">   KW</v>
      </c>
      <c r="B9101" t="str">
        <f>T("   Koweit")</f>
        <v xml:space="preserve">   Koweit</v>
      </c>
      <c r="C9101">
        <v>1156087</v>
      </c>
      <c r="D9101">
        <v>3880</v>
      </c>
    </row>
    <row r="9102" spans="1:4" x14ac:dyDescent="0.25">
      <c r="A9102" t="str">
        <f>T("   MA")</f>
        <v xml:space="preserve">   MA</v>
      </c>
      <c r="B9102" t="str">
        <f>T("   Maroc")</f>
        <v xml:space="preserve">   Maroc</v>
      </c>
      <c r="C9102">
        <v>4741279</v>
      </c>
      <c r="D9102">
        <v>1506</v>
      </c>
    </row>
    <row r="9103" spans="1:4" x14ac:dyDescent="0.25">
      <c r="A9103" t="str">
        <f>T("   SG")</f>
        <v xml:space="preserve">   SG</v>
      </c>
      <c r="B9103" t="str">
        <f>T("   Singapour")</f>
        <v xml:space="preserve">   Singapour</v>
      </c>
      <c r="C9103">
        <v>367927</v>
      </c>
      <c r="D9103">
        <v>1000</v>
      </c>
    </row>
    <row r="9104" spans="1:4" x14ac:dyDescent="0.25">
      <c r="A9104" t="str">
        <f>T("   TG")</f>
        <v xml:space="preserve">   TG</v>
      </c>
      <c r="B9104" t="str">
        <f>T("   Togo")</f>
        <v xml:space="preserve">   Togo</v>
      </c>
      <c r="C9104">
        <v>24224000</v>
      </c>
      <c r="D9104">
        <v>85900</v>
      </c>
    </row>
    <row r="9105" spans="1:4" x14ac:dyDescent="0.25">
      <c r="A9105" t="str">
        <f>T("730900")</f>
        <v>730900</v>
      </c>
      <c r="B9105" t="str">
        <f>T("Réservoirs, foudres, cuves et récipients simil. en fonte, fer ou acier, pour toutes matières (à l'excl. des gaz comprimés ou liquéfiés), d'une contenance &gt; 300 l, sans dispositifs mécaniques ou thermiques, même avec revêtement intérieur ou calorifuge (aut")</f>
        <v>Réservoirs, foudres, cuves et récipients simil. en fonte, fer ou acier, pour toutes matières (à l'excl. des gaz comprimés ou liquéfiés), d'une contenance &gt; 300 l, sans dispositifs mécaniques ou thermiques, même avec revêtement intérieur ou calorifuge (aut</v>
      </c>
    </row>
    <row r="9106" spans="1:4" x14ac:dyDescent="0.25">
      <c r="A9106" t="str">
        <f>T("   ZZZ_Monde")</f>
        <v xml:space="preserve">   ZZZ_Monde</v>
      </c>
      <c r="B9106" t="str">
        <f>T("   ZZZ_Monde")</f>
        <v xml:space="preserve">   ZZZ_Monde</v>
      </c>
      <c r="C9106">
        <v>112338083</v>
      </c>
      <c r="D9106">
        <v>30619</v>
      </c>
    </row>
    <row r="9107" spans="1:4" x14ac:dyDescent="0.25">
      <c r="A9107" t="str">
        <f>T("   CN")</f>
        <v xml:space="preserve">   CN</v>
      </c>
      <c r="B9107" t="str">
        <f>T("   Chine")</f>
        <v xml:space="preserve">   Chine</v>
      </c>
      <c r="C9107">
        <v>143871</v>
      </c>
      <c r="D9107">
        <v>909</v>
      </c>
    </row>
    <row r="9108" spans="1:4" x14ac:dyDescent="0.25">
      <c r="A9108" t="str">
        <f>T("   DE")</f>
        <v xml:space="preserve">   DE</v>
      </c>
      <c r="B9108" t="str">
        <f>T("   Allemagne")</f>
        <v xml:space="preserve">   Allemagne</v>
      </c>
      <c r="C9108">
        <v>31486</v>
      </c>
      <c r="D9108">
        <v>136</v>
      </c>
    </row>
    <row r="9109" spans="1:4" x14ac:dyDescent="0.25">
      <c r="A9109" t="str">
        <f>T("   DK")</f>
        <v xml:space="preserve">   DK</v>
      </c>
      <c r="B9109" t="str">
        <f>T("   Danemark")</f>
        <v xml:space="preserve">   Danemark</v>
      </c>
      <c r="C9109">
        <v>88128</v>
      </c>
      <c r="D9109">
        <v>16</v>
      </c>
    </row>
    <row r="9110" spans="1:4" x14ac:dyDescent="0.25">
      <c r="A9110" t="str">
        <f>T("   FR")</f>
        <v xml:space="preserve">   FR</v>
      </c>
      <c r="B9110" t="str">
        <f>T("   France")</f>
        <v xml:space="preserve">   France</v>
      </c>
      <c r="C9110">
        <v>110656516</v>
      </c>
      <c r="D9110">
        <v>27818</v>
      </c>
    </row>
    <row r="9111" spans="1:4" x14ac:dyDescent="0.25">
      <c r="A9111" t="str">
        <f>T("   TG")</f>
        <v xml:space="preserve">   TG</v>
      </c>
      <c r="B9111" t="str">
        <f>T("   Togo")</f>
        <v xml:space="preserve">   Togo</v>
      </c>
      <c r="C9111">
        <v>1418082</v>
      </c>
      <c r="D9111">
        <v>1740</v>
      </c>
    </row>
    <row r="9112" spans="1:4" x14ac:dyDescent="0.25">
      <c r="A9112" t="str">
        <f>T("731010")</f>
        <v>731010</v>
      </c>
      <c r="B9112" t="str">
        <f>T("RÉSERVOIRS, F¹TS, TAMBOURS, BIDONS, BOÎTES ET RÉCIPIENTS SIMIL. EN FONTE, FER OU ACIER, POUR TOUTES MATIÈRES, CONTENANCE &gt;= 50 L MAIS &lt;= 300 L, N.D.A. (À L'EXCL. DES GAZ COMPRIMÉS OU LIQUÉFIÉS ET SAUF AVEC DISPOSITIFS MÉCANIQUES OU THERMIQUES)")</f>
        <v>RÉSERVOIRS, F¹TS, TAMBOURS, BIDONS, BOÎTES ET RÉCIPIENTS SIMIL. EN FONTE, FER OU ACIER, POUR TOUTES MATIÈRES, CONTENANCE &gt;= 50 L MAIS &lt;= 300 L, N.D.A. (À L'EXCL. DES GAZ COMPRIMÉS OU LIQUÉFIÉS ET SAUF AVEC DISPOSITIFS MÉCANIQUES OU THERMIQUES)</v>
      </c>
    </row>
    <row r="9113" spans="1:4" x14ac:dyDescent="0.25">
      <c r="A9113" t="str">
        <f>T("   ZZZ_Monde")</f>
        <v xml:space="preserve">   ZZZ_Monde</v>
      </c>
      <c r="B9113" t="str">
        <f>T("   ZZZ_Monde")</f>
        <v xml:space="preserve">   ZZZ_Monde</v>
      </c>
      <c r="C9113">
        <v>19970167</v>
      </c>
      <c r="D9113">
        <v>13266</v>
      </c>
    </row>
    <row r="9114" spans="1:4" x14ac:dyDescent="0.25">
      <c r="A9114" t="str">
        <f>T("   DE")</f>
        <v xml:space="preserve">   DE</v>
      </c>
      <c r="B9114" t="str">
        <f>T("   Allemagne")</f>
        <v xml:space="preserve">   Allemagne</v>
      </c>
      <c r="C9114">
        <v>5200000</v>
      </c>
      <c r="D9114">
        <v>4428</v>
      </c>
    </row>
    <row r="9115" spans="1:4" x14ac:dyDescent="0.25">
      <c r="A9115" t="str">
        <f>T("   FR")</f>
        <v xml:space="preserve">   FR</v>
      </c>
      <c r="B9115" t="str">
        <f>T("   France")</f>
        <v xml:space="preserve">   France</v>
      </c>
      <c r="C9115">
        <v>14620167</v>
      </c>
      <c r="D9115">
        <v>8138</v>
      </c>
    </row>
    <row r="9116" spans="1:4" x14ac:dyDescent="0.25">
      <c r="A9116" t="str">
        <f>T("   NG")</f>
        <v xml:space="preserve">   NG</v>
      </c>
      <c r="B9116" t="str">
        <f>T("   Nigéria")</f>
        <v xml:space="preserve">   Nigéria</v>
      </c>
      <c r="C9116">
        <v>150000</v>
      </c>
      <c r="D9116">
        <v>700</v>
      </c>
    </row>
    <row r="9117" spans="1:4" x14ac:dyDescent="0.25">
      <c r="A9117" t="str">
        <f>T("731021")</f>
        <v>731021</v>
      </c>
      <c r="B9117" t="str">
        <f>T("Boîtes en fer ou en acier, contenance &lt; 50 l, à fermer par soudage ou sertissage (sauf pour gaz comprimés ou liquéfiés)")</f>
        <v>Boîtes en fer ou en acier, contenance &lt; 50 l, à fermer par soudage ou sertissage (sauf pour gaz comprimés ou liquéfiés)</v>
      </c>
    </row>
    <row r="9118" spans="1:4" x14ac:dyDescent="0.25">
      <c r="A9118" t="str">
        <f>T("   ZZZ_Monde")</f>
        <v xml:space="preserve">   ZZZ_Monde</v>
      </c>
      <c r="B9118" t="str">
        <f>T("   ZZZ_Monde")</f>
        <v xml:space="preserve">   ZZZ_Monde</v>
      </c>
      <c r="C9118">
        <v>81159772</v>
      </c>
      <c r="D9118">
        <v>138762</v>
      </c>
    </row>
    <row r="9119" spans="1:4" x14ac:dyDescent="0.25">
      <c r="A9119" t="str">
        <f>T("   CI")</f>
        <v xml:space="preserve">   CI</v>
      </c>
      <c r="B9119" t="str">
        <f>T("   Côte d'Ivoire")</f>
        <v xml:space="preserve">   Côte d'Ivoire</v>
      </c>
      <c r="C9119">
        <v>35946682</v>
      </c>
      <c r="D9119">
        <v>32777</v>
      </c>
    </row>
    <row r="9120" spans="1:4" x14ac:dyDescent="0.25">
      <c r="A9120" t="str">
        <f>T("   CN")</f>
        <v xml:space="preserve">   CN</v>
      </c>
      <c r="B9120" t="str">
        <f>T("   Chine")</f>
        <v xml:space="preserve">   Chine</v>
      </c>
      <c r="C9120">
        <v>45073241</v>
      </c>
      <c r="D9120">
        <v>105725</v>
      </c>
    </row>
    <row r="9121" spans="1:4" x14ac:dyDescent="0.25">
      <c r="A9121" t="str">
        <f>T("   NG")</f>
        <v xml:space="preserve">   NG</v>
      </c>
      <c r="B9121" t="str">
        <f>T("   Nigéria")</f>
        <v xml:space="preserve">   Nigéria</v>
      </c>
      <c r="C9121">
        <v>21000</v>
      </c>
      <c r="D9121">
        <v>60</v>
      </c>
    </row>
    <row r="9122" spans="1:4" x14ac:dyDescent="0.25">
      <c r="A9122" t="str">
        <f>T("   TG")</f>
        <v xml:space="preserve">   TG</v>
      </c>
      <c r="B9122" t="str">
        <f>T("   Togo")</f>
        <v xml:space="preserve">   Togo</v>
      </c>
      <c r="C9122">
        <v>118849</v>
      </c>
      <c r="D9122">
        <v>200</v>
      </c>
    </row>
    <row r="9123" spans="1:4" x14ac:dyDescent="0.25">
      <c r="A9123" t="str">
        <f>T("731029")</f>
        <v>731029</v>
      </c>
      <c r="B9123" t="str">
        <f>T("Réservoirs, fûts, tambours, bidons et récipients simil., en fer ou en acier, pour toutes matières, contenance &lt; 50 l, n.d.a. (sauf pour gaz comprimés ou liquéfiés, sans dispositifs mécaniques ou thermiques et à l'excl. des boîtes)")</f>
        <v>Réservoirs, fûts, tambours, bidons et récipients simil., en fer ou en acier, pour toutes matières, contenance &lt; 50 l, n.d.a. (sauf pour gaz comprimés ou liquéfiés, sans dispositifs mécaniques ou thermiques et à l'excl. des boîtes)</v>
      </c>
    </row>
    <row r="9124" spans="1:4" x14ac:dyDescent="0.25">
      <c r="A9124" t="str">
        <f>T("   ZZZ_Monde")</f>
        <v xml:space="preserve">   ZZZ_Monde</v>
      </c>
      <c r="B9124" t="str">
        <f>T("   ZZZ_Monde")</f>
        <v xml:space="preserve">   ZZZ_Monde</v>
      </c>
      <c r="C9124">
        <v>193827915</v>
      </c>
      <c r="D9124">
        <v>72727</v>
      </c>
    </row>
    <row r="9125" spans="1:4" x14ac:dyDescent="0.25">
      <c r="A9125" t="str">
        <f>T("   AE")</f>
        <v xml:space="preserve">   AE</v>
      </c>
      <c r="B9125" t="str">
        <f>T("   Emirats Arabes Unis")</f>
        <v xml:space="preserve">   Emirats Arabes Unis</v>
      </c>
      <c r="C9125">
        <v>162893</v>
      </c>
      <c r="D9125">
        <v>16</v>
      </c>
    </row>
    <row r="9126" spans="1:4" x14ac:dyDescent="0.25">
      <c r="A9126" t="str">
        <f>T("   CI")</f>
        <v xml:space="preserve">   CI</v>
      </c>
      <c r="B9126" t="str">
        <f>T("   Côte d'Ivoire")</f>
        <v xml:space="preserve">   Côte d'Ivoire</v>
      </c>
      <c r="C9126">
        <v>25797556</v>
      </c>
      <c r="D9126">
        <v>18209</v>
      </c>
    </row>
    <row r="9127" spans="1:4" x14ac:dyDescent="0.25">
      <c r="A9127" t="str">
        <f>T("   DK")</f>
        <v xml:space="preserve">   DK</v>
      </c>
      <c r="B9127" t="str">
        <f>T("   Danemark")</f>
        <v xml:space="preserve">   Danemark</v>
      </c>
      <c r="C9127">
        <v>633001</v>
      </c>
      <c r="D9127">
        <v>9</v>
      </c>
    </row>
    <row r="9128" spans="1:4" x14ac:dyDescent="0.25">
      <c r="A9128" t="str">
        <f>T("   FR")</f>
        <v xml:space="preserve">   FR</v>
      </c>
      <c r="B9128" t="str">
        <f>T("   France")</f>
        <v xml:space="preserve">   France</v>
      </c>
      <c r="C9128">
        <v>72358790</v>
      </c>
      <c r="D9128">
        <v>8686</v>
      </c>
    </row>
    <row r="9129" spans="1:4" x14ac:dyDescent="0.25">
      <c r="A9129" t="str">
        <f>T("   IT")</f>
        <v xml:space="preserve">   IT</v>
      </c>
      <c r="B9129" t="str">
        <f>T("   Italie")</f>
        <v xml:space="preserve">   Italie</v>
      </c>
      <c r="C9129">
        <v>82915969</v>
      </c>
      <c r="D9129">
        <v>35959</v>
      </c>
    </row>
    <row r="9130" spans="1:4" x14ac:dyDescent="0.25">
      <c r="A9130" t="str">
        <f>T("   LT")</f>
        <v xml:space="preserve">   LT</v>
      </c>
      <c r="B9130" t="str">
        <f>T("   Lituanie")</f>
        <v xml:space="preserve">   Lituanie</v>
      </c>
      <c r="C9130">
        <v>576289</v>
      </c>
      <c r="D9130">
        <v>26</v>
      </c>
    </row>
    <row r="9131" spans="1:4" x14ac:dyDescent="0.25">
      <c r="A9131" t="str">
        <f>T("   TG")</f>
        <v xml:space="preserve">   TG</v>
      </c>
      <c r="B9131" t="str">
        <f>T("   Togo")</f>
        <v xml:space="preserve">   Togo</v>
      </c>
      <c r="C9131">
        <v>573852</v>
      </c>
      <c r="D9131">
        <v>3580</v>
      </c>
    </row>
    <row r="9132" spans="1:4" x14ac:dyDescent="0.25">
      <c r="A9132" t="str">
        <f>T("   TN")</f>
        <v xml:space="preserve">   TN</v>
      </c>
      <c r="B9132" t="str">
        <f>T("   Tunisie")</f>
        <v xml:space="preserve">   Tunisie</v>
      </c>
      <c r="C9132">
        <v>10809565</v>
      </c>
      <c r="D9132">
        <v>6242</v>
      </c>
    </row>
    <row r="9133" spans="1:4" x14ac:dyDescent="0.25">
      <c r="A9133" t="str">
        <f>T("731100")</f>
        <v>731100</v>
      </c>
      <c r="B9133" t="str">
        <f>T("Récipients en fonte, fer ou acier, pour gaz comprimés ou liquéfiés (autres que conteneurs spécialement conçus ou équipés pour un ou plusieurs moyens de transport)")</f>
        <v>Récipients en fonte, fer ou acier, pour gaz comprimés ou liquéfiés (autres que conteneurs spécialement conçus ou équipés pour un ou plusieurs moyens de transport)</v>
      </c>
    </row>
    <row r="9134" spans="1:4" x14ac:dyDescent="0.25">
      <c r="A9134" t="str">
        <f>T("   ZZZ_Monde")</f>
        <v xml:space="preserve">   ZZZ_Monde</v>
      </c>
      <c r="B9134" t="str">
        <f>T("   ZZZ_Monde")</f>
        <v xml:space="preserve">   ZZZ_Monde</v>
      </c>
      <c r="C9134">
        <v>1054988690</v>
      </c>
      <c r="D9134">
        <v>873187</v>
      </c>
    </row>
    <row r="9135" spans="1:4" x14ac:dyDescent="0.25">
      <c r="A9135" t="str">
        <f>T("   CN")</f>
        <v xml:space="preserve">   CN</v>
      </c>
      <c r="B9135" t="str">
        <f>T("   Chine")</f>
        <v xml:space="preserve">   Chine</v>
      </c>
      <c r="C9135">
        <v>21751465</v>
      </c>
      <c r="D9135">
        <v>17000</v>
      </c>
    </row>
    <row r="9136" spans="1:4" x14ac:dyDescent="0.25">
      <c r="A9136" t="str">
        <f>T("   DE")</f>
        <v xml:space="preserve">   DE</v>
      </c>
      <c r="B9136" t="str">
        <f>T("   Allemagne")</f>
        <v xml:space="preserve">   Allemagne</v>
      </c>
      <c r="C9136">
        <v>8179460</v>
      </c>
      <c r="D9136">
        <v>8281</v>
      </c>
    </row>
    <row r="9137" spans="1:4" x14ac:dyDescent="0.25">
      <c r="A9137" t="str">
        <f>T("   FR")</f>
        <v xml:space="preserve">   FR</v>
      </c>
      <c r="B9137" t="str">
        <f>T("   France")</f>
        <v xml:space="preserve">   France</v>
      </c>
      <c r="C9137">
        <v>1203031</v>
      </c>
      <c r="D9137">
        <v>91</v>
      </c>
    </row>
    <row r="9138" spans="1:4" x14ac:dyDescent="0.25">
      <c r="A9138" t="str">
        <f>T("   IN")</f>
        <v xml:space="preserve">   IN</v>
      </c>
      <c r="B9138" t="str">
        <f>T("   Inde")</f>
        <v xml:space="preserve">   Inde</v>
      </c>
      <c r="C9138">
        <v>551688652</v>
      </c>
      <c r="D9138">
        <v>460710</v>
      </c>
    </row>
    <row r="9139" spans="1:4" x14ac:dyDescent="0.25">
      <c r="A9139" t="str">
        <f>T("   PT")</f>
        <v xml:space="preserve">   PT</v>
      </c>
      <c r="B9139" t="str">
        <f>T("   Portugal")</f>
        <v xml:space="preserve">   Portugal</v>
      </c>
      <c r="C9139">
        <v>46766668</v>
      </c>
      <c r="D9139">
        <v>35574</v>
      </c>
    </row>
    <row r="9140" spans="1:4" x14ac:dyDescent="0.25">
      <c r="A9140" t="str">
        <f>T("   SN")</f>
        <v xml:space="preserve">   SN</v>
      </c>
      <c r="B9140" t="str">
        <f>T("   Sénégal")</f>
        <v xml:space="preserve">   Sénégal</v>
      </c>
      <c r="C9140">
        <v>65345000</v>
      </c>
      <c r="D9140">
        <v>48500</v>
      </c>
    </row>
    <row r="9141" spans="1:4" x14ac:dyDescent="0.25">
      <c r="A9141" t="str">
        <f>T("   TG")</f>
        <v xml:space="preserve">   TG</v>
      </c>
      <c r="B9141" t="str">
        <f>T("   Togo")</f>
        <v xml:space="preserve">   Togo</v>
      </c>
      <c r="C9141">
        <v>54486876</v>
      </c>
      <c r="D9141">
        <v>43880</v>
      </c>
    </row>
    <row r="9142" spans="1:4" x14ac:dyDescent="0.25">
      <c r="A9142" t="str">
        <f>T("   TH")</f>
        <v xml:space="preserve">   TH</v>
      </c>
      <c r="B9142" t="str">
        <f>T("   Thaïlande")</f>
        <v xml:space="preserve">   Thaïlande</v>
      </c>
      <c r="C9142">
        <v>305567538</v>
      </c>
      <c r="D9142">
        <v>259151</v>
      </c>
    </row>
    <row r="9143" spans="1:4" x14ac:dyDescent="0.25">
      <c r="A9143" t="str">
        <f>T("731210")</f>
        <v>731210</v>
      </c>
      <c r="B9143" t="str">
        <f>T("Torons et câbles en fer ou en acier (sauf produits isolés pour l'électricité et sauf fil barbelé pour clôtures et ronces artificielles)")</f>
        <v>Torons et câbles en fer ou en acier (sauf produits isolés pour l'électricité et sauf fil barbelé pour clôtures et ronces artificielles)</v>
      </c>
    </row>
    <row r="9144" spans="1:4" x14ac:dyDescent="0.25">
      <c r="A9144" t="str">
        <f>T("   ZZZ_Monde")</f>
        <v xml:space="preserve">   ZZZ_Monde</v>
      </c>
      <c r="B9144" t="str">
        <f>T("   ZZZ_Monde")</f>
        <v xml:space="preserve">   ZZZ_Monde</v>
      </c>
      <c r="C9144">
        <v>135549070</v>
      </c>
      <c r="D9144">
        <v>35079</v>
      </c>
    </row>
    <row r="9145" spans="1:4" x14ac:dyDescent="0.25">
      <c r="A9145" t="str">
        <f>T("   BE")</f>
        <v xml:space="preserve">   BE</v>
      </c>
      <c r="B9145" t="str">
        <f>T("   Belgique")</f>
        <v xml:space="preserve">   Belgique</v>
      </c>
      <c r="C9145">
        <v>569373</v>
      </c>
      <c r="D9145">
        <v>8</v>
      </c>
    </row>
    <row r="9146" spans="1:4" x14ac:dyDescent="0.25">
      <c r="A9146" t="str">
        <f>T("   CN")</f>
        <v xml:space="preserve">   CN</v>
      </c>
      <c r="B9146" t="str">
        <f>T("   Chine")</f>
        <v xml:space="preserve">   Chine</v>
      </c>
      <c r="C9146">
        <v>128526179</v>
      </c>
      <c r="D9146">
        <v>26031</v>
      </c>
    </row>
    <row r="9147" spans="1:4" x14ac:dyDescent="0.25">
      <c r="A9147" t="str">
        <f>T("   FR")</f>
        <v xml:space="preserve">   FR</v>
      </c>
      <c r="B9147" t="str">
        <f>T("   France")</f>
        <v xml:space="preserve">   France</v>
      </c>
      <c r="C9147">
        <v>5561069</v>
      </c>
      <c r="D9147">
        <v>3135</v>
      </c>
    </row>
    <row r="9148" spans="1:4" x14ac:dyDescent="0.25">
      <c r="A9148" t="str">
        <f>T("   GH")</f>
        <v xml:space="preserve">   GH</v>
      </c>
      <c r="B9148" t="str">
        <f>T("   Ghana")</f>
        <v xml:space="preserve">   Ghana</v>
      </c>
      <c r="C9148">
        <v>32958</v>
      </c>
      <c r="D9148">
        <v>450</v>
      </c>
    </row>
    <row r="9149" spans="1:4" x14ac:dyDescent="0.25">
      <c r="A9149" t="str">
        <f>T("   IN")</f>
        <v xml:space="preserve">   IN</v>
      </c>
      <c r="B9149" t="str">
        <f>T("   Inde")</f>
        <v xml:space="preserve">   Inde</v>
      </c>
      <c r="C9149">
        <v>443553</v>
      </c>
      <c r="D9149">
        <v>5430</v>
      </c>
    </row>
    <row r="9150" spans="1:4" x14ac:dyDescent="0.25">
      <c r="A9150" t="str">
        <f>T("   NO")</f>
        <v xml:space="preserve">   NO</v>
      </c>
      <c r="B9150" t="str">
        <f>T("   Norvège")</f>
        <v xml:space="preserve">   Norvège</v>
      </c>
      <c r="C9150">
        <v>415938</v>
      </c>
      <c r="D9150">
        <v>25</v>
      </c>
    </row>
    <row r="9151" spans="1:4" x14ac:dyDescent="0.25">
      <c r="A9151" t="str">
        <f>T("731290")</f>
        <v>731290</v>
      </c>
      <c r="B9151" t="str">
        <f>T("Tresses, élingues et simil., en fer ou en acier (sauf produits isolés pour l'électricité)")</f>
        <v>Tresses, élingues et simil., en fer ou en acier (sauf produits isolés pour l'électricité)</v>
      </c>
    </row>
    <row r="9152" spans="1:4" x14ac:dyDescent="0.25">
      <c r="A9152" t="str">
        <f>T("   ZZZ_Monde")</f>
        <v xml:space="preserve">   ZZZ_Monde</v>
      </c>
      <c r="B9152" t="str">
        <f>T("   ZZZ_Monde")</f>
        <v xml:space="preserve">   ZZZ_Monde</v>
      </c>
      <c r="C9152">
        <v>52563161</v>
      </c>
      <c r="D9152">
        <v>15126</v>
      </c>
    </row>
    <row r="9153" spans="1:4" x14ac:dyDescent="0.25">
      <c r="A9153" t="str">
        <f>T("   AT")</f>
        <v xml:space="preserve">   AT</v>
      </c>
      <c r="B9153" t="str">
        <f>T("   Autriche")</f>
        <v xml:space="preserve">   Autriche</v>
      </c>
      <c r="C9153">
        <v>20624698</v>
      </c>
      <c r="D9153">
        <v>3128</v>
      </c>
    </row>
    <row r="9154" spans="1:4" x14ac:dyDescent="0.25">
      <c r="A9154" t="str">
        <f>T("   CN")</f>
        <v xml:space="preserve">   CN</v>
      </c>
      <c r="B9154" t="str">
        <f>T("   Chine")</f>
        <v xml:space="preserve">   Chine</v>
      </c>
      <c r="C9154">
        <v>1754526</v>
      </c>
      <c r="D9154">
        <v>4000</v>
      </c>
    </row>
    <row r="9155" spans="1:4" x14ac:dyDescent="0.25">
      <c r="A9155" t="str">
        <f>T("   FR")</f>
        <v xml:space="preserve">   FR</v>
      </c>
      <c r="B9155" t="str">
        <f>T("   France")</f>
        <v xml:space="preserve">   France</v>
      </c>
      <c r="C9155">
        <v>30183937</v>
      </c>
      <c r="D9155">
        <v>7998</v>
      </c>
    </row>
    <row r="9156" spans="1:4" x14ac:dyDescent="0.25">
      <c r="A9156" t="str">
        <f>T("731300")</f>
        <v>731300</v>
      </c>
      <c r="B9156" t="str">
        <f>T("Ronces artificielles en fer ou en acier; torsades, barbelées ou non, en fils ou en feuillard de fer ou d'acier, des types utilisés pour les clôtures")</f>
        <v>Ronces artificielles en fer ou en acier; torsades, barbelées ou non, en fils ou en feuillard de fer ou d'acier, des types utilisés pour les clôtures</v>
      </c>
    </row>
    <row r="9157" spans="1:4" x14ac:dyDescent="0.25">
      <c r="A9157" t="str">
        <f>T("   ZZZ_Monde")</f>
        <v xml:space="preserve">   ZZZ_Monde</v>
      </c>
      <c r="B9157" t="str">
        <f>T("   ZZZ_Monde")</f>
        <v xml:space="preserve">   ZZZ_Monde</v>
      </c>
      <c r="C9157">
        <v>6663484</v>
      </c>
      <c r="D9157">
        <v>14839</v>
      </c>
    </row>
    <row r="9158" spans="1:4" x14ac:dyDescent="0.25">
      <c r="A9158" t="str">
        <f>T("   CN")</f>
        <v xml:space="preserve">   CN</v>
      </c>
      <c r="B9158" t="str">
        <f>T("   Chine")</f>
        <v xml:space="preserve">   Chine</v>
      </c>
      <c r="C9158">
        <v>6663484</v>
      </c>
      <c r="D9158">
        <v>14839</v>
      </c>
    </row>
    <row r="9159" spans="1:4" x14ac:dyDescent="0.25">
      <c r="A9159" t="str">
        <f>T("731411")</f>
        <v>731411</v>
      </c>
      <c r="B9159" t="str">
        <f>T("PRODUITS TISSÉS -TOILES METALLIQUES-, Y.C. -LES TOILES CONTINUES OU SANS FIN- EN FILS D'ACIER INOXYDABLES (À L'EXCL. DES TOILES EN FILS METALLIQUES DES TYPES UTILISÉS POUR REVÊTEMENTS, AMÉNAGEMENTS INTERIEURS ET USAGES SIMILAIRES)")</f>
        <v>PRODUITS TISSÉS -TOILES METALLIQUES-, Y.C. -LES TOILES CONTINUES OU SANS FIN- EN FILS D'ACIER INOXYDABLES (À L'EXCL. DES TOILES EN FILS METALLIQUES DES TYPES UTILISÉS POUR REVÊTEMENTS, AMÉNAGEMENTS INTERIEURS ET USAGES SIMILAIRES)</v>
      </c>
    </row>
    <row r="9160" spans="1:4" x14ac:dyDescent="0.25">
      <c r="A9160" t="str">
        <f>T("   ZZZ_Monde")</f>
        <v xml:space="preserve">   ZZZ_Monde</v>
      </c>
      <c r="B9160" t="str">
        <f>T("   ZZZ_Monde")</f>
        <v xml:space="preserve">   ZZZ_Monde</v>
      </c>
      <c r="C9160">
        <v>218462</v>
      </c>
      <c r="D9160">
        <v>200</v>
      </c>
    </row>
    <row r="9161" spans="1:4" x14ac:dyDescent="0.25">
      <c r="A9161" t="str">
        <f>T("   TG")</f>
        <v xml:space="preserve">   TG</v>
      </c>
      <c r="B9161" t="str">
        <f>T("   Togo")</f>
        <v xml:space="preserve">   Togo</v>
      </c>
      <c r="C9161">
        <v>218462</v>
      </c>
      <c r="D9161">
        <v>200</v>
      </c>
    </row>
    <row r="9162" spans="1:4" x14ac:dyDescent="0.25">
      <c r="A9162" t="str">
        <f>T("731413")</f>
        <v>731413</v>
      </c>
      <c r="B9162" t="str">
        <f>T("Toiles métalliques continues ou sans fin, pour machines, en fils de fer ou d'aciers autre qu'inoxydables")</f>
        <v>Toiles métalliques continues ou sans fin, pour machines, en fils de fer ou d'aciers autre qu'inoxydables</v>
      </c>
    </row>
    <row r="9163" spans="1:4" x14ac:dyDescent="0.25">
      <c r="A9163" t="str">
        <f>T("   ZZZ_Monde")</f>
        <v xml:space="preserve">   ZZZ_Monde</v>
      </c>
      <c r="B9163" t="str">
        <f>T("   ZZZ_Monde")</f>
        <v xml:space="preserve">   ZZZ_Monde</v>
      </c>
      <c r="C9163">
        <v>15000</v>
      </c>
      <c r="D9163">
        <v>10</v>
      </c>
    </row>
    <row r="9164" spans="1:4" x14ac:dyDescent="0.25">
      <c r="A9164" t="str">
        <f>T("   GB")</f>
        <v xml:space="preserve">   GB</v>
      </c>
      <c r="B9164" t="str">
        <f>T("   Royaume-Uni")</f>
        <v xml:space="preserve">   Royaume-Uni</v>
      </c>
      <c r="C9164">
        <v>15000</v>
      </c>
      <c r="D9164">
        <v>10</v>
      </c>
    </row>
    <row r="9165" spans="1:4" x14ac:dyDescent="0.25">
      <c r="A9165" t="str">
        <f>T("731414")</f>
        <v>731414</v>
      </c>
      <c r="B9165" t="str">
        <f>T("Toiles métalliques tissés, y.c. les toiles continues ou sans fin, en fils d'acier inoxydable (à l'excl. des toiles en fils métalliques des types utilisés pour les vêtements, aménagements intérieurs et usages simil. et sauf toiles continues ou sans fin pou")</f>
        <v>Toiles métalliques tissés, y.c. les toiles continues ou sans fin, en fils d'acier inoxydable (à l'excl. des toiles en fils métalliques des types utilisés pour les vêtements, aménagements intérieurs et usages simil. et sauf toiles continues ou sans fin pou</v>
      </c>
    </row>
    <row r="9166" spans="1:4" x14ac:dyDescent="0.25">
      <c r="A9166" t="str">
        <f>T("   ZZZ_Monde")</f>
        <v xml:space="preserve">   ZZZ_Monde</v>
      </c>
      <c r="B9166" t="str">
        <f>T("   ZZZ_Monde")</f>
        <v xml:space="preserve">   ZZZ_Monde</v>
      </c>
      <c r="C9166">
        <v>12593416</v>
      </c>
      <c r="D9166">
        <v>554</v>
      </c>
    </row>
    <row r="9167" spans="1:4" x14ac:dyDescent="0.25">
      <c r="A9167" t="str">
        <f>T("   BE")</f>
        <v xml:space="preserve">   BE</v>
      </c>
      <c r="B9167" t="str">
        <f>T("   Belgique")</f>
        <v xml:space="preserve">   Belgique</v>
      </c>
      <c r="C9167">
        <v>12119157</v>
      </c>
      <c r="D9167">
        <v>534</v>
      </c>
    </row>
    <row r="9168" spans="1:4" x14ac:dyDescent="0.25">
      <c r="A9168" t="str">
        <f>T("   FR")</f>
        <v xml:space="preserve">   FR</v>
      </c>
      <c r="B9168" t="str">
        <f>T("   France")</f>
        <v xml:space="preserve">   France</v>
      </c>
      <c r="C9168">
        <v>474259</v>
      </c>
      <c r="D9168">
        <v>20</v>
      </c>
    </row>
    <row r="9169" spans="1:4" x14ac:dyDescent="0.25">
      <c r="A9169" t="str">
        <f>T("731419")</f>
        <v>731419</v>
      </c>
      <c r="B9169" t="str">
        <f>T("Toiles métalliques tissés, y.c. les toiles continues ou sans fin, en fils de fer ou d'aciers autres qu'inoxydables (à l'excl. des toiles en fils métalliques des types utilisés pour vêtements, aménagements intérieurs et usages simil. et sauf les toiles con")</f>
        <v>Toiles métalliques tissés, y.c. les toiles continues ou sans fin, en fils de fer ou d'aciers autres qu'inoxydables (à l'excl. des toiles en fils métalliques des types utilisés pour vêtements, aménagements intérieurs et usages simil. et sauf les toiles con</v>
      </c>
    </row>
    <row r="9170" spans="1:4" x14ac:dyDescent="0.25">
      <c r="A9170" t="str">
        <f>T("   ZZZ_Monde")</f>
        <v xml:space="preserve">   ZZZ_Monde</v>
      </c>
      <c r="B9170" t="str">
        <f>T("   ZZZ_Monde")</f>
        <v xml:space="preserve">   ZZZ_Monde</v>
      </c>
      <c r="C9170">
        <v>3910833</v>
      </c>
      <c r="D9170">
        <v>1750</v>
      </c>
    </row>
    <row r="9171" spans="1:4" x14ac:dyDescent="0.25">
      <c r="A9171" t="str">
        <f>T("   FR")</f>
        <v xml:space="preserve">   FR</v>
      </c>
      <c r="B9171" t="str">
        <f>T("   France")</f>
        <v xml:space="preserve">   France</v>
      </c>
      <c r="C9171">
        <v>3910833</v>
      </c>
      <c r="D9171">
        <v>1750</v>
      </c>
    </row>
    <row r="9172" spans="1:4" x14ac:dyDescent="0.25">
      <c r="A9172" t="str">
        <f>T("731420")</f>
        <v>731420</v>
      </c>
      <c r="B9172" t="str">
        <f>T("Grillages et treillis, soudés aux points de rencontre, d'une surface de mailles &gt;= 100 cm², en fils de fer ou d'acier, dont la plus grande dimension de la coupe transversale est &gt;= 3 mm")</f>
        <v>Grillages et treillis, soudés aux points de rencontre, d'une surface de mailles &gt;= 100 cm², en fils de fer ou d'acier, dont la plus grande dimension de la coupe transversale est &gt;= 3 mm</v>
      </c>
    </row>
    <row r="9173" spans="1:4" x14ac:dyDescent="0.25">
      <c r="A9173" t="str">
        <f>T("   ZZZ_Monde")</f>
        <v xml:space="preserve">   ZZZ_Monde</v>
      </c>
      <c r="B9173" t="str">
        <f>T("   ZZZ_Monde")</f>
        <v xml:space="preserve">   ZZZ_Monde</v>
      </c>
      <c r="C9173">
        <v>34495979</v>
      </c>
      <c r="D9173">
        <v>95960</v>
      </c>
    </row>
    <row r="9174" spans="1:4" x14ac:dyDescent="0.25">
      <c r="A9174" t="str">
        <f>T("   CN")</f>
        <v xml:space="preserve">   CN</v>
      </c>
      <c r="B9174" t="str">
        <f>T("   Chine")</f>
        <v xml:space="preserve">   Chine</v>
      </c>
      <c r="C9174">
        <v>1677560</v>
      </c>
      <c r="D9174">
        <v>3100</v>
      </c>
    </row>
    <row r="9175" spans="1:4" x14ac:dyDescent="0.25">
      <c r="A9175" t="str">
        <f>T("   FR")</f>
        <v xml:space="preserve">   FR</v>
      </c>
      <c r="B9175" t="str">
        <f>T("   France")</f>
        <v xml:space="preserve">   France</v>
      </c>
      <c r="C9175">
        <v>13718419</v>
      </c>
      <c r="D9175">
        <v>7500</v>
      </c>
    </row>
    <row r="9176" spans="1:4" x14ac:dyDescent="0.25">
      <c r="A9176" t="str">
        <f>T("   TG")</f>
        <v xml:space="preserve">   TG</v>
      </c>
      <c r="B9176" t="str">
        <f>T("   Togo")</f>
        <v xml:space="preserve">   Togo</v>
      </c>
      <c r="C9176">
        <v>19100000</v>
      </c>
      <c r="D9176">
        <v>85360</v>
      </c>
    </row>
    <row r="9177" spans="1:4" x14ac:dyDescent="0.25">
      <c r="A9177" t="str">
        <f>T("731439")</f>
        <v>731439</v>
      </c>
      <c r="B9177" t="str">
        <f>T("Grillages et treillis, en fils de fer ou d'acier, soudés aux points de rencontre (sauf en fils dont la plus grande dimension de la coupe transversale est &gt;= 3 mm avec une surface de mailles &gt;= 100 cm² et autres que zingués)")</f>
        <v>Grillages et treillis, en fils de fer ou d'acier, soudés aux points de rencontre (sauf en fils dont la plus grande dimension de la coupe transversale est &gt;= 3 mm avec une surface de mailles &gt;= 100 cm² et autres que zingués)</v>
      </c>
    </row>
    <row r="9178" spans="1:4" x14ac:dyDescent="0.25">
      <c r="A9178" t="str">
        <f>T("   ZZZ_Monde")</f>
        <v xml:space="preserve">   ZZZ_Monde</v>
      </c>
      <c r="B9178" t="str">
        <f>T("   ZZZ_Monde")</f>
        <v xml:space="preserve">   ZZZ_Monde</v>
      </c>
      <c r="C9178">
        <v>16207703</v>
      </c>
      <c r="D9178">
        <v>45505</v>
      </c>
    </row>
    <row r="9179" spans="1:4" x14ac:dyDescent="0.25">
      <c r="A9179" t="str">
        <f>T("   AE")</f>
        <v xml:space="preserve">   AE</v>
      </c>
      <c r="B9179" t="str">
        <f>T("   Emirats Arabes Unis")</f>
        <v xml:space="preserve">   Emirats Arabes Unis</v>
      </c>
      <c r="C9179">
        <v>1176632</v>
      </c>
      <c r="D9179">
        <v>1088</v>
      </c>
    </row>
    <row r="9180" spans="1:4" x14ac:dyDescent="0.25">
      <c r="A9180" t="str">
        <f>T("   CN")</f>
        <v xml:space="preserve">   CN</v>
      </c>
      <c r="B9180" t="str">
        <f>T("   Chine")</f>
        <v xml:space="preserve">   Chine</v>
      </c>
      <c r="C9180">
        <v>11906111</v>
      </c>
      <c r="D9180">
        <v>42317</v>
      </c>
    </row>
    <row r="9181" spans="1:4" x14ac:dyDescent="0.25">
      <c r="A9181" t="str">
        <f>T("   FR")</f>
        <v xml:space="preserve">   FR</v>
      </c>
      <c r="B9181" t="str">
        <f>T("   France")</f>
        <v xml:space="preserve">   France</v>
      </c>
      <c r="C9181">
        <v>3124960</v>
      </c>
      <c r="D9181">
        <v>2100</v>
      </c>
    </row>
    <row r="9182" spans="1:4" x14ac:dyDescent="0.25">
      <c r="A9182" t="str">
        <f>T("731441")</f>
        <v>731441</v>
      </c>
      <c r="B9182" t="str">
        <f>T("GRILLAGES ET TREILLIS, EN FILS DE FER OU D'ACIER, NON-SOUDÉS AUX POINTS DE RENCONTRE, ZINGUÉS")</f>
        <v>GRILLAGES ET TREILLIS, EN FILS DE FER OU D'ACIER, NON-SOUDÉS AUX POINTS DE RENCONTRE, ZINGUÉS</v>
      </c>
    </row>
    <row r="9183" spans="1:4" x14ac:dyDescent="0.25">
      <c r="A9183" t="str">
        <f>T("   ZZZ_Monde")</f>
        <v xml:space="preserve">   ZZZ_Monde</v>
      </c>
      <c r="B9183" t="str">
        <f>T("   ZZZ_Monde")</f>
        <v xml:space="preserve">   ZZZ_Monde</v>
      </c>
      <c r="C9183">
        <v>300705</v>
      </c>
      <c r="D9183">
        <v>7725</v>
      </c>
    </row>
    <row r="9184" spans="1:4" x14ac:dyDescent="0.25">
      <c r="A9184" t="str">
        <f>T("   CN")</f>
        <v xml:space="preserve">   CN</v>
      </c>
      <c r="B9184" t="str">
        <f>T("   Chine")</f>
        <v xml:space="preserve">   Chine</v>
      </c>
      <c r="C9184">
        <v>278205</v>
      </c>
      <c r="D9184">
        <v>7700</v>
      </c>
    </row>
    <row r="9185" spans="1:4" x14ac:dyDescent="0.25">
      <c r="A9185" t="str">
        <f>T("   NG")</f>
        <v xml:space="preserve">   NG</v>
      </c>
      <c r="B9185" t="str">
        <f>T("   Nigéria")</f>
        <v xml:space="preserve">   Nigéria</v>
      </c>
      <c r="C9185">
        <v>22500</v>
      </c>
      <c r="D9185">
        <v>25</v>
      </c>
    </row>
    <row r="9186" spans="1:4" x14ac:dyDescent="0.25">
      <c r="A9186" t="str">
        <f>T("731442")</f>
        <v>731442</v>
      </c>
      <c r="B9186" t="str">
        <f>T("GRILLAGES ET TREILLIS, EN FILS DE FER OU D'ACIER, NON-SOUDÉS AUX POINTS DE RENCONTRE, RECOUVERTS DE MATIÈRES PLASTIQUES")</f>
        <v>GRILLAGES ET TREILLIS, EN FILS DE FER OU D'ACIER, NON-SOUDÉS AUX POINTS DE RENCONTRE, RECOUVERTS DE MATIÈRES PLASTIQUES</v>
      </c>
    </row>
    <row r="9187" spans="1:4" x14ac:dyDescent="0.25">
      <c r="A9187" t="str">
        <f>T("   ZZZ_Monde")</f>
        <v xml:space="preserve">   ZZZ_Monde</v>
      </c>
      <c r="B9187" t="str">
        <f>T("   ZZZ_Monde")</f>
        <v xml:space="preserve">   ZZZ_Monde</v>
      </c>
      <c r="C9187">
        <v>743203</v>
      </c>
      <c r="D9187">
        <v>250</v>
      </c>
    </row>
    <row r="9188" spans="1:4" x14ac:dyDescent="0.25">
      <c r="A9188" t="str">
        <f>T("   FR")</f>
        <v xml:space="preserve">   FR</v>
      </c>
      <c r="B9188" t="str">
        <f>T("   France")</f>
        <v xml:space="preserve">   France</v>
      </c>
      <c r="C9188">
        <v>743203</v>
      </c>
      <c r="D9188">
        <v>250</v>
      </c>
    </row>
    <row r="9189" spans="1:4" x14ac:dyDescent="0.25">
      <c r="A9189" t="str">
        <f>T("731449")</f>
        <v>731449</v>
      </c>
      <c r="B9189" t="str">
        <f>T("Toiles métalliques nontissées, grillages et treillis, en fils de fer ou d'acier, non soudés aux points de rencontre (sauf zingués ou recouverts de matières plastiques)")</f>
        <v>Toiles métalliques nontissées, grillages et treillis, en fils de fer ou d'acier, non soudés aux points de rencontre (sauf zingués ou recouverts de matières plastiques)</v>
      </c>
    </row>
    <row r="9190" spans="1:4" x14ac:dyDescent="0.25">
      <c r="A9190" t="str">
        <f>T("   ZZZ_Monde")</f>
        <v xml:space="preserve">   ZZZ_Monde</v>
      </c>
      <c r="B9190" t="str">
        <f>T("   ZZZ_Monde")</f>
        <v xml:space="preserve">   ZZZ_Monde</v>
      </c>
      <c r="C9190">
        <v>37603023</v>
      </c>
      <c r="D9190">
        <v>112407</v>
      </c>
    </row>
    <row r="9191" spans="1:4" x14ac:dyDescent="0.25">
      <c r="A9191" t="str">
        <f>T("   CN")</f>
        <v xml:space="preserve">   CN</v>
      </c>
      <c r="B9191" t="str">
        <f>T("   Chine")</f>
        <v xml:space="preserve">   Chine</v>
      </c>
      <c r="C9191">
        <v>20375517</v>
      </c>
      <c r="D9191">
        <v>76154</v>
      </c>
    </row>
    <row r="9192" spans="1:4" x14ac:dyDescent="0.25">
      <c r="A9192" t="str">
        <f>T("   FR")</f>
        <v xml:space="preserve">   FR</v>
      </c>
      <c r="B9192" t="str">
        <f>T("   France")</f>
        <v xml:space="preserve">   France</v>
      </c>
      <c r="C9192">
        <v>1634810</v>
      </c>
      <c r="D9192">
        <v>769</v>
      </c>
    </row>
    <row r="9193" spans="1:4" x14ac:dyDescent="0.25">
      <c r="A9193" t="str">
        <f>T("   GH")</f>
        <v xml:space="preserve">   GH</v>
      </c>
      <c r="B9193" t="str">
        <f>T("   Ghana")</f>
        <v xml:space="preserve">   Ghana</v>
      </c>
      <c r="C9193">
        <v>1250000</v>
      </c>
      <c r="D9193">
        <v>7180</v>
      </c>
    </row>
    <row r="9194" spans="1:4" x14ac:dyDescent="0.25">
      <c r="A9194" t="str">
        <f>T("   NG")</f>
        <v xml:space="preserve">   NG</v>
      </c>
      <c r="B9194" t="str">
        <f>T("   Nigéria")</f>
        <v xml:space="preserve">   Nigéria</v>
      </c>
      <c r="C9194">
        <v>343400</v>
      </c>
      <c r="D9194">
        <v>808</v>
      </c>
    </row>
    <row r="9195" spans="1:4" x14ac:dyDescent="0.25">
      <c r="A9195" t="str">
        <f>T("   NZ")</f>
        <v xml:space="preserve">   NZ</v>
      </c>
      <c r="B9195" t="str">
        <f>T("   Nouvelle-Zélande")</f>
        <v xml:space="preserve">   Nouvelle-Zélande</v>
      </c>
      <c r="C9195">
        <v>13576224</v>
      </c>
      <c r="D9195">
        <v>25980</v>
      </c>
    </row>
    <row r="9196" spans="1:4" x14ac:dyDescent="0.25">
      <c r="A9196" t="str">
        <f>T("   TG")</f>
        <v xml:space="preserve">   TG</v>
      </c>
      <c r="B9196" t="str">
        <f>T("   Togo")</f>
        <v xml:space="preserve">   Togo</v>
      </c>
      <c r="C9196">
        <v>423072</v>
      </c>
      <c r="D9196">
        <v>1516</v>
      </c>
    </row>
    <row r="9197" spans="1:4" x14ac:dyDescent="0.25">
      <c r="A9197" t="str">
        <f>T("731450")</f>
        <v>731450</v>
      </c>
      <c r="B9197" t="str">
        <f>T("Tôles et bandes déployées en fer ou en acier")</f>
        <v>Tôles et bandes déployées en fer ou en acier</v>
      </c>
    </row>
    <row r="9198" spans="1:4" x14ac:dyDescent="0.25">
      <c r="A9198" t="str">
        <f>T("   ZZZ_Monde")</f>
        <v xml:space="preserve">   ZZZ_Monde</v>
      </c>
      <c r="B9198" t="str">
        <f>T("   ZZZ_Monde")</f>
        <v xml:space="preserve">   ZZZ_Monde</v>
      </c>
      <c r="C9198">
        <v>471479751</v>
      </c>
      <c r="D9198">
        <v>1498254</v>
      </c>
    </row>
    <row r="9199" spans="1:4" x14ac:dyDescent="0.25">
      <c r="A9199" t="str">
        <f>T("   FR")</f>
        <v xml:space="preserve">   FR</v>
      </c>
      <c r="B9199" t="str">
        <f>T("   France")</f>
        <v xml:space="preserve">   France</v>
      </c>
      <c r="C9199">
        <v>103920370</v>
      </c>
      <c r="D9199">
        <v>146201</v>
      </c>
    </row>
    <row r="9200" spans="1:4" x14ac:dyDescent="0.25">
      <c r="A9200" t="str">
        <f>T("   GH")</f>
        <v xml:space="preserve">   GH</v>
      </c>
      <c r="B9200" t="str">
        <f>T("   Ghana")</f>
        <v xml:space="preserve">   Ghana</v>
      </c>
      <c r="C9200">
        <v>252499695</v>
      </c>
      <c r="D9200">
        <v>941085</v>
      </c>
    </row>
    <row r="9201" spans="1:4" x14ac:dyDescent="0.25">
      <c r="A9201" t="str">
        <f>T("   IN")</f>
        <v xml:space="preserve">   IN</v>
      </c>
      <c r="B9201" t="str">
        <f>T("   Inde")</f>
        <v xml:space="preserve">   Inde</v>
      </c>
      <c r="C9201">
        <v>43809594</v>
      </c>
      <c r="D9201">
        <v>129968</v>
      </c>
    </row>
    <row r="9202" spans="1:4" x14ac:dyDescent="0.25">
      <c r="A9202" t="str">
        <f>T("   TG")</f>
        <v xml:space="preserve">   TG</v>
      </c>
      <c r="B9202" t="str">
        <f>T("   Togo")</f>
        <v xml:space="preserve">   Togo</v>
      </c>
      <c r="C9202">
        <v>71250092</v>
      </c>
      <c r="D9202">
        <v>281000</v>
      </c>
    </row>
    <row r="9203" spans="1:4" x14ac:dyDescent="0.25">
      <c r="A9203" t="str">
        <f>T("731511")</f>
        <v>731511</v>
      </c>
      <c r="B9203" t="str">
        <f>T("Chaînes à rouleaux en fonte, fer ou acier")</f>
        <v>Chaînes à rouleaux en fonte, fer ou acier</v>
      </c>
    </row>
    <row r="9204" spans="1:4" x14ac:dyDescent="0.25">
      <c r="A9204" t="str">
        <f>T("   ZZZ_Monde")</f>
        <v xml:space="preserve">   ZZZ_Monde</v>
      </c>
      <c r="B9204" t="str">
        <f>T("   ZZZ_Monde")</f>
        <v xml:space="preserve">   ZZZ_Monde</v>
      </c>
      <c r="C9204">
        <v>5867119</v>
      </c>
      <c r="D9204">
        <v>22148</v>
      </c>
    </row>
    <row r="9205" spans="1:4" x14ac:dyDescent="0.25">
      <c r="A9205" t="str">
        <f>T("   CN")</f>
        <v xml:space="preserve">   CN</v>
      </c>
      <c r="B9205" t="str">
        <f>T("   Chine")</f>
        <v xml:space="preserve">   Chine</v>
      </c>
      <c r="C9205">
        <v>4502017</v>
      </c>
      <c r="D9205">
        <v>12868</v>
      </c>
    </row>
    <row r="9206" spans="1:4" x14ac:dyDescent="0.25">
      <c r="A9206" t="str">
        <f>T("   FR")</f>
        <v xml:space="preserve">   FR</v>
      </c>
      <c r="B9206" t="str">
        <f>T("   France")</f>
        <v xml:space="preserve">   France</v>
      </c>
      <c r="C9206">
        <v>95377</v>
      </c>
      <c r="D9206">
        <v>80</v>
      </c>
    </row>
    <row r="9207" spans="1:4" x14ac:dyDescent="0.25">
      <c r="A9207" t="str">
        <f>T("   GH")</f>
        <v xml:space="preserve">   GH</v>
      </c>
      <c r="B9207" t="str">
        <f>T("   Ghana")</f>
        <v xml:space="preserve">   Ghana</v>
      </c>
      <c r="C9207">
        <v>1269725</v>
      </c>
      <c r="D9207">
        <v>9200</v>
      </c>
    </row>
    <row r="9208" spans="1:4" x14ac:dyDescent="0.25">
      <c r="A9208" t="str">
        <f>T("731512")</f>
        <v>731512</v>
      </c>
      <c r="B9208" t="str">
        <f>T("Chaînes à maillons articulés en fonte, fer ou acier (autres qu'à rouleaux)")</f>
        <v>Chaînes à maillons articulés en fonte, fer ou acier (autres qu'à rouleaux)</v>
      </c>
    </row>
    <row r="9209" spans="1:4" x14ac:dyDescent="0.25">
      <c r="A9209" t="str">
        <f>T("   ZZZ_Monde")</f>
        <v xml:space="preserve">   ZZZ_Monde</v>
      </c>
      <c r="B9209" t="str">
        <f>T("   ZZZ_Monde")</f>
        <v xml:space="preserve">   ZZZ_Monde</v>
      </c>
      <c r="C9209">
        <v>8851295</v>
      </c>
      <c r="D9209">
        <v>840</v>
      </c>
    </row>
    <row r="9210" spans="1:4" x14ac:dyDescent="0.25">
      <c r="A9210" t="str">
        <f>T("   BE")</f>
        <v xml:space="preserve">   BE</v>
      </c>
      <c r="B9210" t="str">
        <f>T("   Belgique")</f>
        <v xml:space="preserve">   Belgique</v>
      </c>
      <c r="C9210">
        <v>409320</v>
      </c>
      <c r="D9210">
        <v>26</v>
      </c>
    </row>
    <row r="9211" spans="1:4" x14ac:dyDescent="0.25">
      <c r="A9211" t="str">
        <f>T("   DE")</f>
        <v xml:space="preserve">   DE</v>
      </c>
      <c r="B9211" t="str">
        <f>T("   Allemagne")</f>
        <v xml:space="preserve">   Allemagne</v>
      </c>
      <c r="C9211">
        <v>5430692</v>
      </c>
      <c r="D9211">
        <v>587</v>
      </c>
    </row>
    <row r="9212" spans="1:4" x14ac:dyDescent="0.25">
      <c r="A9212" t="str">
        <f>T("   FR")</f>
        <v xml:space="preserve">   FR</v>
      </c>
      <c r="B9212" t="str">
        <f>T("   France")</f>
        <v xml:space="preserve">   France</v>
      </c>
      <c r="C9212">
        <v>3011283</v>
      </c>
      <c r="D9212">
        <v>227</v>
      </c>
    </row>
    <row r="9213" spans="1:4" x14ac:dyDescent="0.25">
      <c r="A9213" t="str">
        <f>T("731519")</f>
        <v>731519</v>
      </c>
      <c r="B9213" t="str">
        <f>T("Parties de chaînes à maillons articulés en fonte, fer ou acier")</f>
        <v>Parties de chaînes à maillons articulés en fonte, fer ou acier</v>
      </c>
    </row>
    <row r="9214" spans="1:4" x14ac:dyDescent="0.25">
      <c r="A9214" t="str">
        <f>T("   ZZZ_Monde")</f>
        <v xml:space="preserve">   ZZZ_Monde</v>
      </c>
      <c r="B9214" t="str">
        <f>T("   ZZZ_Monde")</f>
        <v xml:space="preserve">   ZZZ_Monde</v>
      </c>
      <c r="C9214">
        <v>1704089</v>
      </c>
      <c r="D9214">
        <v>1000</v>
      </c>
    </row>
    <row r="9215" spans="1:4" x14ac:dyDescent="0.25">
      <c r="A9215" t="str">
        <f>T("   CN")</f>
        <v xml:space="preserve">   CN</v>
      </c>
      <c r="B9215" t="str">
        <f>T("   Chine")</f>
        <v xml:space="preserve">   Chine</v>
      </c>
      <c r="C9215">
        <v>1704089</v>
      </c>
      <c r="D9215">
        <v>1000</v>
      </c>
    </row>
    <row r="9216" spans="1:4" x14ac:dyDescent="0.25">
      <c r="A9216" t="str">
        <f>T("731582")</f>
        <v>731582</v>
      </c>
      <c r="B9216" t="str">
        <f>T("CHAÎNES EN FONTE, FER OU ACIER, À MAILLONS SOUDÉS (SAUF CHAÎNES À MAILLONS ARTICULÉS, ANTIDÉRAPANTES ET À MAILLONS À ÉTAIS)")</f>
        <v>CHAÎNES EN FONTE, FER OU ACIER, À MAILLONS SOUDÉS (SAUF CHAÎNES À MAILLONS ARTICULÉS, ANTIDÉRAPANTES ET À MAILLONS À ÉTAIS)</v>
      </c>
    </row>
    <row r="9217" spans="1:4" x14ac:dyDescent="0.25">
      <c r="A9217" t="str">
        <f>T("   ZZZ_Monde")</f>
        <v xml:space="preserve">   ZZZ_Monde</v>
      </c>
      <c r="B9217" t="str">
        <f>T("   ZZZ_Monde")</f>
        <v xml:space="preserve">   ZZZ_Monde</v>
      </c>
      <c r="C9217">
        <v>7564413</v>
      </c>
      <c r="D9217">
        <v>7640</v>
      </c>
    </row>
    <row r="9218" spans="1:4" x14ac:dyDescent="0.25">
      <c r="A9218" t="str">
        <f>T("   FR")</f>
        <v xml:space="preserve">   FR</v>
      </c>
      <c r="B9218" t="str">
        <f>T("   France")</f>
        <v xml:space="preserve">   France</v>
      </c>
      <c r="C9218">
        <v>7564413</v>
      </c>
      <c r="D9218">
        <v>7640</v>
      </c>
    </row>
    <row r="9219" spans="1:4" x14ac:dyDescent="0.25">
      <c r="A9219" t="str">
        <f>T("731589")</f>
        <v>731589</v>
      </c>
      <c r="B9219" t="str">
        <f>T("Chaînes et chaînettes en fonte, fer ou acier (sauf chaînes à maillons articulés, antidérapantes, à maillons à étais, à maillons soudés, et leurs parties; chaînes et chaînettes de montres, d'horloges ou de bijouterie; chaînes dentées et à scie; chenilles,")</f>
        <v>Chaînes et chaînettes en fonte, fer ou acier (sauf chaînes à maillons articulés, antidérapantes, à maillons à étais, à maillons soudés, et leurs parties; chaînes et chaînettes de montres, d'horloges ou de bijouterie; chaînes dentées et à scie; chenilles,</v>
      </c>
    </row>
    <row r="9220" spans="1:4" x14ac:dyDescent="0.25">
      <c r="A9220" t="str">
        <f>T("   ZZZ_Monde")</f>
        <v xml:space="preserve">   ZZZ_Monde</v>
      </c>
      <c r="B9220" t="str">
        <f>T("   ZZZ_Monde")</f>
        <v xml:space="preserve">   ZZZ_Monde</v>
      </c>
      <c r="C9220">
        <v>38604269</v>
      </c>
      <c r="D9220">
        <v>7324.2</v>
      </c>
    </row>
    <row r="9221" spans="1:4" x14ac:dyDescent="0.25">
      <c r="A9221" t="str">
        <f>T("   BE")</f>
        <v xml:space="preserve">   BE</v>
      </c>
      <c r="B9221" t="str">
        <f>T("   Belgique")</f>
        <v xml:space="preserve">   Belgique</v>
      </c>
      <c r="C9221">
        <v>327980</v>
      </c>
      <c r="D9221">
        <v>1525</v>
      </c>
    </row>
    <row r="9222" spans="1:4" x14ac:dyDescent="0.25">
      <c r="A9222" t="str">
        <f>T("   FR")</f>
        <v xml:space="preserve">   FR</v>
      </c>
      <c r="B9222" t="str">
        <f>T("   France")</f>
        <v xml:space="preserve">   France</v>
      </c>
      <c r="C9222">
        <v>38190640</v>
      </c>
      <c r="D9222">
        <v>5796.2</v>
      </c>
    </row>
    <row r="9223" spans="1:4" x14ac:dyDescent="0.25">
      <c r="A9223" t="str">
        <f>T("   JP")</f>
        <v xml:space="preserve">   JP</v>
      </c>
      <c r="B9223" t="str">
        <f>T("   Japon")</f>
        <v xml:space="preserve">   Japon</v>
      </c>
      <c r="C9223">
        <v>85649</v>
      </c>
      <c r="D9223">
        <v>3</v>
      </c>
    </row>
    <row r="9224" spans="1:4" x14ac:dyDescent="0.25">
      <c r="A9224" t="str">
        <f>T("731590")</f>
        <v>731590</v>
      </c>
      <c r="B9224" t="str">
        <f>T("Parties de chaînes et chaînettes antidérapantes, à maillons à étais, et autres chaînes et chaînettes du n° 7315 (sauf de chaînes à maillons articulés)")</f>
        <v>Parties de chaînes et chaînettes antidérapantes, à maillons à étais, et autres chaînes et chaînettes du n° 7315 (sauf de chaînes à maillons articulés)</v>
      </c>
    </row>
    <row r="9225" spans="1:4" x14ac:dyDescent="0.25">
      <c r="A9225" t="str">
        <f>T("   ZZZ_Monde")</f>
        <v xml:space="preserve">   ZZZ_Monde</v>
      </c>
      <c r="B9225" t="str">
        <f>T("   ZZZ_Monde")</f>
        <v xml:space="preserve">   ZZZ_Monde</v>
      </c>
      <c r="C9225">
        <v>97280268</v>
      </c>
      <c r="D9225">
        <v>31622</v>
      </c>
    </row>
    <row r="9226" spans="1:4" x14ac:dyDescent="0.25">
      <c r="A9226" t="str">
        <f>T("   AE")</f>
        <v xml:space="preserve">   AE</v>
      </c>
      <c r="B9226" t="str">
        <f>T("   Emirats Arabes Unis")</f>
        <v xml:space="preserve">   Emirats Arabes Unis</v>
      </c>
      <c r="C9226">
        <v>40670</v>
      </c>
      <c r="D9226">
        <v>256</v>
      </c>
    </row>
    <row r="9227" spans="1:4" x14ac:dyDescent="0.25">
      <c r="A9227" t="str">
        <f>T("   CH")</f>
        <v xml:space="preserve">   CH</v>
      </c>
      <c r="B9227" t="str">
        <f>T("   Suisse")</f>
        <v xml:space="preserve">   Suisse</v>
      </c>
      <c r="C9227">
        <v>59380851</v>
      </c>
      <c r="D9227">
        <v>7303</v>
      </c>
    </row>
    <row r="9228" spans="1:4" x14ac:dyDescent="0.25">
      <c r="A9228" t="str">
        <f>T("   DE")</f>
        <v xml:space="preserve">   DE</v>
      </c>
      <c r="B9228" t="str">
        <f>T("   Allemagne")</f>
        <v xml:space="preserve">   Allemagne</v>
      </c>
      <c r="C9228">
        <v>26521775</v>
      </c>
      <c r="D9228">
        <v>3656</v>
      </c>
    </row>
    <row r="9229" spans="1:4" x14ac:dyDescent="0.25">
      <c r="A9229" t="str">
        <f>T("   DK")</f>
        <v xml:space="preserve">   DK</v>
      </c>
      <c r="B9229" t="str">
        <f>T("   Danemark")</f>
        <v xml:space="preserve">   Danemark</v>
      </c>
      <c r="C9229">
        <v>3978398</v>
      </c>
      <c r="D9229">
        <v>386</v>
      </c>
    </row>
    <row r="9230" spans="1:4" x14ac:dyDescent="0.25">
      <c r="A9230" t="str">
        <f>T("   FR")</f>
        <v xml:space="preserve">   FR</v>
      </c>
      <c r="B9230" t="str">
        <f>T("   France")</f>
        <v xml:space="preserve">   France</v>
      </c>
      <c r="C9230">
        <v>7358574</v>
      </c>
      <c r="D9230">
        <v>20021</v>
      </c>
    </row>
    <row r="9231" spans="1:4" x14ac:dyDescent="0.25">
      <c r="A9231" t="str">
        <f>T("731600")</f>
        <v>731600</v>
      </c>
      <c r="B9231" t="str">
        <f>T("Ancres, grappins et leurs parties, en fonte, fer ou acier")</f>
        <v>Ancres, grappins et leurs parties, en fonte, fer ou acier</v>
      </c>
    </row>
    <row r="9232" spans="1:4" x14ac:dyDescent="0.25">
      <c r="A9232" t="str">
        <f>T("   ZZZ_Monde")</f>
        <v xml:space="preserve">   ZZZ_Monde</v>
      </c>
      <c r="B9232" t="str">
        <f>T("   ZZZ_Monde")</f>
        <v xml:space="preserve">   ZZZ_Monde</v>
      </c>
      <c r="C9232">
        <v>8646902</v>
      </c>
      <c r="D9232">
        <v>13671</v>
      </c>
    </row>
    <row r="9233" spans="1:4" x14ac:dyDescent="0.25">
      <c r="A9233" t="str">
        <f>T("   CN")</f>
        <v xml:space="preserve">   CN</v>
      </c>
      <c r="B9233" t="str">
        <f>T("   Chine")</f>
        <v xml:space="preserve">   Chine</v>
      </c>
      <c r="C9233">
        <v>2938045</v>
      </c>
      <c r="D9233">
        <v>6950</v>
      </c>
    </row>
    <row r="9234" spans="1:4" x14ac:dyDescent="0.25">
      <c r="A9234" t="str">
        <f>T("   FR")</f>
        <v xml:space="preserve">   FR</v>
      </c>
      <c r="B9234" t="str">
        <f>T("   France")</f>
        <v xml:space="preserve">   France</v>
      </c>
      <c r="C9234">
        <v>5708857</v>
      </c>
      <c r="D9234">
        <v>6721</v>
      </c>
    </row>
    <row r="9235" spans="1:4" x14ac:dyDescent="0.25">
      <c r="A9235" t="str">
        <f>T("731700")</f>
        <v>731700</v>
      </c>
      <c r="B9235" t="str">
        <f>T("Pointes, clous, punaises, crampons appointés, agrafes ondulées ou biseautées et articles simil., en fonte, fer ou acier, même avec tête en autre matière (à l'excl. de ceux avec tête en cuivre et à l'excl. des agrafes en barrettes)")</f>
        <v>Pointes, clous, punaises, crampons appointés, agrafes ondulées ou biseautées et articles simil., en fonte, fer ou acier, même avec tête en autre matière (à l'excl. de ceux avec tête en cuivre et à l'excl. des agrafes en barrettes)</v>
      </c>
    </row>
    <row r="9236" spans="1:4" x14ac:dyDescent="0.25">
      <c r="A9236" t="str">
        <f>T("   ZZZ_Monde")</f>
        <v xml:space="preserve">   ZZZ_Monde</v>
      </c>
      <c r="B9236" t="str">
        <f>T("   ZZZ_Monde")</f>
        <v xml:space="preserve">   ZZZ_Monde</v>
      </c>
      <c r="C9236">
        <v>706692898</v>
      </c>
      <c r="D9236">
        <v>2836823</v>
      </c>
    </row>
    <row r="9237" spans="1:4" x14ac:dyDescent="0.25">
      <c r="A9237" t="str">
        <f>T("   BR")</f>
        <v xml:space="preserve">   BR</v>
      </c>
      <c r="B9237" t="str">
        <f>T("   Brésil")</f>
        <v xml:space="preserve">   Brésil</v>
      </c>
      <c r="C9237">
        <v>46115016</v>
      </c>
      <c r="D9237">
        <v>215000</v>
      </c>
    </row>
    <row r="9238" spans="1:4" x14ac:dyDescent="0.25">
      <c r="A9238" t="str">
        <f>T("   CI")</f>
        <v xml:space="preserve">   CI</v>
      </c>
      <c r="B9238" t="str">
        <f>T("   Côte d'Ivoire")</f>
        <v xml:space="preserve">   Côte d'Ivoire</v>
      </c>
      <c r="C9238">
        <v>99814144</v>
      </c>
      <c r="D9238">
        <v>245480</v>
      </c>
    </row>
    <row r="9239" spans="1:4" x14ac:dyDescent="0.25">
      <c r="A9239" t="str">
        <f>T("   CN")</f>
        <v xml:space="preserve">   CN</v>
      </c>
      <c r="B9239" t="str">
        <f>T("   Chine")</f>
        <v xml:space="preserve">   Chine</v>
      </c>
      <c r="C9239">
        <v>348240014</v>
      </c>
      <c r="D9239">
        <v>1458900</v>
      </c>
    </row>
    <row r="9240" spans="1:4" x14ac:dyDescent="0.25">
      <c r="A9240" t="str">
        <f>T("   FR")</f>
        <v xml:space="preserve">   FR</v>
      </c>
      <c r="B9240" t="str">
        <f>T("   France")</f>
        <v xml:space="preserve">   France</v>
      </c>
      <c r="C9240">
        <v>1336924</v>
      </c>
      <c r="D9240">
        <v>2855</v>
      </c>
    </row>
    <row r="9241" spans="1:4" x14ac:dyDescent="0.25">
      <c r="A9241" t="str">
        <f>T("   GH")</f>
        <v xml:space="preserve">   GH</v>
      </c>
      <c r="B9241" t="str">
        <f>T("   Ghana")</f>
        <v xml:space="preserve">   Ghana</v>
      </c>
      <c r="C9241">
        <v>4700000</v>
      </c>
      <c r="D9241">
        <v>27242</v>
      </c>
    </row>
    <row r="9242" spans="1:4" x14ac:dyDescent="0.25">
      <c r="A9242" t="str">
        <f>T("   IT")</f>
        <v xml:space="preserve">   IT</v>
      </c>
      <c r="B9242" t="str">
        <f>T("   Italie")</f>
        <v xml:space="preserve">   Italie</v>
      </c>
      <c r="C9242">
        <v>1192535</v>
      </c>
      <c r="D9242">
        <v>934</v>
      </c>
    </row>
    <row r="9243" spans="1:4" x14ac:dyDescent="0.25">
      <c r="A9243" t="str">
        <f>T("   NG")</f>
        <v xml:space="preserve">   NG</v>
      </c>
      <c r="B9243" t="str">
        <f>T("   Nigéria")</f>
        <v xml:space="preserve">   Nigéria</v>
      </c>
      <c r="C9243">
        <v>34500</v>
      </c>
      <c r="D9243">
        <v>115</v>
      </c>
    </row>
    <row r="9244" spans="1:4" x14ac:dyDescent="0.25">
      <c r="A9244" t="str">
        <f>T("   TG")</f>
        <v xml:space="preserve">   TG</v>
      </c>
      <c r="B9244" t="str">
        <f>T("   Togo")</f>
        <v xml:space="preserve">   Togo</v>
      </c>
      <c r="C9244">
        <v>205259765</v>
      </c>
      <c r="D9244">
        <v>886297</v>
      </c>
    </row>
    <row r="9245" spans="1:4" x14ac:dyDescent="0.25">
      <c r="A9245" t="str">
        <f>T("731811")</f>
        <v>731811</v>
      </c>
      <c r="B9245" t="str">
        <f>T("Tire-fond en fonte, fer ou acier")</f>
        <v>Tire-fond en fonte, fer ou acier</v>
      </c>
    </row>
    <row r="9246" spans="1:4" x14ac:dyDescent="0.25">
      <c r="A9246" t="str">
        <f>T("   ZZZ_Monde")</f>
        <v xml:space="preserve">   ZZZ_Monde</v>
      </c>
      <c r="B9246" t="str">
        <f>T("   ZZZ_Monde")</f>
        <v xml:space="preserve">   ZZZ_Monde</v>
      </c>
      <c r="C9246">
        <v>1031176</v>
      </c>
      <c r="D9246">
        <v>5351</v>
      </c>
    </row>
    <row r="9247" spans="1:4" x14ac:dyDescent="0.25">
      <c r="A9247" t="str">
        <f>T("   FR")</f>
        <v xml:space="preserve">   FR</v>
      </c>
      <c r="B9247" t="str">
        <f>T("   France")</f>
        <v xml:space="preserve">   France</v>
      </c>
      <c r="C9247">
        <v>1031176</v>
      </c>
      <c r="D9247">
        <v>5351</v>
      </c>
    </row>
    <row r="9248" spans="1:4" x14ac:dyDescent="0.25">
      <c r="A9248" t="str">
        <f>T("731812")</f>
        <v>731812</v>
      </c>
      <c r="B9248" t="str">
        <f>T("Vis à bois en fonte, fer ou acier (autres que tire-fond)")</f>
        <v>Vis à bois en fonte, fer ou acier (autres que tire-fond)</v>
      </c>
    </row>
    <row r="9249" spans="1:4" x14ac:dyDescent="0.25">
      <c r="A9249" t="str">
        <f>T("   ZZZ_Monde")</f>
        <v xml:space="preserve">   ZZZ_Monde</v>
      </c>
      <c r="B9249" t="str">
        <f>T("   ZZZ_Monde")</f>
        <v xml:space="preserve">   ZZZ_Monde</v>
      </c>
      <c r="C9249">
        <v>2198934</v>
      </c>
      <c r="D9249">
        <v>4644</v>
      </c>
    </row>
    <row r="9250" spans="1:4" x14ac:dyDescent="0.25">
      <c r="A9250" t="str">
        <f>T("   AE")</f>
        <v xml:space="preserve">   AE</v>
      </c>
      <c r="B9250" t="str">
        <f>T("   Emirats Arabes Unis")</f>
        <v xml:space="preserve">   Emirats Arabes Unis</v>
      </c>
      <c r="C9250">
        <v>637478</v>
      </c>
      <c r="D9250">
        <v>1</v>
      </c>
    </row>
    <row r="9251" spans="1:4" x14ac:dyDescent="0.25">
      <c r="A9251" t="str">
        <f>T("   CN")</f>
        <v xml:space="preserve">   CN</v>
      </c>
      <c r="B9251" t="str">
        <f>T("   Chine")</f>
        <v xml:space="preserve">   Chine</v>
      </c>
      <c r="C9251">
        <v>735802</v>
      </c>
      <c r="D9251">
        <v>2259</v>
      </c>
    </row>
    <row r="9252" spans="1:4" x14ac:dyDescent="0.25">
      <c r="A9252" t="str">
        <f>T("   FR")</f>
        <v xml:space="preserve">   FR</v>
      </c>
      <c r="B9252" t="str">
        <f>T("   France")</f>
        <v xml:space="preserve">   France</v>
      </c>
      <c r="C9252">
        <v>701503</v>
      </c>
      <c r="D9252">
        <v>2126</v>
      </c>
    </row>
    <row r="9253" spans="1:4" x14ac:dyDescent="0.25">
      <c r="A9253" t="str">
        <f>T("   LB")</f>
        <v xml:space="preserve">   LB</v>
      </c>
      <c r="B9253" t="str">
        <f>T("   Liban")</f>
        <v xml:space="preserve">   Liban</v>
      </c>
      <c r="C9253">
        <v>124151</v>
      </c>
      <c r="D9253">
        <v>258</v>
      </c>
    </row>
    <row r="9254" spans="1:4" x14ac:dyDescent="0.25">
      <c r="A9254" t="str">
        <f>T("731813")</f>
        <v>731813</v>
      </c>
      <c r="B9254" t="str">
        <f>T("Crochets et pitons à pas de vis en fonte, fer ou acier")</f>
        <v>Crochets et pitons à pas de vis en fonte, fer ou acier</v>
      </c>
    </row>
    <row r="9255" spans="1:4" x14ac:dyDescent="0.25">
      <c r="A9255" t="str">
        <f>T("   ZZZ_Monde")</f>
        <v xml:space="preserve">   ZZZ_Monde</v>
      </c>
      <c r="B9255" t="str">
        <f>T("   ZZZ_Monde")</f>
        <v xml:space="preserve">   ZZZ_Monde</v>
      </c>
      <c r="C9255">
        <v>757634</v>
      </c>
      <c r="D9255">
        <v>42</v>
      </c>
    </row>
    <row r="9256" spans="1:4" x14ac:dyDescent="0.25">
      <c r="A9256" t="str">
        <f>T("   FR")</f>
        <v xml:space="preserve">   FR</v>
      </c>
      <c r="B9256" t="str">
        <f>T("   France")</f>
        <v xml:space="preserve">   France</v>
      </c>
      <c r="C9256">
        <v>150215</v>
      </c>
      <c r="D9256">
        <v>39</v>
      </c>
    </row>
    <row r="9257" spans="1:4" x14ac:dyDescent="0.25">
      <c r="A9257" t="str">
        <f>T("   IT")</f>
        <v xml:space="preserve">   IT</v>
      </c>
      <c r="B9257" t="str">
        <f>T("   Italie")</f>
        <v xml:space="preserve">   Italie</v>
      </c>
      <c r="C9257">
        <v>607419</v>
      </c>
      <c r="D9257">
        <v>3</v>
      </c>
    </row>
    <row r="9258" spans="1:4" x14ac:dyDescent="0.25">
      <c r="A9258" t="str">
        <f>T("731814")</f>
        <v>731814</v>
      </c>
      <c r="B9258" t="str">
        <f>T("Vis autotaraudeuses en fonte, fer ou acier (autres que vis à bois)")</f>
        <v>Vis autotaraudeuses en fonte, fer ou acier (autres que vis à bois)</v>
      </c>
    </row>
    <row r="9259" spans="1:4" x14ac:dyDescent="0.25">
      <c r="A9259" t="str">
        <f>T("   ZZZ_Monde")</f>
        <v xml:space="preserve">   ZZZ_Monde</v>
      </c>
      <c r="B9259" t="str">
        <f>T("   ZZZ_Monde")</f>
        <v xml:space="preserve">   ZZZ_Monde</v>
      </c>
      <c r="C9259">
        <v>1200000</v>
      </c>
      <c r="D9259">
        <v>400</v>
      </c>
    </row>
    <row r="9260" spans="1:4" x14ac:dyDescent="0.25">
      <c r="A9260" t="str">
        <f>T("   IT")</f>
        <v xml:space="preserve">   IT</v>
      </c>
      <c r="B9260" t="str">
        <f>T("   Italie")</f>
        <v xml:space="preserve">   Italie</v>
      </c>
      <c r="C9260">
        <v>1200000</v>
      </c>
      <c r="D9260">
        <v>400</v>
      </c>
    </row>
    <row r="9261" spans="1:4" x14ac:dyDescent="0.25">
      <c r="A9261" t="str">
        <f>T("731815")</f>
        <v>731815</v>
      </c>
      <c r="B9261" t="str">
        <f>T("Vis et boulons filetés, en fonte, fer ou acier, même avec leurs écrous ou rondelles (à l'excl. des tire-fond et autres vis à bois, crochets et pitons à pas de vis, vis autotaraudeuses, clous taraudeurs ainsi que des chevilles vissées, tampons et articles")</f>
        <v>Vis et boulons filetés, en fonte, fer ou acier, même avec leurs écrous ou rondelles (à l'excl. des tire-fond et autres vis à bois, crochets et pitons à pas de vis, vis autotaraudeuses, clous taraudeurs ainsi que des chevilles vissées, tampons et articles</v>
      </c>
    </row>
    <row r="9262" spans="1:4" x14ac:dyDescent="0.25">
      <c r="A9262" t="str">
        <f>T("   ZZZ_Monde")</f>
        <v xml:space="preserve">   ZZZ_Monde</v>
      </c>
      <c r="B9262" t="str">
        <f>T("   ZZZ_Monde")</f>
        <v xml:space="preserve">   ZZZ_Monde</v>
      </c>
      <c r="C9262">
        <v>218195771</v>
      </c>
      <c r="D9262">
        <v>122046.75</v>
      </c>
    </row>
    <row r="9263" spans="1:4" x14ac:dyDescent="0.25">
      <c r="A9263" t="str">
        <f>T("   AE")</f>
        <v xml:space="preserve">   AE</v>
      </c>
      <c r="B9263" t="str">
        <f>T("   Emirats Arabes Unis")</f>
        <v xml:space="preserve">   Emirats Arabes Unis</v>
      </c>
      <c r="C9263">
        <v>485539</v>
      </c>
      <c r="D9263">
        <v>923</v>
      </c>
    </row>
    <row r="9264" spans="1:4" x14ac:dyDescent="0.25">
      <c r="A9264" t="str">
        <f>T("   AT")</f>
        <v xml:space="preserve">   AT</v>
      </c>
      <c r="B9264" t="str">
        <f>T("   Autriche")</f>
        <v xml:space="preserve">   Autriche</v>
      </c>
      <c r="C9264">
        <v>8892030</v>
      </c>
      <c r="D9264">
        <v>732.6</v>
      </c>
    </row>
    <row r="9265" spans="1:4" x14ac:dyDescent="0.25">
      <c r="A9265" t="str">
        <f>T("   BE")</f>
        <v xml:space="preserve">   BE</v>
      </c>
      <c r="B9265" t="str">
        <f>T("   Belgique")</f>
        <v xml:space="preserve">   Belgique</v>
      </c>
      <c r="C9265">
        <v>8861316</v>
      </c>
      <c r="D9265">
        <v>920.9</v>
      </c>
    </row>
    <row r="9266" spans="1:4" x14ac:dyDescent="0.25">
      <c r="A9266" t="str">
        <f>T("   CA")</f>
        <v xml:space="preserve">   CA</v>
      </c>
      <c r="B9266" t="str">
        <f>T("   Canada")</f>
        <v xml:space="preserve">   Canada</v>
      </c>
      <c r="C9266">
        <v>2811867</v>
      </c>
      <c r="D9266">
        <v>1427</v>
      </c>
    </row>
    <row r="9267" spans="1:4" x14ac:dyDescent="0.25">
      <c r="A9267" t="str">
        <f>T("   CH")</f>
        <v xml:space="preserve">   CH</v>
      </c>
      <c r="B9267" t="str">
        <f>T("   Suisse")</f>
        <v xml:space="preserve">   Suisse</v>
      </c>
      <c r="C9267">
        <v>1730921</v>
      </c>
      <c r="D9267">
        <v>8</v>
      </c>
    </row>
    <row r="9268" spans="1:4" x14ac:dyDescent="0.25">
      <c r="A9268" t="str">
        <f>T("   CN")</f>
        <v xml:space="preserve">   CN</v>
      </c>
      <c r="B9268" t="str">
        <f>T("   Chine")</f>
        <v xml:space="preserve">   Chine</v>
      </c>
      <c r="C9268">
        <v>88273117</v>
      </c>
      <c r="D9268">
        <v>89971</v>
      </c>
    </row>
    <row r="9269" spans="1:4" x14ac:dyDescent="0.25">
      <c r="A9269" t="str">
        <f>T("   DE")</f>
        <v xml:space="preserve">   DE</v>
      </c>
      <c r="B9269" t="str">
        <f>T("   Allemagne")</f>
        <v xml:space="preserve">   Allemagne</v>
      </c>
      <c r="C9269">
        <v>3604911</v>
      </c>
      <c r="D9269">
        <v>375.25</v>
      </c>
    </row>
    <row r="9270" spans="1:4" x14ac:dyDescent="0.25">
      <c r="A9270" t="str">
        <f>T("   DK")</f>
        <v xml:space="preserve">   DK</v>
      </c>
      <c r="B9270" t="str">
        <f>T("   Danemark")</f>
        <v xml:space="preserve">   Danemark</v>
      </c>
      <c r="C9270">
        <v>4708481</v>
      </c>
      <c r="D9270">
        <v>297</v>
      </c>
    </row>
    <row r="9271" spans="1:4" x14ac:dyDescent="0.25">
      <c r="A9271" t="str">
        <f>T("   ES")</f>
        <v xml:space="preserve">   ES</v>
      </c>
      <c r="B9271" t="str">
        <f>T("   Espagne")</f>
        <v xml:space="preserve">   Espagne</v>
      </c>
      <c r="C9271">
        <v>1251571</v>
      </c>
      <c r="D9271">
        <v>527</v>
      </c>
    </row>
    <row r="9272" spans="1:4" x14ac:dyDescent="0.25">
      <c r="A9272" t="str">
        <f>T("   FR")</f>
        <v xml:space="preserve">   FR</v>
      </c>
      <c r="B9272" t="str">
        <f>T("   France")</f>
        <v xml:space="preserve">   France</v>
      </c>
      <c r="C9272">
        <v>81153875</v>
      </c>
      <c r="D9272">
        <v>18335.5</v>
      </c>
    </row>
    <row r="9273" spans="1:4" x14ac:dyDescent="0.25">
      <c r="A9273" t="str">
        <f>T("   GB")</f>
        <v xml:space="preserve">   GB</v>
      </c>
      <c r="B9273" t="str">
        <f>T("   Royaume-Uni")</f>
        <v xml:space="preserve">   Royaume-Uni</v>
      </c>
      <c r="C9273">
        <v>568700</v>
      </c>
      <c r="D9273">
        <v>68</v>
      </c>
    </row>
    <row r="9274" spans="1:4" x14ac:dyDescent="0.25">
      <c r="A9274" t="str">
        <f>T("   GH")</f>
        <v xml:space="preserve">   GH</v>
      </c>
      <c r="B9274" t="str">
        <f>T("   Ghana")</f>
        <v xml:space="preserve">   Ghana</v>
      </c>
      <c r="C9274">
        <v>7254919</v>
      </c>
      <c r="D9274">
        <v>2690</v>
      </c>
    </row>
    <row r="9275" spans="1:4" x14ac:dyDescent="0.25">
      <c r="A9275" t="str">
        <f>T("   IT")</f>
        <v xml:space="preserve">   IT</v>
      </c>
      <c r="B9275" t="str">
        <f>T("   Italie")</f>
        <v xml:space="preserve">   Italie</v>
      </c>
      <c r="C9275">
        <v>12063</v>
      </c>
      <c r="D9275">
        <v>1</v>
      </c>
    </row>
    <row r="9276" spans="1:4" x14ac:dyDescent="0.25">
      <c r="A9276" t="str">
        <f>T("   LB")</f>
        <v xml:space="preserve">   LB</v>
      </c>
      <c r="B9276" t="str">
        <f>T("   Liban")</f>
        <v xml:space="preserve">   Liban</v>
      </c>
      <c r="C9276">
        <v>727773</v>
      </c>
      <c r="D9276">
        <v>1661</v>
      </c>
    </row>
    <row r="9277" spans="1:4" x14ac:dyDescent="0.25">
      <c r="A9277" t="str">
        <f>T("   NG")</f>
        <v xml:space="preserve">   NG</v>
      </c>
      <c r="B9277" t="str">
        <f>T("   Nigéria")</f>
        <v xml:space="preserve">   Nigéria</v>
      </c>
      <c r="C9277">
        <v>1120000</v>
      </c>
      <c r="D9277">
        <v>1400</v>
      </c>
    </row>
    <row r="9278" spans="1:4" x14ac:dyDescent="0.25">
      <c r="A9278" t="str">
        <f>T("   NL")</f>
        <v xml:space="preserve">   NL</v>
      </c>
      <c r="B9278" t="str">
        <f>T("   Pays-bas")</f>
        <v xml:space="preserve">   Pays-bas</v>
      </c>
      <c r="C9278">
        <v>4265708</v>
      </c>
      <c r="D9278">
        <v>1001</v>
      </c>
    </row>
    <row r="9279" spans="1:4" x14ac:dyDescent="0.25">
      <c r="A9279" t="str">
        <f>T("   RU")</f>
        <v xml:space="preserve">   RU</v>
      </c>
      <c r="B9279" t="str">
        <f>T("   Russie, Fédération de")</f>
        <v xml:space="preserve">   Russie, Fédération de</v>
      </c>
      <c r="C9279">
        <v>169238</v>
      </c>
      <c r="D9279">
        <v>6</v>
      </c>
    </row>
    <row r="9280" spans="1:4" x14ac:dyDescent="0.25">
      <c r="A9280" t="str">
        <f>T("   SE")</f>
        <v xml:space="preserve">   SE</v>
      </c>
      <c r="B9280" t="str">
        <f>T("   Suède")</f>
        <v xml:space="preserve">   Suède</v>
      </c>
      <c r="C9280">
        <v>629881</v>
      </c>
      <c r="D9280">
        <v>10.5</v>
      </c>
    </row>
    <row r="9281" spans="1:4" x14ac:dyDescent="0.25">
      <c r="A9281" t="str">
        <f>T("   SY")</f>
        <v xml:space="preserve">   SY</v>
      </c>
      <c r="B9281" t="str">
        <f>T("   Syrienne, République arabe")</f>
        <v xml:space="preserve">   Syrienne, République arabe</v>
      </c>
      <c r="C9281">
        <v>287927</v>
      </c>
      <c r="D9281">
        <v>6</v>
      </c>
    </row>
    <row r="9282" spans="1:4" x14ac:dyDescent="0.25">
      <c r="A9282" t="str">
        <f>T("   TG")</f>
        <v xml:space="preserve">   TG</v>
      </c>
      <c r="B9282" t="str">
        <f>T("   Togo")</f>
        <v xml:space="preserve">   Togo</v>
      </c>
      <c r="C9282">
        <v>384351</v>
      </c>
      <c r="D9282">
        <v>1581</v>
      </c>
    </row>
    <row r="9283" spans="1:4" x14ac:dyDescent="0.25">
      <c r="A9283" t="str">
        <f>T("   US")</f>
        <v xml:space="preserve">   US</v>
      </c>
      <c r="B9283" t="str">
        <f>T("   Etats-Unis")</f>
        <v xml:space="preserve">   Etats-Unis</v>
      </c>
      <c r="C9283">
        <v>971384</v>
      </c>
      <c r="D9283">
        <v>103</v>
      </c>
    </row>
    <row r="9284" spans="1:4" x14ac:dyDescent="0.25">
      <c r="A9284" t="str">
        <f>T("   ZA")</f>
        <v xml:space="preserve">   ZA</v>
      </c>
      <c r="B9284" t="str">
        <f>T("   Afrique du Sud")</f>
        <v xml:space="preserve">   Afrique du Sud</v>
      </c>
      <c r="C9284">
        <v>30199</v>
      </c>
      <c r="D9284">
        <v>2</v>
      </c>
    </row>
    <row r="9285" spans="1:4" x14ac:dyDescent="0.25">
      <c r="A9285" t="str">
        <f>T("731816")</f>
        <v>731816</v>
      </c>
      <c r="B9285" t="str">
        <f>T("ÉCROUS EN FONTE, FER OU ACIER")</f>
        <v>ÉCROUS EN FONTE, FER OU ACIER</v>
      </c>
    </row>
    <row r="9286" spans="1:4" x14ac:dyDescent="0.25">
      <c r="A9286" t="str">
        <f>T("   ZZZ_Monde")</f>
        <v xml:space="preserve">   ZZZ_Monde</v>
      </c>
      <c r="B9286" t="str">
        <f>T("   ZZZ_Monde")</f>
        <v xml:space="preserve">   ZZZ_Monde</v>
      </c>
      <c r="C9286">
        <v>40404527</v>
      </c>
      <c r="D9286">
        <v>11332.95</v>
      </c>
    </row>
    <row r="9287" spans="1:4" x14ac:dyDescent="0.25">
      <c r="A9287" t="str">
        <f>T("   AT")</f>
        <v xml:space="preserve">   AT</v>
      </c>
      <c r="B9287" t="str">
        <f>T("   Autriche")</f>
        <v xml:space="preserve">   Autriche</v>
      </c>
      <c r="C9287">
        <v>133160</v>
      </c>
      <c r="D9287">
        <v>4</v>
      </c>
    </row>
    <row r="9288" spans="1:4" x14ac:dyDescent="0.25">
      <c r="A9288" t="str">
        <f>T("   BE")</f>
        <v xml:space="preserve">   BE</v>
      </c>
      <c r="B9288" t="str">
        <f>T("   Belgique")</f>
        <v xml:space="preserve">   Belgique</v>
      </c>
      <c r="C9288">
        <v>4383348</v>
      </c>
      <c r="D9288">
        <v>301.95</v>
      </c>
    </row>
    <row r="9289" spans="1:4" x14ac:dyDescent="0.25">
      <c r="A9289" t="str">
        <f>T("   CN")</f>
        <v xml:space="preserve">   CN</v>
      </c>
      <c r="B9289" t="str">
        <f>T("   Chine")</f>
        <v xml:space="preserve">   Chine</v>
      </c>
      <c r="C9289">
        <v>3993944</v>
      </c>
      <c r="D9289">
        <v>9300</v>
      </c>
    </row>
    <row r="9290" spans="1:4" x14ac:dyDescent="0.25">
      <c r="A9290" t="str">
        <f>T("   DE")</f>
        <v xml:space="preserve">   DE</v>
      </c>
      <c r="B9290" t="str">
        <f>T("   Allemagne")</f>
        <v xml:space="preserve">   Allemagne</v>
      </c>
      <c r="C9290">
        <v>323388</v>
      </c>
      <c r="D9290">
        <v>1</v>
      </c>
    </row>
    <row r="9291" spans="1:4" x14ac:dyDescent="0.25">
      <c r="A9291" t="str">
        <f>T("   FI")</f>
        <v xml:space="preserve">   FI</v>
      </c>
      <c r="B9291" t="str">
        <f>T("   Finlande")</f>
        <v xml:space="preserve">   Finlande</v>
      </c>
      <c r="C9291">
        <v>4451706</v>
      </c>
      <c r="D9291">
        <v>177</v>
      </c>
    </row>
    <row r="9292" spans="1:4" x14ac:dyDescent="0.25">
      <c r="A9292" t="str">
        <f>T("   FR")</f>
        <v xml:space="preserve">   FR</v>
      </c>
      <c r="B9292" t="str">
        <f>T("   France")</f>
        <v xml:space="preserve">   France</v>
      </c>
      <c r="C9292">
        <v>26352374</v>
      </c>
      <c r="D9292">
        <v>1469</v>
      </c>
    </row>
    <row r="9293" spans="1:4" x14ac:dyDescent="0.25">
      <c r="A9293" t="str">
        <f>T("   SY")</f>
        <v xml:space="preserve">   SY</v>
      </c>
      <c r="B9293" t="str">
        <f>T("   Syrienne, République arabe")</f>
        <v xml:space="preserve">   Syrienne, République arabe</v>
      </c>
      <c r="C9293">
        <v>766607</v>
      </c>
      <c r="D9293">
        <v>80</v>
      </c>
    </row>
    <row r="9294" spans="1:4" x14ac:dyDescent="0.25">
      <c r="A9294" t="str">
        <f>T("731819")</f>
        <v>731819</v>
      </c>
      <c r="B9294" t="str">
        <f>T("Articles de boulonnerie et de visserie, filetés, en fonte, fer ou acier, n.d.a.")</f>
        <v>Articles de boulonnerie et de visserie, filetés, en fonte, fer ou acier, n.d.a.</v>
      </c>
    </row>
    <row r="9295" spans="1:4" x14ac:dyDescent="0.25">
      <c r="A9295" t="str">
        <f>T("   ZZZ_Monde")</f>
        <v xml:space="preserve">   ZZZ_Monde</v>
      </c>
      <c r="B9295" t="str">
        <f>T("   ZZZ_Monde")</f>
        <v xml:space="preserve">   ZZZ_Monde</v>
      </c>
      <c r="C9295">
        <v>296285730</v>
      </c>
      <c r="D9295">
        <v>611639</v>
      </c>
    </row>
    <row r="9296" spans="1:4" x14ac:dyDescent="0.25">
      <c r="A9296" t="str">
        <f>T("   BE")</f>
        <v xml:space="preserve">   BE</v>
      </c>
      <c r="B9296" t="str">
        <f>T("   Belgique")</f>
        <v xml:space="preserve">   Belgique</v>
      </c>
      <c r="C9296">
        <v>497782</v>
      </c>
      <c r="D9296">
        <v>23</v>
      </c>
    </row>
    <row r="9297" spans="1:4" x14ac:dyDescent="0.25">
      <c r="A9297" t="str">
        <f>T("   BY")</f>
        <v xml:space="preserve">   BY</v>
      </c>
      <c r="B9297" t="str">
        <f>T("   Bélarus")</f>
        <v xml:space="preserve">   Bélarus</v>
      </c>
      <c r="C9297">
        <v>24796</v>
      </c>
      <c r="D9297">
        <v>2</v>
      </c>
    </row>
    <row r="9298" spans="1:4" x14ac:dyDescent="0.25">
      <c r="A9298" t="str">
        <f>T("   CH")</f>
        <v xml:space="preserve">   CH</v>
      </c>
      <c r="B9298" t="str">
        <f>T("   Suisse")</f>
        <v xml:space="preserve">   Suisse</v>
      </c>
      <c r="C9298">
        <v>6689651</v>
      </c>
      <c r="D9298">
        <v>138</v>
      </c>
    </row>
    <row r="9299" spans="1:4" x14ac:dyDescent="0.25">
      <c r="A9299" t="str">
        <f>T("   CN")</f>
        <v xml:space="preserve">   CN</v>
      </c>
      <c r="B9299" t="str">
        <f>T("   Chine")</f>
        <v xml:space="preserve">   Chine</v>
      </c>
      <c r="C9299">
        <v>263200526</v>
      </c>
      <c r="D9299">
        <v>603117</v>
      </c>
    </row>
    <row r="9300" spans="1:4" x14ac:dyDescent="0.25">
      <c r="A9300" t="str">
        <f>T("   DE")</f>
        <v xml:space="preserve">   DE</v>
      </c>
      <c r="B9300" t="str">
        <f>T("   Allemagne")</f>
        <v xml:space="preserve">   Allemagne</v>
      </c>
      <c r="C9300">
        <v>466854</v>
      </c>
      <c r="D9300">
        <v>7</v>
      </c>
    </row>
    <row r="9301" spans="1:4" x14ac:dyDescent="0.25">
      <c r="A9301" t="str">
        <f>T("   ES")</f>
        <v xml:space="preserve">   ES</v>
      </c>
      <c r="B9301" t="str">
        <f>T("   Espagne")</f>
        <v xml:space="preserve">   Espagne</v>
      </c>
      <c r="C9301">
        <v>4535308</v>
      </c>
      <c r="D9301">
        <v>759</v>
      </c>
    </row>
    <row r="9302" spans="1:4" x14ac:dyDescent="0.25">
      <c r="A9302" t="str">
        <f>T("   FR")</f>
        <v xml:space="preserve">   FR</v>
      </c>
      <c r="B9302" t="str">
        <f>T("   France")</f>
        <v xml:space="preserve">   France</v>
      </c>
      <c r="C9302">
        <v>17793410</v>
      </c>
      <c r="D9302">
        <v>2011</v>
      </c>
    </row>
    <row r="9303" spans="1:4" x14ac:dyDescent="0.25">
      <c r="A9303" t="str">
        <f>T("   GB")</f>
        <v xml:space="preserve">   GB</v>
      </c>
      <c r="B9303" t="str">
        <f>T("   Royaume-Uni")</f>
        <v xml:space="preserve">   Royaume-Uni</v>
      </c>
      <c r="C9303">
        <v>752622</v>
      </c>
      <c r="D9303">
        <v>31</v>
      </c>
    </row>
    <row r="9304" spans="1:4" x14ac:dyDescent="0.25">
      <c r="A9304" t="str">
        <f>T("   LB")</f>
        <v xml:space="preserve">   LB</v>
      </c>
      <c r="B9304" t="str">
        <f>T("   Liban")</f>
        <v xml:space="preserve">   Liban</v>
      </c>
      <c r="C9304">
        <v>1320130</v>
      </c>
      <c r="D9304">
        <v>5380</v>
      </c>
    </row>
    <row r="9305" spans="1:4" x14ac:dyDescent="0.25">
      <c r="A9305" t="str">
        <f>T("   NO")</f>
        <v xml:space="preserve">   NO</v>
      </c>
      <c r="B9305" t="str">
        <f>T("   Norvège")</f>
        <v xml:space="preserve">   Norvège</v>
      </c>
      <c r="C9305">
        <v>537336</v>
      </c>
      <c r="D9305">
        <v>130</v>
      </c>
    </row>
    <row r="9306" spans="1:4" x14ac:dyDescent="0.25">
      <c r="A9306" t="str">
        <f>T("   US")</f>
        <v xml:space="preserve">   US</v>
      </c>
      <c r="B9306" t="str">
        <f>T("   Etats-Unis")</f>
        <v xml:space="preserve">   Etats-Unis</v>
      </c>
      <c r="C9306">
        <v>467315</v>
      </c>
      <c r="D9306">
        <v>41</v>
      </c>
    </row>
    <row r="9307" spans="1:4" x14ac:dyDescent="0.25">
      <c r="A9307" t="str">
        <f>T("731821")</f>
        <v>731821</v>
      </c>
      <c r="B9307" t="str">
        <f>T("Rondelles destinées à faire ressort et autres rondelles de blocage, en fonte, fer ou acier")</f>
        <v>Rondelles destinées à faire ressort et autres rondelles de blocage, en fonte, fer ou acier</v>
      </c>
    </row>
    <row r="9308" spans="1:4" x14ac:dyDescent="0.25">
      <c r="A9308" t="str">
        <f>T("   ZZZ_Monde")</f>
        <v xml:space="preserve">   ZZZ_Monde</v>
      </c>
      <c r="B9308" t="str">
        <f>T("   ZZZ_Monde")</f>
        <v xml:space="preserve">   ZZZ_Monde</v>
      </c>
      <c r="C9308">
        <v>9471806</v>
      </c>
      <c r="D9308">
        <v>1551</v>
      </c>
    </row>
    <row r="9309" spans="1:4" x14ac:dyDescent="0.25">
      <c r="A9309" t="str">
        <f>T("   CN")</f>
        <v xml:space="preserve">   CN</v>
      </c>
      <c r="B9309" t="str">
        <f>T("   Chine")</f>
        <v xml:space="preserve">   Chine</v>
      </c>
      <c r="C9309">
        <v>94853</v>
      </c>
      <c r="D9309">
        <v>1500</v>
      </c>
    </row>
    <row r="9310" spans="1:4" x14ac:dyDescent="0.25">
      <c r="A9310" t="str">
        <f>T("   DE")</f>
        <v xml:space="preserve">   DE</v>
      </c>
      <c r="B9310" t="str">
        <f>T("   Allemagne")</f>
        <v xml:space="preserve">   Allemagne</v>
      </c>
      <c r="C9310">
        <v>8173923</v>
      </c>
      <c r="D9310">
        <v>5</v>
      </c>
    </row>
    <row r="9311" spans="1:4" x14ac:dyDescent="0.25">
      <c r="A9311" t="str">
        <f>T("   FR")</f>
        <v xml:space="preserve">   FR</v>
      </c>
      <c r="B9311" t="str">
        <f>T("   France")</f>
        <v xml:space="preserve">   France</v>
      </c>
      <c r="C9311">
        <v>1203030</v>
      </c>
      <c r="D9311">
        <v>46</v>
      </c>
    </row>
    <row r="9312" spans="1:4" x14ac:dyDescent="0.25">
      <c r="A9312" t="str">
        <f>T("731822")</f>
        <v>731822</v>
      </c>
      <c r="B9312" t="str">
        <f>T("Rondelles en fonte, fer ou acier (sauf rondelles destinées à faire ressort et autres rondelles de blocage)")</f>
        <v>Rondelles en fonte, fer ou acier (sauf rondelles destinées à faire ressort et autres rondelles de blocage)</v>
      </c>
    </row>
    <row r="9313" spans="1:4" x14ac:dyDescent="0.25">
      <c r="A9313" t="str">
        <f>T("   ZZZ_Monde")</f>
        <v xml:space="preserve">   ZZZ_Monde</v>
      </c>
      <c r="B9313" t="str">
        <f>T("   ZZZ_Monde")</f>
        <v xml:space="preserve">   ZZZ_Monde</v>
      </c>
      <c r="C9313">
        <v>10539466</v>
      </c>
      <c r="D9313">
        <v>1128.67</v>
      </c>
    </row>
    <row r="9314" spans="1:4" x14ac:dyDescent="0.25">
      <c r="A9314" t="str">
        <f>T("   AT")</f>
        <v xml:space="preserve">   AT</v>
      </c>
      <c r="B9314" t="str">
        <f>T("   Autriche")</f>
        <v xml:space="preserve">   Autriche</v>
      </c>
      <c r="C9314">
        <v>278783</v>
      </c>
      <c r="D9314">
        <v>15</v>
      </c>
    </row>
    <row r="9315" spans="1:4" x14ac:dyDescent="0.25">
      <c r="A9315" t="str">
        <f>T("   BE")</f>
        <v xml:space="preserve">   BE</v>
      </c>
      <c r="B9315" t="str">
        <f>T("   Belgique")</f>
        <v xml:space="preserve">   Belgique</v>
      </c>
      <c r="C9315">
        <v>1254300</v>
      </c>
      <c r="D9315">
        <v>38</v>
      </c>
    </row>
    <row r="9316" spans="1:4" x14ac:dyDescent="0.25">
      <c r="A9316" t="str">
        <f>T("   DE")</f>
        <v xml:space="preserve">   DE</v>
      </c>
      <c r="B9316" t="str">
        <f>T("   Allemagne")</f>
        <v xml:space="preserve">   Allemagne</v>
      </c>
      <c r="C9316">
        <v>113707</v>
      </c>
      <c r="D9316">
        <v>1</v>
      </c>
    </row>
    <row r="9317" spans="1:4" x14ac:dyDescent="0.25">
      <c r="A9317" t="str">
        <f>T("   FR")</f>
        <v xml:space="preserve">   FR</v>
      </c>
      <c r="B9317" t="str">
        <f>T("   France")</f>
        <v xml:space="preserve">   France</v>
      </c>
      <c r="C9317">
        <v>6743639</v>
      </c>
      <c r="D9317">
        <v>414.3</v>
      </c>
    </row>
    <row r="9318" spans="1:4" x14ac:dyDescent="0.25">
      <c r="A9318" t="str">
        <f>T("   JP")</f>
        <v xml:space="preserve">   JP</v>
      </c>
      <c r="B9318" t="str">
        <f>T("   Japon")</f>
        <v xml:space="preserve">   Japon</v>
      </c>
      <c r="C9318">
        <v>1126283</v>
      </c>
      <c r="D9318">
        <v>20</v>
      </c>
    </row>
    <row r="9319" spans="1:4" x14ac:dyDescent="0.25">
      <c r="A9319" t="str">
        <f>T("   NO")</f>
        <v xml:space="preserve">   NO</v>
      </c>
      <c r="B9319" t="str">
        <f>T("   Norvège")</f>
        <v xml:space="preserve">   Norvège</v>
      </c>
      <c r="C9319">
        <v>7373</v>
      </c>
      <c r="D9319">
        <v>1</v>
      </c>
    </row>
    <row r="9320" spans="1:4" x14ac:dyDescent="0.25">
      <c r="A9320" t="str">
        <f>T("   SE")</f>
        <v xml:space="preserve">   SE</v>
      </c>
      <c r="B9320" t="str">
        <f>T("   Suède")</f>
        <v xml:space="preserve">   Suède</v>
      </c>
      <c r="C9320">
        <v>555362</v>
      </c>
      <c r="D9320">
        <v>621.37</v>
      </c>
    </row>
    <row r="9321" spans="1:4" x14ac:dyDescent="0.25">
      <c r="A9321" t="str">
        <f>T("   SY")</f>
        <v xml:space="preserve">   SY</v>
      </c>
      <c r="B9321" t="str">
        <f>T("   Syrienne, République arabe")</f>
        <v xml:space="preserve">   Syrienne, République arabe</v>
      </c>
      <c r="C9321">
        <v>263388</v>
      </c>
      <c r="D9321">
        <v>15</v>
      </c>
    </row>
    <row r="9322" spans="1:4" x14ac:dyDescent="0.25">
      <c r="A9322" t="str">
        <f>T("   US")</f>
        <v xml:space="preserve">   US</v>
      </c>
      <c r="B9322" t="str">
        <f>T("   Etats-Unis")</f>
        <v xml:space="preserve">   Etats-Unis</v>
      </c>
      <c r="C9322">
        <v>196631</v>
      </c>
      <c r="D9322">
        <v>3</v>
      </c>
    </row>
    <row r="9323" spans="1:4" x14ac:dyDescent="0.25">
      <c r="A9323" t="str">
        <f>T("731823")</f>
        <v>731823</v>
      </c>
      <c r="B9323" t="str">
        <f>T("Rivets en fonte, fer ou acier (autres que rivets tubulaires ou rivets à deux pièces tubulaires destinés à des usages divers)")</f>
        <v>Rivets en fonte, fer ou acier (autres que rivets tubulaires ou rivets à deux pièces tubulaires destinés à des usages divers)</v>
      </c>
    </row>
    <row r="9324" spans="1:4" x14ac:dyDescent="0.25">
      <c r="A9324" t="str">
        <f>T("   ZZZ_Monde")</f>
        <v xml:space="preserve">   ZZZ_Monde</v>
      </c>
      <c r="B9324" t="str">
        <f>T("   ZZZ_Monde")</f>
        <v xml:space="preserve">   ZZZ_Monde</v>
      </c>
      <c r="C9324">
        <v>16320</v>
      </c>
      <c r="D9324">
        <v>1</v>
      </c>
    </row>
    <row r="9325" spans="1:4" x14ac:dyDescent="0.25">
      <c r="A9325" t="str">
        <f>T("   DE")</f>
        <v xml:space="preserve">   DE</v>
      </c>
      <c r="B9325" t="str">
        <f>T("   Allemagne")</f>
        <v xml:space="preserve">   Allemagne</v>
      </c>
      <c r="C9325">
        <v>16320</v>
      </c>
      <c r="D9325">
        <v>1</v>
      </c>
    </row>
    <row r="9326" spans="1:4" x14ac:dyDescent="0.25">
      <c r="A9326" t="str">
        <f>T("731824")</f>
        <v>731824</v>
      </c>
      <c r="B9326" t="str">
        <f>T("Goupilles, chevilles et clavettes en fonte, fer ou acier")</f>
        <v>Goupilles, chevilles et clavettes en fonte, fer ou acier</v>
      </c>
    </row>
    <row r="9327" spans="1:4" x14ac:dyDescent="0.25">
      <c r="A9327" t="str">
        <f>T("   ZZZ_Monde")</f>
        <v xml:space="preserve">   ZZZ_Monde</v>
      </c>
      <c r="B9327" t="str">
        <f>T("   ZZZ_Monde")</f>
        <v xml:space="preserve">   ZZZ_Monde</v>
      </c>
      <c r="C9327">
        <v>22979401</v>
      </c>
      <c r="D9327">
        <v>2028</v>
      </c>
    </row>
    <row r="9328" spans="1:4" x14ac:dyDescent="0.25">
      <c r="A9328" t="str">
        <f>T("   BE")</f>
        <v xml:space="preserve">   BE</v>
      </c>
      <c r="B9328" t="str">
        <f>T("   Belgique")</f>
        <v xml:space="preserve">   Belgique</v>
      </c>
      <c r="C9328">
        <v>874395</v>
      </c>
      <c r="D9328">
        <v>85</v>
      </c>
    </row>
    <row r="9329" spans="1:4" x14ac:dyDescent="0.25">
      <c r="A9329" t="str">
        <f>T("   DE")</f>
        <v xml:space="preserve">   DE</v>
      </c>
      <c r="B9329" t="str">
        <f>T("   Allemagne")</f>
        <v xml:space="preserve">   Allemagne</v>
      </c>
      <c r="C9329">
        <v>184633</v>
      </c>
      <c r="D9329">
        <v>2</v>
      </c>
    </row>
    <row r="9330" spans="1:4" x14ac:dyDescent="0.25">
      <c r="A9330" t="str">
        <f>T("   DK")</f>
        <v xml:space="preserve">   DK</v>
      </c>
      <c r="B9330" t="str">
        <f>T("   Danemark")</f>
        <v xml:space="preserve">   Danemark</v>
      </c>
      <c r="C9330">
        <v>5248</v>
      </c>
      <c r="D9330">
        <v>1</v>
      </c>
    </row>
    <row r="9331" spans="1:4" x14ac:dyDescent="0.25">
      <c r="A9331" t="str">
        <f>T("   FR")</f>
        <v xml:space="preserve">   FR</v>
      </c>
      <c r="B9331" t="str">
        <f>T("   France")</f>
        <v xml:space="preserve">   France</v>
      </c>
      <c r="C9331">
        <v>20570001</v>
      </c>
      <c r="D9331">
        <v>1069</v>
      </c>
    </row>
    <row r="9332" spans="1:4" x14ac:dyDescent="0.25">
      <c r="A9332" t="str">
        <f>T("   MA")</f>
        <v xml:space="preserve">   MA</v>
      </c>
      <c r="B9332" t="str">
        <f>T("   Maroc")</f>
        <v xml:space="preserve">   Maroc</v>
      </c>
      <c r="C9332">
        <v>781248</v>
      </c>
      <c r="D9332">
        <v>827</v>
      </c>
    </row>
    <row r="9333" spans="1:4" x14ac:dyDescent="0.25">
      <c r="A9333" t="str">
        <f>T("   US")</f>
        <v xml:space="preserve">   US</v>
      </c>
      <c r="B9333" t="str">
        <f>T("   Etats-Unis")</f>
        <v xml:space="preserve">   Etats-Unis</v>
      </c>
      <c r="C9333">
        <v>563876</v>
      </c>
      <c r="D9333">
        <v>44</v>
      </c>
    </row>
    <row r="9334" spans="1:4" x14ac:dyDescent="0.25">
      <c r="A9334" t="str">
        <f>T("731829")</f>
        <v>731829</v>
      </c>
      <c r="B9334" t="str">
        <f>T("Articles de boulonnerie et de visserie non filetés, en fonte, fer ou acier, n.d.a.")</f>
        <v>Articles de boulonnerie et de visserie non filetés, en fonte, fer ou acier, n.d.a.</v>
      </c>
    </row>
    <row r="9335" spans="1:4" x14ac:dyDescent="0.25">
      <c r="A9335" t="str">
        <f>T("   ZZZ_Monde")</f>
        <v xml:space="preserve">   ZZZ_Monde</v>
      </c>
      <c r="B9335" t="str">
        <f>T("   ZZZ_Monde")</f>
        <v xml:space="preserve">   ZZZ_Monde</v>
      </c>
      <c r="C9335">
        <v>134506506</v>
      </c>
      <c r="D9335">
        <v>237312</v>
      </c>
    </row>
    <row r="9336" spans="1:4" x14ac:dyDescent="0.25">
      <c r="A9336" t="str">
        <f>T("   BR")</f>
        <v xml:space="preserve">   BR</v>
      </c>
      <c r="B9336" t="str">
        <f>T("   Brésil")</f>
        <v xml:space="preserve">   Brésil</v>
      </c>
      <c r="C9336">
        <v>25821669</v>
      </c>
      <c r="D9336">
        <v>12780</v>
      </c>
    </row>
    <row r="9337" spans="1:4" x14ac:dyDescent="0.25">
      <c r="A9337" t="str">
        <f>T("   CN")</f>
        <v xml:space="preserve">   CN</v>
      </c>
      <c r="B9337" t="str">
        <f>T("   Chine")</f>
        <v xml:space="preserve">   Chine</v>
      </c>
      <c r="C9337">
        <v>106047085</v>
      </c>
      <c r="D9337">
        <v>224136</v>
      </c>
    </row>
    <row r="9338" spans="1:4" x14ac:dyDescent="0.25">
      <c r="A9338" t="str">
        <f>T("   FR")</f>
        <v xml:space="preserve">   FR</v>
      </c>
      <c r="B9338" t="str">
        <f>T("   France")</f>
        <v xml:space="preserve">   France</v>
      </c>
      <c r="C9338">
        <v>2637752</v>
      </c>
      <c r="D9338">
        <v>396</v>
      </c>
    </row>
    <row r="9339" spans="1:4" x14ac:dyDescent="0.25">
      <c r="A9339" t="str">
        <f>T("731910")</f>
        <v>731910</v>
      </c>
      <c r="B9339" t="str">
        <f>T("Aiguilles à coudre, à ravauder ou à broder à la main, en fer ou en acier")</f>
        <v>Aiguilles à coudre, à ravauder ou à broder à la main, en fer ou en acier</v>
      </c>
    </row>
    <row r="9340" spans="1:4" x14ac:dyDescent="0.25">
      <c r="A9340" t="str">
        <f>T("   ZZZ_Monde")</f>
        <v xml:space="preserve">   ZZZ_Monde</v>
      </c>
      <c r="B9340" t="str">
        <f>T("   ZZZ_Monde")</f>
        <v xml:space="preserve">   ZZZ_Monde</v>
      </c>
      <c r="C9340">
        <v>905893</v>
      </c>
      <c r="D9340">
        <v>3399</v>
      </c>
    </row>
    <row r="9341" spans="1:4" x14ac:dyDescent="0.25">
      <c r="A9341" t="str">
        <f>T("   CN")</f>
        <v xml:space="preserve">   CN</v>
      </c>
      <c r="B9341" t="str">
        <f>T("   Chine")</f>
        <v xml:space="preserve">   Chine</v>
      </c>
      <c r="C9341">
        <v>276019</v>
      </c>
      <c r="D9341">
        <v>99</v>
      </c>
    </row>
    <row r="9342" spans="1:4" x14ac:dyDescent="0.25">
      <c r="A9342" t="str">
        <f>T("   TG")</f>
        <v xml:space="preserve">   TG</v>
      </c>
      <c r="B9342" t="str">
        <f>T("   Togo")</f>
        <v xml:space="preserve">   Togo</v>
      </c>
      <c r="C9342">
        <v>629874</v>
      </c>
      <c r="D9342">
        <v>3300</v>
      </c>
    </row>
    <row r="9343" spans="1:4" x14ac:dyDescent="0.25">
      <c r="A9343" t="str">
        <f>T("731920")</f>
        <v>731920</v>
      </c>
      <c r="B9343" t="str">
        <f>T("EPINGLES DE S¹RETÉ EN FER OU EN ACIER")</f>
        <v>EPINGLES DE S¹RETÉ EN FER OU EN ACIER</v>
      </c>
    </row>
    <row r="9344" spans="1:4" x14ac:dyDescent="0.25">
      <c r="A9344" t="str">
        <f>T("   ZZZ_Monde")</f>
        <v xml:space="preserve">   ZZZ_Monde</v>
      </c>
      <c r="B9344" t="str">
        <f>T("   ZZZ_Monde")</f>
        <v xml:space="preserve">   ZZZ_Monde</v>
      </c>
      <c r="C9344">
        <v>7133786</v>
      </c>
      <c r="D9344">
        <v>10451</v>
      </c>
    </row>
    <row r="9345" spans="1:4" x14ac:dyDescent="0.25">
      <c r="A9345" t="str">
        <f>T("   CN")</f>
        <v xml:space="preserve">   CN</v>
      </c>
      <c r="B9345" t="str">
        <f>T("   Chine")</f>
        <v xml:space="preserve">   Chine</v>
      </c>
      <c r="C9345">
        <v>3796262</v>
      </c>
      <c r="D9345">
        <v>9910</v>
      </c>
    </row>
    <row r="9346" spans="1:4" x14ac:dyDescent="0.25">
      <c r="A9346" t="str">
        <f>T("   FR")</f>
        <v xml:space="preserve">   FR</v>
      </c>
      <c r="B9346" t="str">
        <f>T("   France")</f>
        <v xml:space="preserve">   France</v>
      </c>
      <c r="C9346">
        <v>3337524</v>
      </c>
      <c r="D9346">
        <v>541</v>
      </c>
    </row>
    <row r="9347" spans="1:4" x14ac:dyDescent="0.25">
      <c r="A9347" t="str">
        <f>T("731930")</f>
        <v>731930</v>
      </c>
      <c r="B9347" t="str">
        <f>T("Autres épingles en fer ou en acier, n.d.a.")</f>
        <v>Autres épingles en fer ou en acier, n.d.a.</v>
      </c>
    </row>
    <row r="9348" spans="1:4" x14ac:dyDescent="0.25">
      <c r="A9348" t="str">
        <f>T("   ZZZ_Monde")</f>
        <v xml:space="preserve">   ZZZ_Monde</v>
      </c>
      <c r="B9348" t="str">
        <f>T("   ZZZ_Monde")</f>
        <v xml:space="preserve">   ZZZ_Monde</v>
      </c>
      <c r="C9348">
        <v>7877212</v>
      </c>
      <c r="D9348">
        <v>34662</v>
      </c>
    </row>
    <row r="9349" spans="1:4" x14ac:dyDescent="0.25">
      <c r="A9349" t="str">
        <f>T("   CN")</f>
        <v xml:space="preserve">   CN</v>
      </c>
      <c r="B9349" t="str">
        <f>T("   Chine")</f>
        <v xml:space="preserve">   Chine</v>
      </c>
      <c r="C9349">
        <v>4409521</v>
      </c>
      <c r="D9349">
        <v>8232</v>
      </c>
    </row>
    <row r="9350" spans="1:4" x14ac:dyDescent="0.25">
      <c r="A9350" t="str">
        <f>T("   FR")</f>
        <v xml:space="preserve">   FR</v>
      </c>
      <c r="B9350" t="str">
        <f>T("   France")</f>
        <v xml:space="preserve">   France</v>
      </c>
      <c r="C9350">
        <v>856585</v>
      </c>
      <c r="D9350">
        <v>3730</v>
      </c>
    </row>
    <row r="9351" spans="1:4" x14ac:dyDescent="0.25">
      <c r="A9351" t="str">
        <f>T("   TG")</f>
        <v xml:space="preserve">   TG</v>
      </c>
      <c r="B9351" t="str">
        <f>T("   Togo")</f>
        <v xml:space="preserve">   Togo</v>
      </c>
      <c r="C9351">
        <v>2611106</v>
      </c>
      <c r="D9351">
        <v>22700</v>
      </c>
    </row>
    <row r="9352" spans="1:4" x14ac:dyDescent="0.25">
      <c r="A9352" t="str">
        <f>T("731990")</f>
        <v>731990</v>
      </c>
      <c r="B9352" t="str">
        <f>T("AIGUILLES À TRICOTER, PASSE-LACETS, CROCHETS, POINÇONS À BRODER ET ARTICLES SIMIL., POUR USAGE À LA MAIN, EN FER OU EN ACIER")</f>
        <v>AIGUILLES À TRICOTER, PASSE-LACETS, CROCHETS, POINÇONS À BRODER ET ARTICLES SIMIL., POUR USAGE À LA MAIN, EN FER OU EN ACIER</v>
      </c>
    </row>
    <row r="9353" spans="1:4" x14ac:dyDescent="0.25">
      <c r="A9353" t="str">
        <f>T("   ZZZ_Monde")</f>
        <v xml:space="preserve">   ZZZ_Monde</v>
      </c>
      <c r="B9353" t="str">
        <f>T("   ZZZ_Monde")</f>
        <v xml:space="preserve">   ZZZ_Monde</v>
      </c>
      <c r="C9353">
        <v>21091</v>
      </c>
      <c r="D9353">
        <v>12</v>
      </c>
    </row>
    <row r="9354" spans="1:4" x14ac:dyDescent="0.25">
      <c r="A9354" t="str">
        <f>T("   IN")</f>
        <v xml:space="preserve">   IN</v>
      </c>
      <c r="B9354" t="str">
        <f>T("   Inde")</f>
        <v xml:space="preserve">   Inde</v>
      </c>
      <c r="C9354">
        <v>21091</v>
      </c>
      <c r="D9354">
        <v>12</v>
      </c>
    </row>
    <row r="9355" spans="1:4" x14ac:dyDescent="0.25">
      <c r="A9355" t="str">
        <f>T("732010")</f>
        <v>732010</v>
      </c>
      <c r="B9355" t="str">
        <f>T("RESSORTS À LAMES ET LEURS LAMES, EN FER OU EN ACIER (À L'EXCL. DES RESSORTS DE MONTRES ET DES RESSORTS À BARRE DE TORSION DE LA SECTION 17)")</f>
        <v>RESSORTS À LAMES ET LEURS LAMES, EN FER OU EN ACIER (À L'EXCL. DES RESSORTS DE MONTRES ET DES RESSORTS À BARRE DE TORSION DE LA SECTION 17)</v>
      </c>
    </row>
    <row r="9356" spans="1:4" x14ac:dyDescent="0.25">
      <c r="A9356" t="str">
        <f>T("   ZZZ_Monde")</f>
        <v xml:space="preserve">   ZZZ_Monde</v>
      </c>
      <c r="B9356" t="str">
        <f>T("   ZZZ_Monde")</f>
        <v xml:space="preserve">   ZZZ_Monde</v>
      </c>
      <c r="C9356">
        <v>4584183</v>
      </c>
      <c r="D9356">
        <v>10440</v>
      </c>
    </row>
    <row r="9357" spans="1:4" x14ac:dyDescent="0.25">
      <c r="A9357" t="str">
        <f>T("   CN")</f>
        <v xml:space="preserve">   CN</v>
      </c>
      <c r="B9357" t="str">
        <f>T("   Chine")</f>
        <v xml:space="preserve">   Chine</v>
      </c>
      <c r="C9357">
        <v>66630</v>
      </c>
      <c r="D9357">
        <v>80</v>
      </c>
    </row>
    <row r="9358" spans="1:4" x14ac:dyDescent="0.25">
      <c r="A9358" t="str">
        <f>T("   GH")</f>
        <v xml:space="preserve">   GH</v>
      </c>
      <c r="B9358" t="str">
        <f>T("   Ghana")</f>
        <v xml:space="preserve">   Ghana</v>
      </c>
      <c r="C9358">
        <v>4517553</v>
      </c>
      <c r="D9358">
        <v>10360</v>
      </c>
    </row>
    <row r="9359" spans="1:4" x14ac:dyDescent="0.25">
      <c r="A9359" t="str">
        <f>T("732090")</f>
        <v>732090</v>
      </c>
      <c r="B9359" t="str">
        <f>T("RESSORTS ET LAMES DE RESSORTS EN FER OU EN ACIER, Y.C. LES RESSORTS SPIRAUX PLATS (À L'EXCL. DES RESSORTS EN HÉLICE, RESSORTS SPIRAUX, RESSORTS À LAMES ET LEURS LAMES, RESSORTS DE MONTRES, RONDELLES-RESSORTS, RONDELLES ÉLASTIQUES ET SAUF RESSORTS-AMORTISS")</f>
        <v>RESSORTS ET LAMES DE RESSORTS EN FER OU EN ACIER, Y.C. LES RESSORTS SPIRAUX PLATS (À L'EXCL. DES RESSORTS EN HÉLICE, RESSORTS SPIRAUX, RESSORTS À LAMES ET LEURS LAMES, RESSORTS DE MONTRES, RONDELLES-RESSORTS, RONDELLES ÉLASTIQUES ET SAUF RESSORTS-AMORTISS</v>
      </c>
    </row>
    <row r="9360" spans="1:4" x14ac:dyDescent="0.25">
      <c r="A9360" t="str">
        <f>T("   ZZZ_Monde")</f>
        <v xml:space="preserve">   ZZZ_Monde</v>
      </c>
      <c r="B9360" t="str">
        <f>T("   ZZZ_Monde")</f>
        <v xml:space="preserve">   ZZZ_Monde</v>
      </c>
      <c r="C9360">
        <v>37341573</v>
      </c>
      <c r="D9360">
        <v>11858.5</v>
      </c>
    </row>
    <row r="9361" spans="1:4" x14ac:dyDescent="0.25">
      <c r="A9361" t="str">
        <f>T("   AT")</f>
        <v xml:space="preserve">   AT</v>
      </c>
      <c r="B9361" t="str">
        <f>T("   Autriche")</f>
        <v xml:space="preserve">   Autriche</v>
      </c>
      <c r="C9361">
        <v>758526</v>
      </c>
      <c r="D9361">
        <v>30</v>
      </c>
    </row>
    <row r="9362" spans="1:4" x14ac:dyDescent="0.25">
      <c r="A9362" t="str">
        <f>T("   BE")</f>
        <v xml:space="preserve">   BE</v>
      </c>
      <c r="B9362" t="str">
        <f>T("   Belgique")</f>
        <v xml:space="preserve">   Belgique</v>
      </c>
      <c r="C9362">
        <v>5985313</v>
      </c>
      <c r="D9362">
        <v>392</v>
      </c>
    </row>
    <row r="9363" spans="1:4" x14ac:dyDescent="0.25">
      <c r="A9363" t="str">
        <f>T("   CA")</f>
        <v xml:space="preserve">   CA</v>
      </c>
      <c r="B9363" t="str">
        <f>T("   Canada")</f>
        <v xml:space="preserve">   Canada</v>
      </c>
      <c r="C9363">
        <v>2808937</v>
      </c>
      <c r="D9363">
        <v>1076</v>
      </c>
    </row>
    <row r="9364" spans="1:4" x14ac:dyDescent="0.25">
      <c r="A9364" t="str">
        <f>T("   DE")</f>
        <v xml:space="preserve">   DE</v>
      </c>
      <c r="B9364" t="str">
        <f>T("   Allemagne")</f>
        <v xml:space="preserve">   Allemagne</v>
      </c>
      <c r="C9364">
        <v>4941864</v>
      </c>
      <c r="D9364">
        <v>438.5</v>
      </c>
    </row>
    <row r="9365" spans="1:4" x14ac:dyDescent="0.25">
      <c r="A9365" t="str">
        <f>T("   DK")</f>
        <v xml:space="preserve">   DK</v>
      </c>
      <c r="B9365" t="str">
        <f>T("   Danemark")</f>
        <v xml:space="preserve">   Danemark</v>
      </c>
      <c r="C9365">
        <v>1994774</v>
      </c>
      <c r="D9365">
        <v>39</v>
      </c>
    </row>
    <row r="9366" spans="1:4" x14ac:dyDescent="0.25">
      <c r="A9366" t="str">
        <f>T("   FR")</f>
        <v xml:space="preserve">   FR</v>
      </c>
      <c r="B9366" t="str">
        <f>T("   France")</f>
        <v xml:space="preserve">   France</v>
      </c>
      <c r="C9366">
        <v>19180863</v>
      </c>
      <c r="D9366">
        <v>9606</v>
      </c>
    </row>
    <row r="9367" spans="1:4" x14ac:dyDescent="0.25">
      <c r="A9367" t="str">
        <f>T("   NO")</f>
        <v xml:space="preserve">   NO</v>
      </c>
      <c r="B9367" t="str">
        <f>T("   Norvège")</f>
        <v xml:space="preserve">   Norvège</v>
      </c>
      <c r="C9367">
        <v>37239</v>
      </c>
      <c r="D9367">
        <v>2</v>
      </c>
    </row>
    <row r="9368" spans="1:4" x14ac:dyDescent="0.25">
      <c r="A9368" t="str">
        <f>T("   TG")</f>
        <v xml:space="preserve">   TG</v>
      </c>
      <c r="B9368" t="str">
        <f>T("   Togo")</f>
        <v xml:space="preserve">   Togo</v>
      </c>
      <c r="C9368">
        <v>15292</v>
      </c>
      <c r="D9368">
        <v>35</v>
      </c>
    </row>
    <row r="9369" spans="1:4" x14ac:dyDescent="0.25">
      <c r="A9369" t="str">
        <f>T("   US")</f>
        <v xml:space="preserve">   US</v>
      </c>
      <c r="B9369" t="str">
        <f>T("   Etats-Unis")</f>
        <v xml:space="preserve">   Etats-Unis</v>
      </c>
      <c r="C9369">
        <v>1618765</v>
      </c>
      <c r="D9369">
        <v>240</v>
      </c>
    </row>
    <row r="9370" spans="1:4" x14ac:dyDescent="0.25">
      <c r="A9370" t="str">
        <f>T("732111")</f>
        <v>732111</v>
      </c>
      <c r="B9370" t="str">
        <f>T("Appareils de cuisson tels que foyers de cuisson, barbecues, grilloirs, réchauds et cuisinières, ainsi que chauffe-plats, à usage domestique, en fonte, fer ou acier, à combustibles gazeux ou à gaz et autres combustibles (à l'excl. des appareils destinés à")</f>
        <v>Appareils de cuisson tels que foyers de cuisson, barbecues, grilloirs, réchauds et cuisinières, ainsi que chauffe-plats, à usage domestique, en fonte, fer ou acier, à combustibles gazeux ou à gaz et autres combustibles (à l'excl. des appareils destinés à</v>
      </c>
    </row>
    <row r="9371" spans="1:4" x14ac:dyDescent="0.25">
      <c r="A9371" t="str">
        <f>T("   ZZZ_Monde")</f>
        <v xml:space="preserve">   ZZZ_Monde</v>
      </c>
      <c r="B9371" t="str">
        <f>T("   ZZZ_Monde")</f>
        <v xml:space="preserve">   ZZZ_Monde</v>
      </c>
      <c r="C9371">
        <v>120403493</v>
      </c>
      <c r="D9371">
        <v>125901</v>
      </c>
    </row>
    <row r="9372" spans="1:4" x14ac:dyDescent="0.25">
      <c r="A9372" t="str">
        <f>T("   AE")</f>
        <v xml:space="preserve">   AE</v>
      </c>
      <c r="B9372" t="str">
        <f>T("   Emirats Arabes Unis")</f>
        <v xml:space="preserve">   Emirats Arabes Unis</v>
      </c>
      <c r="C9372">
        <v>3137345</v>
      </c>
      <c r="D9372">
        <v>10417</v>
      </c>
    </row>
    <row r="9373" spans="1:4" x14ac:dyDescent="0.25">
      <c r="A9373" t="str">
        <f>T("   CN")</f>
        <v xml:space="preserve">   CN</v>
      </c>
      <c r="B9373" t="str">
        <f>T("   Chine")</f>
        <v xml:space="preserve">   Chine</v>
      </c>
      <c r="C9373">
        <v>15078809</v>
      </c>
      <c r="D9373">
        <v>23145</v>
      </c>
    </row>
    <row r="9374" spans="1:4" x14ac:dyDescent="0.25">
      <c r="A9374" t="str">
        <f>T("   EG")</f>
        <v xml:space="preserve">   EG</v>
      </c>
      <c r="B9374" t="str">
        <f>T("   Egypte")</f>
        <v xml:space="preserve">   Egypte</v>
      </c>
      <c r="C9374">
        <v>16829443</v>
      </c>
      <c r="D9374">
        <v>11147</v>
      </c>
    </row>
    <row r="9375" spans="1:4" x14ac:dyDescent="0.25">
      <c r="A9375" t="str">
        <f>T("   FR")</f>
        <v xml:space="preserve">   FR</v>
      </c>
      <c r="B9375" t="str">
        <f>T("   France")</f>
        <v xml:space="preserve">   France</v>
      </c>
      <c r="C9375">
        <v>1933230</v>
      </c>
      <c r="D9375">
        <v>907</v>
      </c>
    </row>
    <row r="9376" spans="1:4" x14ac:dyDescent="0.25">
      <c r="A9376" t="str">
        <f>T("   GB")</f>
        <v xml:space="preserve">   GB</v>
      </c>
      <c r="B9376" t="str">
        <f>T("   Royaume-Uni")</f>
        <v xml:space="preserve">   Royaume-Uni</v>
      </c>
      <c r="C9376">
        <v>1184186</v>
      </c>
      <c r="D9376">
        <v>505</v>
      </c>
    </row>
    <row r="9377" spans="1:4" x14ac:dyDescent="0.25">
      <c r="A9377" t="str">
        <f>T("   IN")</f>
        <v xml:space="preserve">   IN</v>
      </c>
      <c r="B9377" t="str">
        <f>T("   Inde")</f>
        <v xml:space="preserve">   Inde</v>
      </c>
      <c r="C9377">
        <v>13026816</v>
      </c>
      <c r="D9377">
        <v>21636</v>
      </c>
    </row>
    <row r="9378" spans="1:4" x14ac:dyDescent="0.25">
      <c r="A9378" t="str">
        <f>T("   IT")</f>
        <v xml:space="preserve">   IT</v>
      </c>
      <c r="B9378" t="str">
        <f>T("   Italie")</f>
        <v xml:space="preserve">   Italie</v>
      </c>
      <c r="C9378">
        <v>37153228</v>
      </c>
      <c r="D9378">
        <v>28269</v>
      </c>
    </row>
    <row r="9379" spans="1:4" x14ac:dyDescent="0.25">
      <c r="A9379" t="str">
        <f>T("   PA")</f>
        <v xml:space="preserve">   PA</v>
      </c>
      <c r="B9379" t="str">
        <f>T("   Panama")</f>
        <v xml:space="preserve">   Panama</v>
      </c>
      <c r="C9379">
        <v>7983709</v>
      </c>
      <c r="D9379">
        <v>5117</v>
      </c>
    </row>
    <row r="9380" spans="1:4" x14ac:dyDescent="0.25">
      <c r="A9380" t="str">
        <f>T("   SA")</f>
        <v xml:space="preserve">   SA</v>
      </c>
      <c r="B9380" t="str">
        <f>T("   Arabie Saoudite")</f>
        <v xml:space="preserve">   Arabie Saoudite</v>
      </c>
      <c r="C9380">
        <v>23397</v>
      </c>
      <c r="D9380">
        <v>76</v>
      </c>
    </row>
    <row r="9381" spans="1:4" x14ac:dyDescent="0.25">
      <c r="A9381" t="str">
        <f>T("   SG")</f>
        <v xml:space="preserve">   SG</v>
      </c>
      <c r="B9381" t="str">
        <f>T("   Singapour")</f>
        <v xml:space="preserve">   Singapour</v>
      </c>
      <c r="C9381">
        <v>15315125</v>
      </c>
      <c r="D9381">
        <v>10997</v>
      </c>
    </row>
    <row r="9382" spans="1:4" x14ac:dyDescent="0.25">
      <c r="A9382" t="str">
        <f>T("   TG")</f>
        <v xml:space="preserve">   TG</v>
      </c>
      <c r="B9382" t="str">
        <f>T("   Togo")</f>
        <v xml:space="preserve">   Togo</v>
      </c>
      <c r="C9382">
        <v>8738205</v>
      </c>
      <c r="D9382">
        <v>13685</v>
      </c>
    </row>
    <row r="9383" spans="1:4" x14ac:dyDescent="0.25">
      <c r="A9383" t="str">
        <f>T("732112")</f>
        <v>732112</v>
      </c>
      <c r="B9383" t="str">
        <f>T("Appareils de cuisson tels que foyers de cuisson, barbecues, grilloirs, réchauds et cuisinières, ainsi que chauffe-plats, à usage domestique, en fonte, fer ou acier, à combustibles liquides (à l'excl. des appareils destinés à la cuisine à grande échelle)")</f>
        <v>Appareils de cuisson tels que foyers de cuisson, barbecues, grilloirs, réchauds et cuisinières, ainsi que chauffe-plats, à usage domestique, en fonte, fer ou acier, à combustibles liquides (à l'excl. des appareils destinés à la cuisine à grande échelle)</v>
      </c>
    </row>
    <row r="9384" spans="1:4" x14ac:dyDescent="0.25">
      <c r="A9384" t="str">
        <f>T("   ZZZ_Monde")</f>
        <v xml:space="preserve">   ZZZ_Monde</v>
      </c>
      <c r="B9384" t="str">
        <f>T("   ZZZ_Monde")</f>
        <v xml:space="preserve">   ZZZ_Monde</v>
      </c>
      <c r="C9384">
        <v>9429934</v>
      </c>
      <c r="D9384">
        <v>14686</v>
      </c>
    </row>
    <row r="9385" spans="1:4" x14ac:dyDescent="0.25">
      <c r="A9385" t="str">
        <f>T("   CN")</f>
        <v xml:space="preserve">   CN</v>
      </c>
      <c r="B9385" t="str">
        <f>T("   Chine")</f>
        <v xml:space="preserve">   Chine</v>
      </c>
      <c r="C9385">
        <v>381956</v>
      </c>
      <c r="D9385">
        <v>7191</v>
      </c>
    </row>
    <row r="9386" spans="1:4" x14ac:dyDescent="0.25">
      <c r="A9386" t="str">
        <f>T("   ES")</f>
        <v xml:space="preserve">   ES</v>
      </c>
      <c r="B9386" t="str">
        <f>T("   Espagne")</f>
        <v xml:space="preserve">   Espagne</v>
      </c>
      <c r="C9386">
        <v>332558</v>
      </c>
      <c r="D9386">
        <v>2282</v>
      </c>
    </row>
    <row r="9387" spans="1:4" x14ac:dyDescent="0.25">
      <c r="A9387" t="str">
        <f>T("   FR")</f>
        <v xml:space="preserve">   FR</v>
      </c>
      <c r="B9387" t="str">
        <f>T("   France")</f>
        <v xml:space="preserve">   France</v>
      </c>
      <c r="C9387">
        <v>8524384</v>
      </c>
      <c r="D9387">
        <v>4594</v>
      </c>
    </row>
    <row r="9388" spans="1:4" x14ac:dyDescent="0.25">
      <c r="A9388" t="str">
        <f>T("   IT")</f>
        <v xml:space="preserve">   IT</v>
      </c>
      <c r="B9388" t="str">
        <f>T("   Italie")</f>
        <v xml:space="preserve">   Italie</v>
      </c>
      <c r="C9388">
        <v>134750</v>
      </c>
      <c r="D9388">
        <v>439</v>
      </c>
    </row>
    <row r="9389" spans="1:4" x14ac:dyDescent="0.25">
      <c r="A9389" t="str">
        <f>T("   NG")</f>
        <v xml:space="preserve">   NG</v>
      </c>
      <c r="B9389" t="str">
        <f>T("   Nigéria")</f>
        <v xml:space="preserve">   Nigéria</v>
      </c>
      <c r="C9389">
        <v>34440</v>
      </c>
      <c r="D9389">
        <v>80</v>
      </c>
    </row>
    <row r="9390" spans="1:4" x14ac:dyDescent="0.25">
      <c r="A9390" t="str">
        <f>T("   TG")</f>
        <v xml:space="preserve">   TG</v>
      </c>
      <c r="B9390" t="str">
        <f>T("   Togo")</f>
        <v xml:space="preserve">   Togo</v>
      </c>
      <c r="C9390">
        <v>21846</v>
      </c>
      <c r="D9390">
        <v>100</v>
      </c>
    </row>
    <row r="9391" spans="1:4" x14ac:dyDescent="0.25">
      <c r="A9391" t="str">
        <f>T("732181")</f>
        <v>732181</v>
      </c>
      <c r="B9391" t="str">
        <f>T("Poêles, chaudières à foyer, foyers de lessiveuses, chaudières avec foyer pour la lessive, braseros et appareils ménagers simil., en fonte, fer ou acier, à combustibles gazeux ou à gaz et autres combustibles (à l'excl. des appareils de cuisson, chauffe-pla")</f>
        <v>Poêles, chaudières à foyer, foyers de lessiveuses, chaudières avec foyer pour la lessive, braseros et appareils ménagers simil., en fonte, fer ou acier, à combustibles gazeux ou à gaz et autres combustibles (à l'excl. des appareils de cuisson, chauffe-pla</v>
      </c>
    </row>
    <row r="9392" spans="1:4" x14ac:dyDescent="0.25">
      <c r="A9392" t="str">
        <f>T("   ZZZ_Monde")</f>
        <v xml:space="preserve">   ZZZ_Monde</v>
      </c>
      <c r="B9392" t="str">
        <f>T("   ZZZ_Monde")</f>
        <v xml:space="preserve">   ZZZ_Monde</v>
      </c>
      <c r="C9392">
        <v>7506347</v>
      </c>
      <c r="D9392">
        <v>10463</v>
      </c>
    </row>
    <row r="9393" spans="1:4" x14ac:dyDescent="0.25">
      <c r="A9393" t="str">
        <f>T("   CN")</f>
        <v xml:space="preserve">   CN</v>
      </c>
      <c r="B9393" t="str">
        <f>T("   Chine")</f>
        <v xml:space="preserve">   Chine</v>
      </c>
      <c r="C9393">
        <v>6780000</v>
      </c>
      <c r="D9393">
        <v>10008</v>
      </c>
    </row>
    <row r="9394" spans="1:4" x14ac:dyDescent="0.25">
      <c r="A9394" t="str">
        <f>T("   SG")</f>
        <v xml:space="preserve">   SG</v>
      </c>
      <c r="B9394" t="str">
        <f>T("   Singapour")</f>
        <v xml:space="preserve">   Singapour</v>
      </c>
      <c r="C9394">
        <v>726347</v>
      </c>
      <c r="D9394">
        <v>455</v>
      </c>
    </row>
    <row r="9395" spans="1:4" x14ac:dyDescent="0.25">
      <c r="A9395" t="str">
        <f>T("732190")</f>
        <v>732190</v>
      </c>
      <c r="B9395" t="str">
        <f>T("Parties des appareils ménagers chauffants non-électriques du n° 7321, n.d.a.")</f>
        <v>Parties des appareils ménagers chauffants non-électriques du n° 7321, n.d.a.</v>
      </c>
    </row>
    <row r="9396" spans="1:4" x14ac:dyDescent="0.25">
      <c r="A9396" t="str">
        <f>T("   ZZZ_Monde")</f>
        <v xml:space="preserve">   ZZZ_Monde</v>
      </c>
      <c r="B9396" t="str">
        <f>T("   ZZZ_Monde")</f>
        <v xml:space="preserve">   ZZZ_Monde</v>
      </c>
      <c r="C9396">
        <v>2828714</v>
      </c>
      <c r="D9396">
        <v>1252</v>
      </c>
    </row>
    <row r="9397" spans="1:4" x14ac:dyDescent="0.25">
      <c r="A9397" t="str">
        <f>T("   CN")</f>
        <v xml:space="preserve">   CN</v>
      </c>
      <c r="B9397" t="str">
        <f>T("   Chine")</f>
        <v xml:space="preserve">   Chine</v>
      </c>
      <c r="C9397">
        <v>743481</v>
      </c>
      <c r="D9397">
        <v>923</v>
      </c>
    </row>
    <row r="9398" spans="1:4" x14ac:dyDescent="0.25">
      <c r="A9398" t="str">
        <f>T("   EG")</f>
        <v xml:space="preserve">   EG</v>
      </c>
      <c r="B9398" t="str">
        <f>T("   Egypte")</f>
        <v xml:space="preserve">   Egypte</v>
      </c>
      <c r="C9398">
        <v>6921</v>
      </c>
      <c r="D9398">
        <v>40</v>
      </c>
    </row>
    <row r="9399" spans="1:4" x14ac:dyDescent="0.25">
      <c r="A9399" t="str">
        <f>T("   IT")</f>
        <v xml:space="preserve">   IT</v>
      </c>
      <c r="B9399" t="str">
        <f>T("   Italie")</f>
        <v xml:space="preserve">   Italie</v>
      </c>
      <c r="C9399">
        <v>164860</v>
      </c>
      <c r="D9399">
        <v>69</v>
      </c>
    </row>
    <row r="9400" spans="1:4" x14ac:dyDescent="0.25">
      <c r="A9400" t="str">
        <f>T("   SG")</f>
        <v xml:space="preserve">   SG</v>
      </c>
      <c r="B9400" t="str">
        <f>T("   Singapour")</f>
        <v xml:space="preserve">   Singapour</v>
      </c>
      <c r="C9400">
        <v>61021</v>
      </c>
      <c r="D9400">
        <v>65</v>
      </c>
    </row>
    <row r="9401" spans="1:4" x14ac:dyDescent="0.25">
      <c r="A9401" t="str">
        <f>T("   TR")</f>
        <v xml:space="preserve">   TR</v>
      </c>
      <c r="B9401" t="str">
        <f>T("   Turquie")</f>
        <v xml:space="preserve">   Turquie</v>
      </c>
      <c r="C9401">
        <v>1852431</v>
      </c>
      <c r="D9401">
        <v>155</v>
      </c>
    </row>
    <row r="9402" spans="1:4" x14ac:dyDescent="0.25">
      <c r="A9402" t="str">
        <f>T("732219")</f>
        <v>732219</v>
      </c>
      <c r="B9402" t="str">
        <f>T("Radiateurs pour le chauffage central, à chauffage non électrique et leurs parties, en fer ou acier (à l'excl. de la fonte et sauf les parties désignées ou comprises en d'autres endroits et les chaudières de chauffage central)")</f>
        <v>Radiateurs pour le chauffage central, à chauffage non électrique et leurs parties, en fer ou acier (à l'excl. de la fonte et sauf les parties désignées ou comprises en d'autres endroits et les chaudières de chauffage central)</v>
      </c>
    </row>
    <row r="9403" spans="1:4" x14ac:dyDescent="0.25">
      <c r="A9403" t="str">
        <f>T("   ZZZ_Monde")</f>
        <v xml:space="preserve">   ZZZ_Monde</v>
      </c>
      <c r="B9403" t="str">
        <f>T("   ZZZ_Monde")</f>
        <v xml:space="preserve">   ZZZ_Monde</v>
      </c>
      <c r="C9403">
        <v>1433745</v>
      </c>
      <c r="D9403">
        <v>885</v>
      </c>
    </row>
    <row r="9404" spans="1:4" x14ac:dyDescent="0.25">
      <c r="A9404" t="str">
        <f>T("   FR")</f>
        <v xml:space="preserve">   FR</v>
      </c>
      <c r="B9404" t="str">
        <f>T("   France")</f>
        <v xml:space="preserve">   France</v>
      </c>
      <c r="C9404">
        <v>1433745</v>
      </c>
      <c r="D9404">
        <v>885</v>
      </c>
    </row>
    <row r="9405" spans="1:4" x14ac:dyDescent="0.25">
      <c r="A9405" t="str">
        <f>T("732310")</f>
        <v>732310</v>
      </c>
      <c r="B9405" t="str">
        <f>T("Paille de fer ou d'acier; éponges, torchons, gants et articles simil. pour le récurage, le polissage ou usages analogues, en fer ou acier")</f>
        <v>Paille de fer ou d'acier; éponges, torchons, gants et articles simil. pour le récurage, le polissage ou usages analogues, en fer ou acier</v>
      </c>
    </row>
    <row r="9406" spans="1:4" x14ac:dyDescent="0.25">
      <c r="A9406" t="str">
        <f>T("   ZZZ_Monde")</f>
        <v xml:space="preserve">   ZZZ_Monde</v>
      </c>
      <c r="B9406" t="str">
        <f>T("   ZZZ_Monde")</f>
        <v xml:space="preserve">   ZZZ_Monde</v>
      </c>
      <c r="C9406">
        <v>10264066</v>
      </c>
      <c r="D9406">
        <v>51609</v>
      </c>
    </row>
    <row r="9407" spans="1:4" x14ac:dyDescent="0.25">
      <c r="A9407" t="str">
        <f>T("   CN")</f>
        <v xml:space="preserve">   CN</v>
      </c>
      <c r="B9407" t="str">
        <f>T("   Chine")</f>
        <v xml:space="preserve">   Chine</v>
      </c>
      <c r="C9407">
        <v>1700000</v>
      </c>
      <c r="D9407">
        <v>13780</v>
      </c>
    </row>
    <row r="9408" spans="1:4" x14ac:dyDescent="0.25">
      <c r="A9408" t="str">
        <f>T("   FR")</f>
        <v xml:space="preserve">   FR</v>
      </c>
      <c r="B9408" t="str">
        <f>T("   France")</f>
        <v xml:space="preserve">   France</v>
      </c>
      <c r="C9408">
        <v>500000</v>
      </c>
      <c r="D9408">
        <v>5</v>
      </c>
    </row>
    <row r="9409" spans="1:4" x14ac:dyDescent="0.25">
      <c r="A9409" t="str">
        <f>T("   GH")</f>
        <v xml:space="preserve">   GH</v>
      </c>
      <c r="B9409" t="str">
        <f>T("   Ghana")</f>
        <v xml:space="preserve">   Ghana</v>
      </c>
      <c r="C9409">
        <v>300000</v>
      </c>
      <c r="D9409">
        <v>850</v>
      </c>
    </row>
    <row r="9410" spans="1:4" x14ac:dyDescent="0.25">
      <c r="A9410" t="str">
        <f>T("   NG")</f>
        <v xml:space="preserve">   NG</v>
      </c>
      <c r="B9410" t="str">
        <f>T("   Nigéria")</f>
        <v xml:space="preserve">   Nigéria</v>
      </c>
      <c r="C9410">
        <v>66600</v>
      </c>
      <c r="D9410">
        <v>74</v>
      </c>
    </row>
    <row r="9411" spans="1:4" x14ac:dyDescent="0.25">
      <c r="A9411" t="str">
        <f>T("   TG")</f>
        <v xml:space="preserve">   TG</v>
      </c>
      <c r="B9411" t="str">
        <f>T("   Togo")</f>
        <v xml:space="preserve">   Togo</v>
      </c>
      <c r="C9411">
        <v>7697466</v>
      </c>
      <c r="D9411">
        <v>36900</v>
      </c>
    </row>
    <row r="9412" spans="1:4" x14ac:dyDescent="0.25">
      <c r="A9412" t="str">
        <f>T("732392")</f>
        <v>732392</v>
      </c>
      <c r="B9412" t="str">
        <f>T("Articles de ménage ou d'économie domestique et leurs parties, en fonte émaillée (à l'excl. des bidons, boîtes et récipients simil. du n° 7310; poubelles; pelles et autres articles à caractère d'outils; cuillers, louches, fourchettes, écumoires, pelles à t")</f>
        <v>Articles de ménage ou d'économie domestique et leurs parties, en fonte émaillée (à l'excl. des bidons, boîtes et récipients simil. du n° 7310; poubelles; pelles et autres articles à caractère d'outils; cuillers, louches, fourchettes, écumoires, pelles à t</v>
      </c>
    </row>
    <row r="9413" spans="1:4" x14ac:dyDescent="0.25">
      <c r="A9413" t="str">
        <f>T("   ZZZ_Monde")</f>
        <v xml:space="preserve">   ZZZ_Monde</v>
      </c>
      <c r="B9413" t="str">
        <f>T("   ZZZ_Monde")</f>
        <v xml:space="preserve">   ZZZ_Monde</v>
      </c>
      <c r="C9413">
        <v>33773938</v>
      </c>
      <c r="D9413">
        <v>121263</v>
      </c>
    </row>
    <row r="9414" spans="1:4" x14ac:dyDescent="0.25">
      <c r="A9414" t="str">
        <f>T("   CN")</f>
        <v xml:space="preserve">   CN</v>
      </c>
      <c r="B9414" t="str">
        <f>T("   Chine")</f>
        <v xml:space="preserve">   Chine</v>
      </c>
      <c r="C9414">
        <v>10360000</v>
      </c>
      <c r="D9414">
        <v>19775</v>
      </c>
    </row>
    <row r="9415" spans="1:4" x14ac:dyDescent="0.25">
      <c r="A9415" t="str">
        <f>T("   GH")</f>
        <v xml:space="preserve">   GH</v>
      </c>
      <c r="B9415" t="str">
        <f>T("   Ghana")</f>
        <v xml:space="preserve">   Ghana</v>
      </c>
      <c r="C9415">
        <v>19118460</v>
      </c>
      <c r="D9415">
        <v>85077</v>
      </c>
    </row>
    <row r="9416" spans="1:4" x14ac:dyDescent="0.25">
      <c r="A9416" t="str">
        <f>T("   LB")</f>
        <v xml:space="preserve">   LB</v>
      </c>
      <c r="B9416" t="str">
        <f>T("   Liban")</f>
        <v xml:space="preserve">   Liban</v>
      </c>
      <c r="C9416">
        <v>1891529</v>
      </c>
      <c r="D9416">
        <v>7400</v>
      </c>
    </row>
    <row r="9417" spans="1:4" x14ac:dyDescent="0.25">
      <c r="A9417" t="str">
        <f>T("   NG")</f>
        <v xml:space="preserve">   NG</v>
      </c>
      <c r="B9417" t="str">
        <f>T("   Nigéria")</f>
        <v xml:space="preserve">   Nigéria</v>
      </c>
      <c r="C9417">
        <v>332950</v>
      </c>
      <c r="D9417">
        <v>838</v>
      </c>
    </row>
    <row r="9418" spans="1:4" x14ac:dyDescent="0.25">
      <c r="A9418" t="str">
        <f>T("   TG")</f>
        <v xml:space="preserve">   TG</v>
      </c>
      <c r="B9418" t="str">
        <f>T("   Togo")</f>
        <v xml:space="preserve">   Togo</v>
      </c>
      <c r="C9418">
        <v>2070999</v>
      </c>
      <c r="D9418">
        <v>8173</v>
      </c>
    </row>
    <row r="9419" spans="1:4" x14ac:dyDescent="0.25">
      <c r="A9419" t="str">
        <f>T("732393")</f>
        <v>732393</v>
      </c>
      <c r="B9419" t="str">
        <f>T("Articles de ménage ou d'économie domestique et leurs parties, en aciers inoxydables (à l'excl. des bidons, boîtes et récipients simil. du n° 7310; poubelles; pelles, tire-bouchons et autres articles à caractère d'outils; coutellerie et cuillers, louches,")</f>
        <v>Articles de ménage ou d'économie domestique et leurs parties, en aciers inoxydables (à l'excl. des bidons, boîtes et récipients simil. du n° 7310; poubelles; pelles, tire-bouchons et autres articles à caractère d'outils; coutellerie et cuillers, louches,</v>
      </c>
    </row>
    <row r="9420" spans="1:4" x14ac:dyDescent="0.25">
      <c r="A9420" t="str">
        <f>T("   ZZZ_Monde")</f>
        <v xml:space="preserve">   ZZZ_Monde</v>
      </c>
      <c r="B9420" t="str">
        <f>T("   ZZZ_Monde")</f>
        <v xml:space="preserve">   ZZZ_Monde</v>
      </c>
      <c r="C9420">
        <v>78926748</v>
      </c>
      <c r="D9420">
        <v>61061</v>
      </c>
    </row>
    <row r="9421" spans="1:4" x14ac:dyDescent="0.25">
      <c r="A9421" t="str">
        <f>T("   AE")</f>
        <v xml:space="preserve">   AE</v>
      </c>
      <c r="B9421" t="str">
        <f>T("   Emirats Arabes Unis")</f>
        <v xml:space="preserve">   Emirats Arabes Unis</v>
      </c>
      <c r="C9421">
        <v>108741</v>
      </c>
      <c r="D9421">
        <v>321</v>
      </c>
    </row>
    <row r="9422" spans="1:4" x14ac:dyDescent="0.25">
      <c r="A9422" t="str">
        <f>T("   BE")</f>
        <v xml:space="preserve">   BE</v>
      </c>
      <c r="B9422" t="str">
        <f>T("   Belgique")</f>
        <v xml:space="preserve">   Belgique</v>
      </c>
      <c r="C9422">
        <v>155463</v>
      </c>
      <c r="D9422">
        <v>1400</v>
      </c>
    </row>
    <row r="9423" spans="1:4" x14ac:dyDescent="0.25">
      <c r="A9423" t="str">
        <f>T("   CN")</f>
        <v xml:space="preserve">   CN</v>
      </c>
      <c r="B9423" t="str">
        <f>T("   Chine")</f>
        <v xml:space="preserve">   Chine</v>
      </c>
      <c r="C9423">
        <v>13499577</v>
      </c>
      <c r="D9423">
        <v>30778</v>
      </c>
    </row>
    <row r="9424" spans="1:4" x14ac:dyDescent="0.25">
      <c r="A9424" t="str">
        <f>T("   CY")</f>
        <v xml:space="preserve">   CY</v>
      </c>
      <c r="B9424" t="str">
        <f>T("   Chypre")</f>
        <v xml:space="preserve">   Chypre</v>
      </c>
      <c r="C9424">
        <v>308918</v>
      </c>
      <c r="D9424">
        <v>100</v>
      </c>
    </row>
    <row r="9425" spans="1:4" x14ac:dyDescent="0.25">
      <c r="A9425" t="str">
        <f>T("   DE")</f>
        <v xml:space="preserve">   DE</v>
      </c>
      <c r="B9425" t="str">
        <f>T("   Allemagne")</f>
        <v xml:space="preserve">   Allemagne</v>
      </c>
      <c r="C9425">
        <v>653166</v>
      </c>
      <c r="D9425">
        <v>34</v>
      </c>
    </row>
    <row r="9426" spans="1:4" x14ac:dyDescent="0.25">
      <c r="A9426" t="str">
        <f>T("   FR")</f>
        <v xml:space="preserve">   FR</v>
      </c>
      <c r="B9426" t="str">
        <f>T("   France")</f>
        <v xml:space="preserve">   France</v>
      </c>
      <c r="C9426">
        <v>54432383</v>
      </c>
      <c r="D9426">
        <v>19618</v>
      </c>
    </row>
    <row r="9427" spans="1:4" x14ac:dyDescent="0.25">
      <c r="A9427" t="str">
        <f>T("   GB")</f>
        <v xml:space="preserve">   GB</v>
      </c>
      <c r="B9427" t="str">
        <f>T("   Royaume-Uni")</f>
        <v xml:space="preserve">   Royaume-Uni</v>
      </c>
      <c r="C9427">
        <v>25583</v>
      </c>
      <c r="D9427">
        <v>30</v>
      </c>
    </row>
    <row r="9428" spans="1:4" x14ac:dyDescent="0.25">
      <c r="A9428" t="str">
        <f>T("   GH")</f>
        <v xml:space="preserve">   GH</v>
      </c>
      <c r="B9428" t="str">
        <f>T("   Ghana")</f>
        <v xml:space="preserve">   Ghana</v>
      </c>
      <c r="C9428">
        <v>133362</v>
      </c>
      <c r="D9428">
        <v>1460</v>
      </c>
    </row>
    <row r="9429" spans="1:4" x14ac:dyDescent="0.25">
      <c r="A9429" t="str">
        <f>T("   IN")</f>
        <v xml:space="preserve">   IN</v>
      </c>
      <c r="B9429" t="str">
        <f>T("   Inde")</f>
        <v xml:space="preserve">   Inde</v>
      </c>
      <c r="C9429">
        <v>2347377</v>
      </c>
      <c r="D9429">
        <v>3124</v>
      </c>
    </row>
    <row r="9430" spans="1:4" x14ac:dyDescent="0.25">
      <c r="A9430" t="str">
        <f>T("   IT")</f>
        <v xml:space="preserve">   IT</v>
      </c>
      <c r="B9430" t="str">
        <f>T("   Italie")</f>
        <v xml:space="preserve">   Italie</v>
      </c>
      <c r="C9430">
        <v>1930490</v>
      </c>
      <c r="D9430">
        <v>2000</v>
      </c>
    </row>
    <row r="9431" spans="1:4" x14ac:dyDescent="0.25">
      <c r="A9431" t="str">
        <f>T("   LB")</f>
        <v xml:space="preserve">   LB</v>
      </c>
      <c r="B9431" t="str">
        <f>T("   Liban")</f>
        <v xml:space="preserve">   Liban</v>
      </c>
      <c r="C9431">
        <v>183591</v>
      </c>
      <c r="D9431">
        <v>1233</v>
      </c>
    </row>
    <row r="9432" spans="1:4" x14ac:dyDescent="0.25">
      <c r="A9432" t="str">
        <f>T("   TG")</f>
        <v xml:space="preserve">   TG</v>
      </c>
      <c r="B9432" t="str">
        <f>T("   Togo")</f>
        <v xml:space="preserve">   Togo</v>
      </c>
      <c r="C9432">
        <v>21846</v>
      </c>
      <c r="D9432">
        <v>20</v>
      </c>
    </row>
    <row r="9433" spans="1:4" x14ac:dyDescent="0.25">
      <c r="A9433" t="str">
        <f>T("   US")</f>
        <v xml:space="preserve">   US</v>
      </c>
      <c r="B9433" t="str">
        <f>T("   Etats-Unis")</f>
        <v xml:space="preserve">   Etats-Unis</v>
      </c>
      <c r="C9433">
        <v>5126251</v>
      </c>
      <c r="D9433">
        <v>943</v>
      </c>
    </row>
    <row r="9434" spans="1:4" x14ac:dyDescent="0.25">
      <c r="A9434" t="str">
        <f>T("732394")</f>
        <v>732394</v>
      </c>
      <c r="B9434" t="str">
        <f>T("Articles de ménage ou d'économie domestique et leurs parties, en fer ou en aciers autres qu'inoxydables, émaillés (à l'excl. de la fonte; des bidons, boîtes et récipients simil. du n° 7310; poubelles; pelles et autres articles à caractère d'outils; cuille")</f>
        <v>Articles de ménage ou d'économie domestique et leurs parties, en fer ou en aciers autres qu'inoxydables, émaillés (à l'excl. de la fonte; des bidons, boîtes et récipients simil. du n° 7310; poubelles; pelles et autres articles à caractère d'outils; cuille</v>
      </c>
    </row>
    <row r="9435" spans="1:4" x14ac:dyDescent="0.25">
      <c r="A9435" t="str">
        <f>T("   ZZZ_Monde")</f>
        <v xml:space="preserve">   ZZZ_Monde</v>
      </c>
      <c r="B9435" t="str">
        <f>T("   ZZZ_Monde")</f>
        <v xml:space="preserve">   ZZZ_Monde</v>
      </c>
      <c r="C9435">
        <v>110389474</v>
      </c>
      <c r="D9435">
        <v>267997</v>
      </c>
    </row>
    <row r="9436" spans="1:4" x14ac:dyDescent="0.25">
      <c r="A9436" t="str">
        <f>T("   AE")</f>
        <v xml:space="preserve">   AE</v>
      </c>
      <c r="B9436" t="str">
        <f>T("   Emirats Arabes Unis")</f>
        <v xml:space="preserve">   Emirats Arabes Unis</v>
      </c>
      <c r="C9436">
        <v>476696</v>
      </c>
      <c r="D9436">
        <v>730</v>
      </c>
    </row>
    <row r="9437" spans="1:4" x14ac:dyDescent="0.25">
      <c r="A9437" t="str">
        <f>T("   BE")</f>
        <v xml:space="preserve">   BE</v>
      </c>
      <c r="B9437" t="str">
        <f>T("   Belgique")</f>
        <v xml:space="preserve">   Belgique</v>
      </c>
      <c r="C9437">
        <v>6441506</v>
      </c>
      <c r="D9437">
        <v>7254</v>
      </c>
    </row>
    <row r="9438" spans="1:4" x14ac:dyDescent="0.25">
      <c r="A9438" t="str">
        <f>T("   BR")</f>
        <v xml:space="preserve">   BR</v>
      </c>
      <c r="B9438" t="str">
        <f>T("   Brésil")</f>
        <v xml:space="preserve">   Brésil</v>
      </c>
      <c r="C9438">
        <v>900000</v>
      </c>
      <c r="D9438">
        <v>720</v>
      </c>
    </row>
    <row r="9439" spans="1:4" x14ac:dyDescent="0.25">
      <c r="A9439" t="str">
        <f>T("   CA")</f>
        <v xml:space="preserve">   CA</v>
      </c>
      <c r="B9439" t="str">
        <f>T("   Canada")</f>
        <v xml:space="preserve">   Canada</v>
      </c>
      <c r="C9439">
        <v>600000</v>
      </c>
      <c r="D9439">
        <v>980</v>
      </c>
    </row>
    <row r="9440" spans="1:4" x14ac:dyDescent="0.25">
      <c r="A9440" t="str">
        <f>T("   CD")</f>
        <v xml:space="preserve">   CD</v>
      </c>
      <c r="B9440" t="str">
        <f>T("   Congo, République Démocratique")</f>
        <v xml:space="preserve">   Congo, République Démocratique</v>
      </c>
      <c r="C9440">
        <v>1100000</v>
      </c>
      <c r="D9440">
        <v>779</v>
      </c>
    </row>
    <row r="9441" spans="1:4" x14ac:dyDescent="0.25">
      <c r="A9441" t="str">
        <f>T("   CI")</f>
        <v xml:space="preserve">   CI</v>
      </c>
      <c r="B9441" t="str">
        <f>T("   Côte d'Ivoire")</f>
        <v xml:space="preserve">   Côte d'Ivoire</v>
      </c>
      <c r="C9441">
        <v>1396788</v>
      </c>
      <c r="D9441">
        <v>1200</v>
      </c>
    </row>
    <row r="9442" spans="1:4" x14ac:dyDescent="0.25">
      <c r="A9442" t="str">
        <f>T("   CM")</f>
        <v xml:space="preserve">   CM</v>
      </c>
      <c r="B9442" t="str">
        <f>T("   Cameroun")</f>
        <v xml:space="preserve">   Cameroun</v>
      </c>
      <c r="C9442">
        <v>4550000</v>
      </c>
      <c r="D9442">
        <v>2500</v>
      </c>
    </row>
    <row r="9443" spans="1:4" x14ac:dyDescent="0.25">
      <c r="A9443" t="str">
        <f>T("   CN")</f>
        <v xml:space="preserve">   CN</v>
      </c>
      <c r="B9443" t="str">
        <f>T("   Chine")</f>
        <v xml:space="preserve">   Chine</v>
      </c>
      <c r="C9443">
        <v>32758743</v>
      </c>
      <c r="D9443">
        <v>143781</v>
      </c>
    </row>
    <row r="9444" spans="1:4" x14ac:dyDescent="0.25">
      <c r="A9444" t="str">
        <f>T("   CU")</f>
        <v xml:space="preserve">   CU</v>
      </c>
      <c r="B9444" t="str">
        <f>T("   Cuba")</f>
        <v xml:space="preserve">   Cuba</v>
      </c>
      <c r="C9444">
        <v>450000</v>
      </c>
      <c r="D9444">
        <v>400</v>
      </c>
    </row>
    <row r="9445" spans="1:4" x14ac:dyDescent="0.25">
      <c r="A9445" t="str">
        <f>T("   DE")</f>
        <v xml:space="preserve">   DE</v>
      </c>
      <c r="B9445" t="str">
        <f>T("   Allemagne")</f>
        <v xml:space="preserve">   Allemagne</v>
      </c>
      <c r="C9445">
        <v>1701945</v>
      </c>
      <c r="D9445">
        <v>2203</v>
      </c>
    </row>
    <row r="9446" spans="1:4" x14ac:dyDescent="0.25">
      <c r="A9446" t="str">
        <f>T("   DJ")</f>
        <v xml:space="preserve">   DJ</v>
      </c>
      <c r="B9446" t="str">
        <f>T("   Djibouti")</f>
        <v xml:space="preserve">   Djibouti</v>
      </c>
      <c r="C9446">
        <v>550000</v>
      </c>
      <c r="D9446">
        <v>410</v>
      </c>
    </row>
    <row r="9447" spans="1:4" x14ac:dyDescent="0.25">
      <c r="A9447" t="str">
        <f>T("   DK")</f>
        <v xml:space="preserve">   DK</v>
      </c>
      <c r="B9447" t="str">
        <f>T("   Danemark")</f>
        <v xml:space="preserve">   Danemark</v>
      </c>
      <c r="C9447">
        <v>2623001</v>
      </c>
      <c r="D9447">
        <v>925</v>
      </c>
    </row>
    <row r="9448" spans="1:4" x14ac:dyDescent="0.25">
      <c r="A9448" t="str">
        <f>T("   ET")</f>
        <v xml:space="preserve">   ET</v>
      </c>
      <c r="B9448" t="str">
        <f>T("   Ethiopie")</f>
        <v xml:space="preserve">   Ethiopie</v>
      </c>
      <c r="C9448">
        <v>1924768</v>
      </c>
      <c r="D9448">
        <v>2600</v>
      </c>
    </row>
    <row r="9449" spans="1:4" x14ac:dyDescent="0.25">
      <c r="A9449" t="str">
        <f>T("   FR")</f>
        <v xml:space="preserve">   FR</v>
      </c>
      <c r="B9449" t="str">
        <f>T("   France")</f>
        <v xml:space="preserve">   France</v>
      </c>
      <c r="C9449">
        <v>14576923</v>
      </c>
      <c r="D9449">
        <v>10472</v>
      </c>
    </row>
    <row r="9450" spans="1:4" x14ac:dyDescent="0.25">
      <c r="A9450" t="str">
        <f>T("   GA")</f>
        <v xml:space="preserve">   GA</v>
      </c>
      <c r="B9450" t="str">
        <f>T("   Gabon")</f>
        <v xml:space="preserve">   Gabon</v>
      </c>
      <c r="C9450">
        <v>1850000</v>
      </c>
      <c r="D9450">
        <v>2000</v>
      </c>
    </row>
    <row r="9451" spans="1:4" x14ac:dyDescent="0.25">
      <c r="A9451" t="str">
        <f>T("   GB")</f>
        <v xml:space="preserve">   GB</v>
      </c>
      <c r="B9451" t="str">
        <f>T("   Royaume-Uni")</f>
        <v xml:space="preserve">   Royaume-Uni</v>
      </c>
      <c r="C9451">
        <v>362060</v>
      </c>
      <c r="D9451">
        <v>2737</v>
      </c>
    </row>
    <row r="9452" spans="1:4" x14ac:dyDescent="0.25">
      <c r="A9452" t="str">
        <f>T("   GN")</f>
        <v xml:space="preserve">   GN</v>
      </c>
      <c r="B9452" t="str">
        <f>T("   Guinée")</f>
        <v xml:space="preserve">   Guinée</v>
      </c>
      <c r="C9452">
        <v>400000</v>
      </c>
      <c r="D9452">
        <v>418</v>
      </c>
    </row>
    <row r="9453" spans="1:4" x14ac:dyDescent="0.25">
      <c r="A9453" t="str">
        <f>T("   HK")</f>
        <v xml:space="preserve">   HK</v>
      </c>
      <c r="B9453" t="str">
        <f>T("   Hong-Kong")</f>
        <v xml:space="preserve">   Hong-Kong</v>
      </c>
      <c r="C9453">
        <v>850000</v>
      </c>
      <c r="D9453">
        <v>850</v>
      </c>
    </row>
    <row r="9454" spans="1:4" x14ac:dyDescent="0.25">
      <c r="A9454" t="str">
        <f>T("   IT")</f>
        <v xml:space="preserve">   IT</v>
      </c>
      <c r="B9454" t="str">
        <f>T("   Italie")</f>
        <v xml:space="preserve">   Italie</v>
      </c>
      <c r="C9454">
        <v>275504</v>
      </c>
      <c r="D9454">
        <v>450</v>
      </c>
    </row>
    <row r="9455" spans="1:4" x14ac:dyDescent="0.25">
      <c r="A9455" t="str">
        <f>T("   JP")</f>
        <v xml:space="preserve">   JP</v>
      </c>
      <c r="B9455" t="str">
        <f>T("   Japon")</f>
        <v xml:space="preserve">   Japon</v>
      </c>
      <c r="C9455">
        <v>1720000</v>
      </c>
      <c r="D9455">
        <v>3245</v>
      </c>
    </row>
    <row r="9456" spans="1:4" x14ac:dyDescent="0.25">
      <c r="A9456" t="str">
        <f>T("   LB")</f>
        <v xml:space="preserve">   LB</v>
      </c>
      <c r="B9456" t="str">
        <f>T("   Liban")</f>
        <v xml:space="preserve">   Liban</v>
      </c>
      <c r="C9456">
        <v>213517</v>
      </c>
      <c r="D9456">
        <v>340</v>
      </c>
    </row>
    <row r="9457" spans="1:4" x14ac:dyDescent="0.25">
      <c r="A9457" t="str">
        <f>T("   MA")</f>
        <v xml:space="preserve">   MA</v>
      </c>
      <c r="B9457" t="str">
        <f>T("   Maroc")</f>
        <v xml:space="preserve">   Maroc</v>
      </c>
      <c r="C9457">
        <v>900000</v>
      </c>
      <c r="D9457">
        <v>700</v>
      </c>
    </row>
    <row r="9458" spans="1:4" x14ac:dyDescent="0.25">
      <c r="A9458" t="str">
        <f>T("   MQ")</f>
        <v xml:space="preserve">   MQ</v>
      </c>
      <c r="B9458" t="str">
        <f>T("   Martinique")</f>
        <v xml:space="preserve">   Martinique</v>
      </c>
      <c r="C9458">
        <v>600000</v>
      </c>
      <c r="D9458">
        <v>200</v>
      </c>
    </row>
    <row r="9459" spans="1:4" x14ac:dyDescent="0.25">
      <c r="A9459" t="str">
        <f>T("   MR")</f>
        <v xml:space="preserve">   MR</v>
      </c>
      <c r="B9459" t="str">
        <f>T("   Mauritanie")</f>
        <v xml:space="preserve">   Mauritanie</v>
      </c>
      <c r="C9459">
        <v>78715</v>
      </c>
      <c r="D9459">
        <v>79</v>
      </c>
    </row>
    <row r="9460" spans="1:4" x14ac:dyDescent="0.25">
      <c r="A9460" t="str">
        <f>T("   NA")</f>
        <v xml:space="preserve">   NA</v>
      </c>
      <c r="B9460" t="str">
        <f>T("   Namibie")</f>
        <v xml:space="preserve">   Namibie</v>
      </c>
      <c r="C9460">
        <v>700000</v>
      </c>
      <c r="D9460">
        <v>1700</v>
      </c>
    </row>
    <row r="9461" spans="1:4" x14ac:dyDescent="0.25">
      <c r="A9461" t="str">
        <f>T("   NG")</f>
        <v xml:space="preserve">   NG</v>
      </c>
      <c r="B9461" t="str">
        <f>T("   Nigéria")</f>
        <v xml:space="preserve">   Nigéria</v>
      </c>
      <c r="C9461">
        <v>25912685</v>
      </c>
      <c r="D9461">
        <v>74402</v>
      </c>
    </row>
    <row r="9462" spans="1:4" x14ac:dyDescent="0.25">
      <c r="A9462" t="str">
        <f>T("   NL")</f>
        <v xml:space="preserve">   NL</v>
      </c>
      <c r="B9462" t="str">
        <f>T("   Pays-bas")</f>
        <v xml:space="preserve">   Pays-bas</v>
      </c>
      <c r="C9462">
        <v>900000</v>
      </c>
      <c r="D9462">
        <v>1060</v>
      </c>
    </row>
    <row r="9463" spans="1:4" x14ac:dyDescent="0.25">
      <c r="A9463" t="str">
        <f>T("   RU")</f>
        <v xml:space="preserve">   RU</v>
      </c>
      <c r="B9463" t="str">
        <f>T("   Russie, Fédération de")</f>
        <v xml:space="preserve">   Russie, Fédération de</v>
      </c>
      <c r="C9463">
        <v>500000</v>
      </c>
      <c r="D9463">
        <v>500</v>
      </c>
    </row>
    <row r="9464" spans="1:4" x14ac:dyDescent="0.25">
      <c r="A9464" t="str">
        <f>T("   RW")</f>
        <v xml:space="preserve">   RW</v>
      </c>
      <c r="B9464" t="str">
        <f>T("   Rwanda")</f>
        <v xml:space="preserve">   Rwanda</v>
      </c>
      <c r="C9464">
        <v>400000</v>
      </c>
      <c r="D9464">
        <v>293</v>
      </c>
    </row>
    <row r="9465" spans="1:4" x14ac:dyDescent="0.25">
      <c r="A9465" t="str">
        <f>T("   SA")</f>
        <v xml:space="preserve">   SA</v>
      </c>
      <c r="B9465" t="str">
        <f>T("   Arabie Saoudite")</f>
        <v xml:space="preserve">   Arabie Saoudite</v>
      </c>
      <c r="C9465">
        <v>450000</v>
      </c>
      <c r="D9465">
        <v>400</v>
      </c>
    </row>
    <row r="9466" spans="1:4" x14ac:dyDescent="0.25">
      <c r="A9466" t="str">
        <f>T("   SN")</f>
        <v xml:space="preserve">   SN</v>
      </c>
      <c r="B9466" t="str">
        <f>T("   Sénégal")</f>
        <v xml:space="preserve">   Sénégal</v>
      </c>
      <c r="C9466">
        <v>650000</v>
      </c>
      <c r="D9466">
        <v>180</v>
      </c>
    </row>
    <row r="9467" spans="1:4" x14ac:dyDescent="0.25">
      <c r="A9467" t="str">
        <f>T("   US")</f>
        <v xml:space="preserve">   US</v>
      </c>
      <c r="B9467" t="str">
        <f>T("   Etats-Unis")</f>
        <v xml:space="preserve">   Etats-Unis</v>
      </c>
      <c r="C9467">
        <v>864703</v>
      </c>
      <c r="D9467">
        <v>1691</v>
      </c>
    </row>
    <row r="9468" spans="1:4" x14ac:dyDescent="0.25">
      <c r="A9468" t="str">
        <f>T("   VN")</f>
        <v xml:space="preserve">   VN</v>
      </c>
      <c r="B9468" t="str">
        <f>T("   Vietnam")</f>
        <v xml:space="preserve">   Vietnam</v>
      </c>
      <c r="C9468">
        <v>800000</v>
      </c>
      <c r="D9468">
        <v>466</v>
      </c>
    </row>
    <row r="9469" spans="1:4" x14ac:dyDescent="0.25">
      <c r="A9469" t="str">
        <f>T("   ZA")</f>
        <v xml:space="preserve">   ZA</v>
      </c>
      <c r="B9469" t="str">
        <f>T("   Afrique du Sud")</f>
        <v xml:space="preserve">   Afrique du Sud</v>
      </c>
      <c r="C9469">
        <v>1911920</v>
      </c>
      <c r="D9469">
        <v>1332</v>
      </c>
    </row>
    <row r="9470" spans="1:4" x14ac:dyDescent="0.25">
      <c r="A9470" t="str">
        <f>T("732399")</f>
        <v>732399</v>
      </c>
      <c r="B9470" t="str">
        <f>T("Articles de ménage ou d'économie domestique et leurs parties, en fer ou aciers autres qu'inoxydables (sauf fonte et articles émaillés; bidons, boîtes et récipients simil. du n° 7310; poubelles; pelles, tire-bouchons et autres articles à caractère d'outils")</f>
        <v>Articles de ménage ou d'économie domestique et leurs parties, en fer ou aciers autres qu'inoxydables (sauf fonte et articles émaillés; bidons, boîtes et récipients simil. du n° 7310; poubelles; pelles, tire-bouchons et autres articles à caractère d'outils</v>
      </c>
    </row>
    <row r="9471" spans="1:4" x14ac:dyDescent="0.25">
      <c r="A9471" t="str">
        <f>T("   ZZZ_Monde")</f>
        <v xml:space="preserve">   ZZZ_Monde</v>
      </c>
      <c r="B9471" t="str">
        <f>T("   ZZZ_Monde")</f>
        <v xml:space="preserve">   ZZZ_Monde</v>
      </c>
      <c r="C9471">
        <v>462697883</v>
      </c>
      <c r="D9471">
        <v>1023731</v>
      </c>
    </row>
    <row r="9472" spans="1:4" x14ac:dyDescent="0.25">
      <c r="A9472" t="str">
        <f>T("   AE")</f>
        <v xml:space="preserve">   AE</v>
      </c>
      <c r="B9472" t="str">
        <f>T("   Emirats Arabes Unis")</f>
        <v xml:space="preserve">   Emirats Arabes Unis</v>
      </c>
      <c r="C9472">
        <v>14813390</v>
      </c>
      <c r="D9472">
        <v>28725</v>
      </c>
    </row>
    <row r="9473" spans="1:4" x14ac:dyDescent="0.25">
      <c r="A9473" t="str">
        <f>T("   BE")</f>
        <v xml:space="preserve">   BE</v>
      </c>
      <c r="B9473" t="str">
        <f>T("   Belgique")</f>
        <v xml:space="preserve">   Belgique</v>
      </c>
      <c r="C9473">
        <v>111109239</v>
      </c>
      <c r="D9473">
        <v>200303</v>
      </c>
    </row>
    <row r="9474" spans="1:4" x14ac:dyDescent="0.25">
      <c r="A9474" t="str">
        <f>T("   CM")</f>
        <v xml:space="preserve">   CM</v>
      </c>
      <c r="B9474" t="str">
        <f>T("   Cameroun")</f>
        <v xml:space="preserve">   Cameroun</v>
      </c>
      <c r="C9474">
        <v>115000</v>
      </c>
      <c r="D9474">
        <v>180</v>
      </c>
    </row>
    <row r="9475" spans="1:4" x14ac:dyDescent="0.25">
      <c r="A9475" t="str">
        <f>T("   CN")</f>
        <v xml:space="preserve">   CN</v>
      </c>
      <c r="B9475" t="str">
        <f>T("   Chine")</f>
        <v xml:space="preserve">   Chine</v>
      </c>
      <c r="C9475">
        <v>192145782</v>
      </c>
      <c r="D9475">
        <v>622490</v>
      </c>
    </row>
    <row r="9476" spans="1:4" x14ac:dyDescent="0.25">
      <c r="A9476" t="str">
        <f>T("   DE")</f>
        <v xml:space="preserve">   DE</v>
      </c>
      <c r="B9476" t="str">
        <f>T("   Allemagne")</f>
        <v xml:space="preserve">   Allemagne</v>
      </c>
      <c r="C9476">
        <v>8803846</v>
      </c>
      <c r="D9476">
        <v>13726</v>
      </c>
    </row>
    <row r="9477" spans="1:4" x14ac:dyDescent="0.25">
      <c r="A9477" t="str">
        <f>T("   ES")</f>
        <v xml:space="preserve">   ES</v>
      </c>
      <c r="B9477" t="str">
        <f>T("   Espagne")</f>
        <v xml:space="preserve">   Espagne</v>
      </c>
      <c r="C9477">
        <v>1281576</v>
      </c>
      <c r="D9477">
        <v>5843</v>
      </c>
    </row>
    <row r="9478" spans="1:4" x14ac:dyDescent="0.25">
      <c r="A9478" t="str">
        <f>T("   FR")</f>
        <v xml:space="preserve">   FR</v>
      </c>
      <c r="B9478" t="str">
        <f>T("   France")</f>
        <v xml:space="preserve">   France</v>
      </c>
      <c r="C9478">
        <v>79201998</v>
      </c>
      <c r="D9478">
        <v>59361</v>
      </c>
    </row>
    <row r="9479" spans="1:4" x14ac:dyDescent="0.25">
      <c r="A9479" t="str">
        <f>T("   GB")</f>
        <v xml:space="preserve">   GB</v>
      </c>
      <c r="B9479" t="str">
        <f>T("   Royaume-Uni")</f>
        <v xml:space="preserve">   Royaume-Uni</v>
      </c>
      <c r="C9479">
        <v>3594750</v>
      </c>
      <c r="D9479">
        <v>5239</v>
      </c>
    </row>
    <row r="9480" spans="1:4" x14ac:dyDescent="0.25">
      <c r="A9480" t="str">
        <f>T("   IN")</f>
        <v xml:space="preserve">   IN</v>
      </c>
      <c r="B9480" t="str">
        <f>T("   Inde")</f>
        <v xml:space="preserve">   Inde</v>
      </c>
      <c r="C9480">
        <v>6133503</v>
      </c>
      <c r="D9480">
        <v>7765</v>
      </c>
    </row>
    <row r="9481" spans="1:4" x14ac:dyDescent="0.25">
      <c r="A9481" t="str">
        <f>T("   IR")</f>
        <v xml:space="preserve">   IR</v>
      </c>
      <c r="B9481" t="str">
        <f>T("   Iran, République Islqmique d'")</f>
        <v xml:space="preserve">   Iran, République Islqmique d'</v>
      </c>
      <c r="C9481">
        <v>1344254</v>
      </c>
      <c r="D9481">
        <v>1763</v>
      </c>
    </row>
    <row r="9482" spans="1:4" x14ac:dyDescent="0.25">
      <c r="A9482" t="str">
        <f>T("   IT")</f>
        <v xml:space="preserve">   IT</v>
      </c>
      <c r="B9482" t="str">
        <f>T("   Italie")</f>
        <v xml:space="preserve">   Italie</v>
      </c>
      <c r="C9482">
        <v>7113588</v>
      </c>
      <c r="D9482">
        <v>8707</v>
      </c>
    </row>
    <row r="9483" spans="1:4" x14ac:dyDescent="0.25">
      <c r="A9483" t="str">
        <f>T("   JP")</f>
        <v xml:space="preserve">   JP</v>
      </c>
      <c r="B9483" t="str">
        <f>T("   Japon")</f>
        <v xml:space="preserve">   Japon</v>
      </c>
      <c r="C9483">
        <v>300430</v>
      </c>
      <c r="D9483">
        <v>875</v>
      </c>
    </row>
    <row r="9484" spans="1:4" x14ac:dyDescent="0.25">
      <c r="A9484" t="str">
        <f>T("   KW")</f>
        <v xml:space="preserve">   KW</v>
      </c>
      <c r="B9484" t="str">
        <f>T("   Koweit")</f>
        <v xml:space="preserve">   Koweit</v>
      </c>
      <c r="C9484">
        <v>6441941</v>
      </c>
      <c r="D9484">
        <v>7763</v>
      </c>
    </row>
    <row r="9485" spans="1:4" x14ac:dyDescent="0.25">
      <c r="A9485" t="str">
        <f>T("   LB")</f>
        <v xml:space="preserve">   LB</v>
      </c>
      <c r="B9485" t="str">
        <f>T("   Liban")</f>
        <v xml:space="preserve">   Liban</v>
      </c>
      <c r="C9485">
        <v>3703239</v>
      </c>
      <c r="D9485">
        <v>2687</v>
      </c>
    </row>
    <row r="9486" spans="1:4" x14ac:dyDescent="0.25">
      <c r="A9486" t="str">
        <f>T("   MA")</f>
        <v xml:space="preserve">   MA</v>
      </c>
      <c r="B9486" t="str">
        <f>T("   Maroc")</f>
        <v xml:space="preserve">   Maroc</v>
      </c>
      <c r="C9486">
        <v>478278</v>
      </c>
      <c r="D9486">
        <v>125</v>
      </c>
    </row>
    <row r="9487" spans="1:4" x14ac:dyDescent="0.25">
      <c r="A9487" t="str">
        <f>T("   NG")</f>
        <v xml:space="preserve">   NG</v>
      </c>
      <c r="B9487" t="str">
        <f>T("   Nigéria")</f>
        <v xml:space="preserve">   Nigéria</v>
      </c>
      <c r="C9487">
        <v>392000</v>
      </c>
      <c r="D9487">
        <v>1120</v>
      </c>
    </row>
    <row r="9488" spans="1:4" x14ac:dyDescent="0.25">
      <c r="A9488" t="str">
        <f>T("   SA")</f>
        <v xml:space="preserve">   SA</v>
      </c>
      <c r="B9488" t="str">
        <f>T("   Arabie Saoudite")</f>
        <v xml:space="preserve">   Arabie Saoudite</v>
      </c>
      <c r="C9488">
        <v>1592015</v>
      </c>
      <c r="D9488">
        <v>3264</v>
      </c>
    </row>
    <row r="9489" spans="1:4" x14ac:dyDescent="0.25">
      <c r="A9489" t="str">
        <f>T("   SG")</f>
        <v xml:space="preserve">   SG</v>
      </c>
      <c r="B9489" t="str">
        <f>T("   Singapour")</f>
        <v xml:space="preserve">   Singapour</v>
      </c>
      <c r="C9489">
        <v>599996</v>
      </c>
      <c r="D9489">
        <v>5913</v>
      </c>
    </row>
    <row r="9490" spans="1:4" x14ac:dyDescent="0.25">
      <c r="A9490" t="str">
        <f>T("   SN")</f>
        <v xml:space="preserve">   SN</v>
      </c>
      <c r="B9490" t="str">
        <f>T("   Sénégal")</f>
        <v xml:space="preserve">   Sénégal</v>
      </c>
      <c r="C9490">
        <v>10639772</v>
      </c>
      <c r="D9490">
        <v>9261</v>
      </c>
    </row>
    <row r="9491" spans="1:4" x14ac:dyDescent="0.25">
      <c r="A9491" t="str">
        <f>T("   TG")</f>
        <v xml:space="preserve">   TG</v>
      </c>
      <c r="B9491" t="str">
        <f>T("   Togo")</f>
        <v xml:space="preserve">   Togo</v>
      </c>
      <c r="C9491">
        <v>5835472</v>
      </c>
      <c r="D9491">
        <v>23401</v>
      </c>
    </row>
    <row r="9492" spans="1:4" x14ac:dyDescent="0.25">
      <c r="A9492" t="str">
        <f>T("   TZ")</f>
        <v xml:space="preserve">   TZ</v>
      </c>
      <c r="B9492" t="str">
        <f>T("   Tanzanie")</f>
        <v xml:space="preserve">   Tanzanie</v>
      </c>
      <c r="C9492">
        <v>203244</v>
      </c>
      <c r="D9492">
        <v>150</v>
      </c>
    </row>
    <row r="9493" spans="1:4" x14ac:dyDescent="0.25">
      <c r="A9493" t="str">
        <f>T("   US")</f>
        <v xml:space="preserve">   US</v>
      </c>
      <c r="B9493" t="str">
        <f>T("   Etats-Unis")</f>
        <v xml:space="preserve">   Etats-Unis</v>
      </c>
      <c r="C9493">
        <v>6854570</v>
      </c>
      <c r="D9493">
        <v>15070</v>
      </c>
    </row>
    <row r="9494" spans="1:4" x14ac:dyDescent="0.25">
      <c r="A9494" t="str">
        <f>T("732410")</f>
        <v>732410</v>
      </c>
      <c r="B9494" t="str">
        <f>T("ÉVIERS ET LAVABOS EN ACIER INOXYDABLE")</f>
        <v>ÉVIERS ET LAVABOS EN ACIER INOXYDABLE</v>
      </c>
    </row>
    <row r="9495" spans="1:4" x14ac:dyDescent="0.25">
      <c r="A9495" t="str">
        <f>T("   ZZZ_Monde")</f>
        <v xml:space="preserve">   ZZZ_Monde</v>
      </c>
      <c r="B9495" t="str">
        <f>T("   ZZZ_Monde")</f>
        <v xml:space="preserve">   ZZZ_Monde</v>
      </c>
      <c r="C9495">
        <v>24286519</v>
      </c>
      <c r="D9495">
        <v>11917</v>
      </c>
    </row>
    <row r="9496" spans="1:4" x14ac:dyDescent="0.25">
      <c r="A9496" t="str">
        <f>T("   CN")</f>
        <v xml:space="preserve">   CN</v>
      </c>
      <c r="B9496" t="str">
        <f>T("   Chine")</f>
        <v xml:space="preserve">   Chine</v>
      </c>
      <c r="C9496">
        <v>14998866</v>
      </c>
      <c r="D9496">
        <v>8219</v>
      </c>
    </row>
    <row r="9497" spans="1:4" x14ac:dyDescent="0.25">
      <c r="A9497" t="str">
        <f>T("   ES")</f>
        <v xml:space="preserve">   ES</v>
      </c>
      <c r="B9497" t="str">
        <f>T("   Espagne")</f>
        <v xml:space="preserve">   Espagne</v>
      </c>
      <c r="C9497">
        <v>4805563</v>
      </c>
      <c r="D9497">
        <v>1591</v>
      </c>
    </row>
    <row r="9498" spans="1:4" x14ac:dyDescent="0.25">
      <c r="A9498" t="str">
        <f>T("   FR")</f>
        <v xml:space="preserve">   FR</v>
      </c>
      <c r="B9498" t="str">
        <f>T("   France")</f>
        <v xml:space="preserve">   France</v>
      </c>
      <c r="C9498">
        <v>3824901</v>
      </c>
      <c r="D9498">
        <v>690</v>
      </c>
    </row>
    <row r="9499" spans="1:4" x14ac:dyDescent="0.25">
      <c r="A9499" t="str">
        <f>T("   IT")</f>
        <v xml:space="preserve">   IT</v>
      </c>
      <c r="B9499" t="str">
        <f>T("   Italie")</f>
        <v xml:space="preserve">   Italie</v>
      </c>
      <c r="C9499">
        <v>657189</v>
      </c>
      <c r="D9499">
        <v>1417</v>
      </c>
    </row>
    <row r="9500" spans="1:4" x14ac:dyDescent="0.25">
      <c r="A9500" t="str">
        <f>T("732429")</f>
        <v>732429</v>
      </c>
      <c r="B9500" t="str">
        <f>T("Baignoires en tôle d'acier")</f>
        <v>Baignoires en tôle d'acier</v>
      </c>
    </row>
    <row r="9501" spans="1:4" x14ac:dyDescent="0.25">
      <c r="A9501" t="str">
        <f>T("   ZZZ_Monde")</f>
        <v xml:space="preserve">   ZZZ_Monde</v>
      </c>
      <c r="B9501" t="str">
        <f>T("   ZZZ_Monde")</f>
        <v xml:space="preserve">   ZZZ_Monde</v>
      </c>
      <c r="C9501">
        <v>7976690</v>
      </c>
      <c r="D9501">
        <v>13018</v>
      </c>
    </row>
    <row r="9502" spans="1:4" x14ac:dyDescent="0.25">
      <c r="A9502" t="str">
        <f>T("   CN")</f>
        <v xml:space="preserve">   CN</v>
      </c>
      <c r="B9502" t="str">
        <f>T("   Chine")</f>
        <v xml:space="preserve">   Chine</v>
      </c>
      <c r="C9502">
        <v>4450000</v>
      </c>
      <c r="D9502">
        <v>10000</v>
      </c>
    </row>
    <row r="9503" spans="1:4" x14ac:dyDescent="0.25">
      <c r="A9503" t="str">
        <f>T("   ES")</f>
        <v xml:space="preserve">   ES</v>
      </c>
      <c r="B9503" t="str">
        <f>T("   Espagne")</f>
        <v xml:space="preserve">   Espagne</v>
      </c>
      <c r="C9503">
        <v>2375795</v>
      </c>
      <c r="D9503">
        <v>378</v>
      </c>
    </row>
    <row r="9504" spans="1:4" x14ac:dyDescent="0.25">
      <c r="A9504" t="str">
        <f>T("   FR")</f>
        <v xml:space="preserve">   FR</v>
      </c>
      <c r="B9504" t="str">
        <f>T("   France")</f>
        <v xml:space="preserve">   France</v>
      </c>
      <c r="C9504">
        <v>266976</v>
      </c>
      <c r="D9504">
        <v>2415</v>
      </c>
    </row>
    <row r="9505" spans="1:4" x14ac:dyDescent="0.25">
      <c r="A9505" t="str">
        <f>T("   IT")</f>
        <v xml:space="preserve">   IT</v>
      </c>
      <c r="B9505" t="str">
        <f>T("   Italie")</f>
        <v xml:space="preserve">   Italie</v>
      </c>
      <c r="C9505">
        <v>774689</v>
      </c>
      <c r="D9505">
        <v>150</v>
      </c>
    </row>
    <row r="9506" spans="1:4" x14ac:dyDescent="0.25">
      <c r="A9506" t="str">
        <f>T("   TG")</f>
        <v xml:space="preserve">   TG</v>
      </c>
      <c r="B9506" t="str">
        <f>T("   Togo")</f>
        <v xml:space="preserve">   Togo</v>
      </c>
      <c r="C9506">
        <v>109230</v>
      </c>
      <c r="D9506">
        <v>75</v>
      </c>
    </row>
    <row r="9507" spans="1:4" x14ac:dyDescent="0.25">
      <c r="A9507" t="str">
        <f>T("732490")</f>
        <v>732490</v>
      </c>
      <c r="B9507" t="str">
        <f>T("Articles d'hygiène ou de toilette et leurs parties, en fonte, fer ou acier (à l'excl. des bidons, boîtes et récipients simil. du n° 7310, des petites armoires suspendues à pharmacie ou de toilette et autres meubles du chapitre 94, des éviers et lavabos co")</f>
        <v>Articles d'hygiène ou de toilette et leurs parties, en fonte, fer ou acier (à l'excl. des bidons, boîtes et récipients simil. du n° 7310, des petites armoires suspendues à pharmacie ou de toilette et autres meubles du chapitre 94, des éviers et lavabos co</v>
      </c>
    </row>
    <row r="9508" spans="1:4" x14ac:dyDescent="0.25">
      <c r="A9508" t="str">
        <f>T("   ZZZ_Monde")</f>
        <v xml:space="preserve">   ZZZ_Monde</v>
      </c>
      <c r="B9508" t="str">
        <f>T("   ZZZ_Monde")</f>
        <v xml:space="preserve">   ZZZ_Monde</v>
      </c>
      <c r="C9508">
        <v>44533530</v>
      </c>
      <c r="D9508">
        <v>145673</v>
      </c>
    </row>
    <row r="9509" spans="1:4" x14ac:dyDescent="0.25">
      <c r="A9509" t="str">
        <f>T("   CN")</f>
        <v xml:space="preserve">   CN</v>
      </c>
      <c r="B9509" t="str">
        <f>T("   Chine")</f>
        <v xml:space="preserve">   Chine</v>
      </c>
      <c r="C9509">
        <v>7555665</v>
      </c>
      <c r="D9509">
        <v>10474</v>
      </c>
    </row>
    <row r="9510" spans="1:4" x14ac:dyDescent="0.25">
      <c r="A9510" t="str">
        <f>T("   DE")</f>
        <v xml:space="preserve">   DE</v>
      </c>
      <c r="B9510" t="str">
        <f>T("   Allemagne")</f>
        <v xml:space="preserve">   Allemagne</v>
      </c>
      <c r="C9510">
        <v>2669102</v>
      </c>
      <c r="D9510">
        <v>206</v>
      </c>
    </row>
    <row r="9511" spans="1:4" x14ac:dyDescent="0.25">
      <c r="A9511" t="str">
        <f>T("   ES")</f>
        <v xml:space="preserve">   ES</v>
      </c>
      <c r="B9511" t="str">
        <f>T("   Espagne")</f>
        <v xml:space="preserve">   Espagne</v>
      </c>
      <c r="C9511">
        <v>1527298</v>
      </c>
      <c r="D9511">
        <v>824</v>
      </c>
    </row>
    <row r="9512" spans="1:4" x14ac:dyDescent="0.25">
      <c r="A9512" t="str">
        <f>T("   GH")</f>
        <v xml:space="preserve">   GH</v>
      </c>
      <c r="B9512" t="str">
        <f>T("   Ghana")</f>
        <v xml:space="preserve">   Ghana</v>
      </c>
      <c r="C9512">
        <v>1300000</v>
      </c>
      <c r="D9512">
        <v>5800</v>
      </c>
    </row>
    <row r="9513" spans="1:4" x14ac:dyDescent="0.25">
      <c r="A9513" t="str">
        <f>T("   TG")</f>
        <v xml:space="preserve">   TG</v>
      </c>
      <c r="B9513" t="str">
        <f>T("   Togo")</f>
        <v xml:space="preserve">   Togo</v>
      </c>
      <c r="C9513">
        <v>31189541</v>
      </c>
      <c r="D9513">
        <v>126869</v>
      </c>
    </row>
    <row r="9514" spans="1:4" x14ac:dyDescent="0.25">
      <c r="A9514" t="str">
        <f>T("   TR")</f>
        <v xml:space="preserve">   TR</v>
      </c>
      <c r="B9514" t="str">
        <f>T("   Turquie")</f>
        <v xml:space="preserve">   Turquie</v>
      </c>
      <c r="C9514">
        <v>291924</v>
      </c>
      <c r="D9514">
        <v>1500</v>
      </c>
    </row>
    <row r="9515" spans="1:4" x14ac:dyDescent="0.25">
      <c r="A9515" t="str">
        <f>T("732510")</f>
        <v>732510</v>
      </c>
      <c r="B9515" t="str">
        <f>T("OUVRAGES EN FER OU EN ACIER, EN FONTE NON-MALLÉABLE, MOULÉS, N.D.A.")</f>
        <v>OUVRAGES EN FER OU EN ACIER, EN FONTE NON-MALLÉABLE, MOULÉS, N.D.A.</v>
      </c>
    </row>
    <row r="9516" spans="1:4" x14ac:dyDescent="0.25">
      <c r="A9516" t="str">
        <f>T("   ZZZ_Monde")</f>
        <v xml:space="preserve">   ZZZ_Monde</v>
      </c>
      <c r="B9516" t="str">
        <f>T("   ZZZ_Monde")</f>
        <v xml:space="preserve">   ZZZ_Monde</v>
      </c>
      <c r="C9516">
        <v>25297836</v>
      </c>
      <c r="D9516">
        <v>20905</v>
      </c>
    </row>
    <row r="9517" spans="1:4" x14ac:dyDescent="0.25">
      <c r="A9517" t="str">
        <f>T("   BE")</f>
        <v xml:space="preserve">   BE</v>
      </c>
      <c r="B9517" t="str">
        <f>T("   Belgique")</f>
        <v xml:space="preserve">   Belgique</v>
      </c>
      <c r="C9517">
        <v>2466410</v>
      </c>
      <c r="D9517">
        <v>2680</v>
      </c>
    </row>
    <row r="9518" spans="1:4" x14ac:dyDescent="0.25">
      <c r="A9518" t="str">
        <f>T("   FR")</f>
        <v xml:space="preserve">   FR</v>
      </c>
      <c r="B9518" t="str">
        <f>T("   France")</f>
        <v xml:space="preserve">   France</v>
      </c>
      <c r="C9518">
        <v>22831426</v>
      </c>
      <c r="D9518">
        <v>18225</v>
      </c>
    </row>
    <row r="9519" spans="1:4" x14ac:dyDescent="0.25">
      <c r="A9519" t="str">
        <f>T("732591")</f>
        <v>732591</v>
      </c>
      <c r="B9519" t="str">
        <f>T("Boulets et simil., pour broyeurs, moulés (sauf en fonte non malléable)")</f>
        <v>Boulets et simil., pour broyeurs, moulés (sauf en fonte non malléable)</v>
      </c>
    </row>
    <row r="9520" spans="1:4" x14ac:dyDescent="0.25">
      <c r="A9520" t="str">
        <f>T("   ZZZ_Monde")</f>
        <v xml:space="preserve">   ZZZ_Monde</v>
      </c>
      <c r="B9520" t="str">
        <f>T("   ZZZ_Monde")</f>
        <v xml:space="preserve">   ZZZ_Monde</v>
      </c>
      <c r="C9520">
        <v>353010657</v>
      </c>
      <c r="D9520">
        <v>435285</v>
      </c>
    </row>
    <row r="9521" spans="1:4" x14ac:dyDescent="0.25">
      <c r="A9521" t="str">
        <f>T("   BE")</f>
        <v xml:space="preserve">   BE</v>
      </c>
      <c r="B9521" t="str">
        <f>T("   Belgique")</f>
        <v xml:space="preserve">   Belgique</v>
      </c>
      <c r="C9521">
        <v>145627712</v>
      </c>
      <c r="D9521">
        <v>175746</v>
      </c>
    </row>
    <row r="9522" spans="1:4" x14ac:dyDescent="0.25">
      <c r="A9522" t="str">
        <f>T("   FR")</f>
        <v xml:space="preserve">   FR</v>
      </c>
      <c r="B9522" t="str">
        <f>T("   France")</f>
        <v xml:space="preserve">   France</v>
      </c>
      <c r="C9522">
        <v>3789481</v>
      </c>
      <c r="D9522">
        <v>984</v>
      </c>
    </row>
    <row r="9523" spans="1:4" x14ac:dyDescent="0.25">
      <c r="A9523" t="str">
        <f>T("   IN")</f>
        <v xml:space="preserve">   IN</v>
      </c>
      <c r="B9523" t="str">
        <f>T("   Inde")</f>
        <v xml:space="preserve">   Inde</v>
      </c>
      <c r="C9523">
        <v>203593464</v>
      </c>
      <c r="D9523">
        <v>258555</v>
      </c>
    </row>
    <row r="9524" spans="1:4" x14ac:dyDescent="0.25">
      <c r="A9524" t="str">
        <f>T("732599")</f>
        <v>732599</v>
      </c>
      <c r="B9524" t="str">
        <f>T("OUVRAGES EN FONTE, FER OU ACIER, MOULÉS, N.D.A. (À L'EXCL. DE LA FONTE NON-MALLÉABLE ET SAUF BOULETS ET ARTICLES SIMIL. POUR BROYEURS)")</f>
        <v>OUVRAGES EN FONTE, FER OU ACIER, MOULÉS, N.D.A. (À L'EXCL. DE LA FONTE NON-MALLÉABLE ET SAUF BOULETS ET ARTICLES SIMIL. POUR BROYEURS)</v>
      </c>
    </row>
    <row r="9525" spans="1:4" x14ac:dyDescent="0.25">
      <c r="A9525" t="str">
        <f>T("   ZZZ_Monde")</f>
        <v xml:space="preserve">   ZZZ_Monde</v>
      </c>
      <c r="B9525" t="str">
        <f>T("   ZZZ_Monde")</f>
        <v xml:space="preserve">   ZZZ_Monde</v>
      </c>
      <c r="C9525">
        <v>42976284</v>
      </c>
      <c r="D9525">
        <v>45516</v>
      </c>
    </row>
    <row r="9526" spans="1:4" x14ac:dyDescent="0.25">
      <c r="A9526" t="str">
        <f>T("   BE")</f>
        <v xml:space="preserve">   BE</v>
      </c>
      <c r="B9526" t="str">
        <f>T("   Belgique")</f>
        <v xml:space="preserve">   Belgique</v>
      </c>
      <c r="C9526">
        <v>26490558</v>
      </c>
      <c r="D9526">
        <v>12060</v>
      </c>
    </row>
    <row r="9527" spans="1:4" x14ac:dyDescent="0.25">
      <c r="A9527" t="str">
        <f>T("   CN")</f>
        <v xml:space="preserve">   CN</v>
      </c>
      <c r="B9527" t="str">
        <f>T("   Chine")</f>
        <v xml:space="preserve">   Chine</v>
      </c>
      <c r="C9527">
        <v>15648382</v>
      </c>
      <c r="D9527">
        <v>30220</v>
      </c>
    </row>
    <row r="9528" spans="1:4" x14ac:dyDescent="0.25">
      <c r="A9528" t="str">
        <f>T("   FR")</f>
        <v xml:space="preserve">   FR</v>
      </c>
      <c r="B9528" t="str">
        <f>T("   France")</f>
        <v xml:space="preserve">   France</v>
      </c>
      <c r="C9528">
        <v>97344</v>
      </c>
      <c r="D9528">
        <v>1</v>
      </c>
    </row>
    <row r="9529" spans="1:4" x14ac:dyDescent="0.25">
      <c r="A9529" t="str">
        <f>T("   IT")</f>
        <v xml:space="preserve">   IT</v>
      </c>
      <c r="B9529" t="str">
        <f>T("   Italie")</f>
        <v xml:space="preserve">   Italie</v>
      </c>
      <c r="C9529">
        <v>90000</v>
      </c>
      <c r="D9529">
        <v>90</v>
      </c>
    </row>
    <row r="9530" spans="1:4" x14ac:dyDescent="0.25">
      <c r="A9530" t="str">
        <f>T("   TG")</f>
        <v xml:space="preserve">   TG</v>
      </c>
      <c r="B9530" t="str">
        <f>T("   Togo")</f>
        <v xml:space="preserve">   Togo</v>
      </c>
      <c r="C9530">
        <v>650000</v>
      </c>
      <c r="D9530">
        <v>3145</v>
      </c>
    </row>
    <row r="9531" spans="1:4" x14ac:dyDescent="0.25">
      <c r="A9531" t="str">
        <f>T("732619")</f>
        <v>732619</v>
      </c>
      <c r="B9531" t="str">
        <f>T("Ouvrages en fer ou en acier, forgés ou estampés mais non autrement travaillés, n.d.a. (sauf boulets et articles simil. pour broyeurs)")</f>
        <v>Ouvrages en fer ou en acier, forgés ou estampés mais non autrement travaillés, n.d.a. (sauf boulets et articles simil. pour broyeurs)</v>
      </c>
    </row>
    <row r="9532" spans="1:4" x14ac:dyDescent="0.25">
      <c r="A9532" t="str">
        <f>T("   ZZZ_Monde")</f>
        <v xml:space="preserve">   ZZZ_Monde</v>
      </c>
      <c r="B9532" t="str">
        <f>T("   ZZZ_Monde")</f>
        <v xml:space="preserve">   ZZZ_Monde</v>
      </c>
      <c r="C9532">
        <v>3021420</v>
      </c>
      <c r="D9532">
        <v>1839</v>
      </c>
    </row>
    <row r="9533" spans="1:4" x14ac:dyDescent="0.25">
      <c r="A9533" t="str">
        <f>T("   CN")</f>
        <v xml:space="preserve">   CN</v>
      </c>
      <c r="B9533" t="str">
        <f>T("   Chine")</f>
        <v xml:space="preserve">   Chine</v>
      </c>
      <c r="C9533">
        <v>150000</v>
      </c>
      <c r="D9533">
        <v>770</v>
      </c>
    </row>
    <row r="9534" spans="1:4" x14ac:dyDescent="0.25">
      <c r="A9534" t="str">
        <f>T("   FR")</f>
        <v xml:space="preserve">   FR</v>
      </c>
      <c r="B9534" t="str">
        <f>T("   France")</f>
        <v xml:space="preserve">   France</v>
      </c>
      <c r="C9534">
        <v>2696652</v>
      </c>
      <c r="D9534">
        <v>629</v>
      </c>
    </row>
    <row r="9535" spans="1:4" x14ac:dyDescent="0.25">
      <c r="A9535" t="str">
        <f>T("   TG")</f>
        <v xml:space="preserve">   TG</v>
      </c>
      <c r="B9535" t="str">
        <f>T("   Togo")</f>
        <v xml:space="preserve">   Togo</v>
      </c>
      <c r="C9535">
        <v>174768</v>
      </c>
      <c r="D9535">
        <v>440</v>
      </c>
    </row>
    <row r="9536" spans="1:4" x14ac:dyDescent="0.25">
      <c r="A9536" t="str">
        <f>T("732620")</f>
        <v>732620</v>
      </c>
      <c r="B9536" t="str">
        <f>T("Ouvrages en fil de fer ou d'acier, n.d.a.")</f>
        <v>Ouvrages en fil de fer ou d'acier, n.d.a.</v>
      </c>
    </row>
    <row r="9537" spans="1:4" x14ac:dyDescent="0.25">
      <c r="A9537" t="str">
        <f>T("   ZZZ_Monde")</f>
        <v xml:space="preserve">   ZZZ_Monde</v>
      </c>
      <c r="B9537" t="str">
        <f>T("   ZZZ_Monde")</f>
        <v xml:space="preserve">   ZZZ_Monde</v>
      </c>
      <c r="C9537">
        <v>5577497</v>
      </c>
      <c r="D9537">
        <v>6387</v>
      </c>
    </row>
    <row r="9538" spans="1:4" x14ac:dyDescent="0.25">
      <c r="A9538" t="str">
        <f>T("   CN")</f>
        <v xml:space="preserve">   CN</v>
      </c>
      <c r="B9538" t="str">
        <f>T("   Chine")</f>
        <v xml:space="preserve">   Chine</v>
      </c>
      <c r="C9538">
        <v>5033175</v>
      </c>
      <c r="D9538">
        <v>6300</v>
      </c>
    </row>
    <row r="9539" spans="1:4" x14ac:dyDescent="0.25">
      <c r="A9539" t="str">
        <f>T("   FR")</f>
        <v xml:space="preserve">   FR</v>
      </c>
      <c r="B9539" t="str">
        <f>T("   France")</f>
        <v xml:space="preserve">   France</v>
      </c>
      <c r="C9539">
        <v>544322</v>
      </c>
      <c r="D9539">
        <v>87</v>
      </c>
    </row>
    <row r="9540" spans="1:4" x14ac:dyDescent="0.25">
      <c r="A9540" t="str">
        <f>T("732690")</f>
        <v>732690</v>
      </c>
      <c r="B9540" t="str">
        <f>T("Ouvrages en fer ou en acier, n.d.a. (autres que moulés, ainsi que forgés ou estampés mais non autrement travaillés ou en fils de fer ou d'acier)")</f>
        <v>Ouvrages en fer ou en acier, n.d.a. (autres que moulés, ainsi que forgés ou estampés mais non autrement travaillés ou en fils de fer ou d'acier)</v>
      </c>
    </row>
    <row r="9541" spans="1:4" x14ac:dyDescent="0.25">
      <c r="A9541" t="str">
        <f>T("   ZZZ_Monde")</f>
        <v xml:space="preserve">   ZZZ_Monde</v>
      </c>
      <c r="B9541" t="str">
        <f>T("   ZZZ_Monde")</f>
        <v xml:space="preserve">   ZZZ_Monde</v>
      </c>
      <c r="C9541">
        <v>443230548</v>
      </c>
      <c r="D9541">
        <v>394317</v>
      </c>
    </row>
    <row r="9542" spans="1:4" x14ac:dyDescent="0.25">
      <c r="A9542" t="str">
        <f>T("   AE")</f>
        <v xml:space="preserve">   AE</v>
      </c>
      <c r="B9542" t="str">
        <f>T("   Emirats Arabes Unis")</f>
        <v xml:space="preserve">   Emirats Arabes Unis</v>
      </c>
      <c r="C9542">
        <v>4857022</v>
      </c>
      <c r="D9542">
        <v>13514</v>
      </c>
    </row>
    <row r="9543" spans="1:4" x14ac:dyDescent="0.25">
      <c r="A9543" t="str">
        <f>T("   AT")</f>
        <v xml:space="preserve">   AT</v>
      </c>
      <c r="B9543" t="str">
        <f>T("   Autriche")</f>
        <v xml:space="preserve">   Autriche</v>
      </c>
      <c r="C9543">
        <v>4732456</v>
      </c>
      <c r="D9543">
        <v>176.5</v>
      </c>
    </row>
    <row r="9544" spans="1:4" x14ac:dyDescent="0.25">
      <c r="A9544" t="str">
        <f>T("   BE")</f>
        <v xml:space="preserve">   BE</v>
      </c>
      <c r="B9544" t="str">
        <f>T("   Belgique")</f>
        <v xml:space="preserve">   Belgique</v>
      </c>
      <c r="C9544">
        <v>2852206</v>
      </c>
      <c r="D9544">
        <v>1756</v>
      </c>
    </row>
    <row r="9545" spans="1:4" x14ac:dyDescent="0.25">
      <c r="A9545" t="str">
        <f>T("   CN")</f>
        <v xml:space="preserve">   CN</v>
      </c>
      <c r="B9545" t="str">
        <f>T("   Chine")</f>
        <v xml:space="preserve">   Chine</v>
      </c>
      <c r="C9545">
        <v>123327642</v>
      </c>
      <c r="D9545">
        <v>227545</v>
      </c>
    </row>
    <row r="9546" spans="1:4" x14ac:dyDescent="0.25">
      <c r="A9546" t="str">
        <f>T("   DE")</f>
        <v xml:space="preserve">   DE</v>
      </c>
      <c r="B9546" t="str">
        <f>T("   Allemagne")</f>
        <v xml:space="preserve">   Allemagne</v>
      </c>
      <c r="C9546">
        <v>5080054</v>
      </c>
      <c r="D9546">
        <v>106</v>
      </c>
    </row>
    <row r="9547" spans="1:4" x14ac:dyDescent="0.25">
      <c r="A9547" t="str">
        <f>T("   ES")</f>
        <v xml:space="preserve">   ES</v>
      </c>
      <c r="B9547" t="str">
        <f>T("   Espagne")</f>
        <v xml:space="preserve">   Espagne</v>
      </c>
      <c r="C9547">
        <v>423796</v>
      </c>
      <c r="D9547">
        <v>1240</v>
      </c>
    </row>
    <row r="9548" spans="1:4" x14ac:dyDescent="0.25">
      <c r="A9548" t="str">
        <f>T("   FR")</f>
        <v xml:space="preserve">   FR</v>
      </c>
      <c r="B9548" t="str">
        <f>T("   France")</f>
        <v xml:space="preserve">   France</v>
      </c>
      <c r="C9548">
        <v>238597133</v>
      </c>
      <c r="D9548">
        <v>107662.5</v>
      </c>
    </row>
    <row r="9549" spans="1:4" x14ac:dyDescent="0.25">
      <c r="A9549" t="str">
        <f>T("   GB")</f>
        <v xml:space="preserve">   GB</v>
      </c>
      <c r="B9549" t="str">
        <f>T("   Royaume-Uni")</f>
        <v xml:space="preserve">   Royaume-Uni</v>
      </c>
      <c r="C9549">
        <v>1956346</v>
      </c>
      <c r="D9549">
        <v>188</v>
      </c>
    </row>
    <row r="9550" spans="1:4" x14ac:dyDescent="0.25">
      <c r="A9550" t="str">
        <f>T("   ID")</f>
        <v xml:space="preserve">   ID</v>
      </c>
      <c r="B9550" t="str">
        <f>T("   Indonésie")</f>
        <v xml:space="preserve">   Indonésie</v>
      </c>
      <c r="C9550">
        <v>2847</v>
      </c>
      <c r="D9550">
        <v>20</v>
      </c>
    </row>
    <row r="9551" spans="1:4" x14ac:dyDescent="0.25">
      <c r="A9551" t="str">
        <f>T("   IN")</f>
        <v xml:space="preserve">   IN</v>
      </c>
      <c r="B9551" t="str">
        <f>T("   Inde")</f>
        <v xml:space="preserve">   Inde</v>
      </c>
      <c r="C9551">
        <v>2875</v>
      </c>
      <c r="D9551">
        <v>2</v>
      </c>
    </row>
    <row r="9552" spans="1:4" x14ac:dyDescent="0.25">
      <c r="A9552" t="str">
        <f>T("   IT")</f>
        <v xml:space="preserve">   IT</v>
      </c>
      <c r="B9552" t="str">
        <f>T("   Italie")</f>
        <v xml:space="preserve">   Italie</v>
      </c>
      <c r="C9552">
        <v>10391139</v>
      </c>
      <c r="D9552">
        <v>4143</v>
      </c>
    </row>
    <row r="9553" spans="1:4" x14ac:dyDescent="0.25">
      <c r="A9553" t="str">
        <f>T("   LB")</f>
        <v xml:space="preserve">   LB</v>
      </c>
      <c r="B9553" t="str">
        <f>T("   Liban")</f>
        <v xml:space="preserve">   Liban</v>
      </c>
      <c r="C9553">
        <v>4939058</v>
      </c>
      <c r="D9553">
        <v>5334</v>
      </c>
    </row>
    <row r="9554" spans="1:4" x14ac:dyDescent="0.25">
      <c r="A9554" t="str">
        <f>T("   MA")</f>
        <v xml:space="preserve">   MA</v>
      </c>
      <c r="B9554" t="str">
        <f>T("   Maroc")</f>
        <v xml:space="preserve">   Maroc</v>
      </c>
      <c r="C9554">
        <v>847500</v>
      </c>
      <c r="D9554">
        <v>822</v>
      </c>
    </row>
    <row r="9555" spans="1:4" x14ac:dyDescent="0.25">
      <c r="A9555" t="str">
        <f>T("   NL")</f>
        <v xml:space="preserve">   NL</v>
      </c>
      <c r="B9555" t="str">
        <f>T("   Pays-bas")</f>
        <v xml:space="preserve">   Pays-bas</v>
      </c>
      <c r="C9555">
        <v>12942740</v>
      </c>
      <c r="D9555">
        <v>6185</v>
      </c>
    </row>
    <row r="9556" spans="1:4" x14ac:dyDescent="0.25">
      <c r="A9556" t="str">
        <f>T("   NO")</f>
        <v xml:space="preserve">   NO</v>
      </c>
      <c r="B9556" t="str">
        <f>T("   Norvège")</f>
        <v xml:space="preserve">   Norvège</v>
      </c>
      <c r="C9556">
        <v>14470694</v>
      </c>
      <c r="D9556">
        <v>3535</v>
      </c>
    </row>
    <row r="9557" spans="1:4" x14ac:dyDescent="0.25">
      <c r="A9557" t="str">
        <f>T("   SN")</f>
        <v xml:space="preserve">   SN</v>
      </c>
      <c r="B9557" t="str">
        <f>T("   Sénégal")</f>
        <v xml:space="preserve">   Sénégal</v>
      </c>
      <c r="C9557">
        <v>16918520</v>
      </c>
      <c r="D9557">
        <v>1013</v>
      </c>
    </row>
    <row r="9558" spans="1:4" x14ac:dyDescent="0.25">
      <c r="A9558" t="str">
        <f>T("   TG")</f>
        <v xml:space="preserve">   TG</v>
      </c>
      <c r="B9558" t="str">
        <f>T("   Togo")</f>
        <v xml:space="preserve">   Togo</v>
      </c>
      <c r="C9558">
        <v>174768</v>
      </c>
      <c r="D9558">
        <v>1100</v>
      </c>
    </row>
    <row r="9559" spans="1:4" x14ac:dyDescent="0.25">
      <c r="A9559" t="str">
        <f>T("   TR")</f>
        <v xml:space="preserve">   TR</v>
      </c>
      <c r="B9559" t="str">
        <f>T("   Turquie")</f>
        <v xml:space="preserve">   Turquie</v>
      </c>
      <c r="C9559">
        <v>713752</v>
      </c>
      <c r="D9559">
        <v>19975</v>
      </c>
    </row>
    <row r="9560" spans="1:4" x14ac:dyDescent="0.25">
      <c r="A9560" t="str">
        <f>T("740312")</f>
        <v>740312</v>
      </c>
      <c r="B9560" t="str">
        <f>T("Cuivre affiné sous forme de barres à fil 'wire-bars'")</f>
        <v>Cuivre affiné sous forme de barres à fil 'wire-bars'</v>
      </c>
    </row>
    <row r="9561" spans="1:4" x14ac:dyDescent="0.25">
      <c r="A9561" t="str">
        <f>T("   ZZZ_Monde")</f>
        <v xml:space="preserve">   ZZZ_Monde</v>
      </c>
      <c r="B9561" t="str">
        <f>T("   ZZZ_Monde")</f>
        <v xml:space="preserve">   ZZZ_Monde</v>
      </c>
      <c r="C9561">
        <v>6595659</v>
      </c>
      <c r="D9561">
        <v>431</v>
      </c>
    </row>
    <row r="9562" spans="1:4" x14ac:dyDescent="0.25">
      <c r="A9562" t="str">
        <f>T("   FR")</f>
        <v xml:space="preserve">   FR</v>
      </c>
      <c r="B9562" t="str">
        <f>T("   France")</f>
        <v xml:space="preserve">   France</v>
      </c>
      <c r="C9562">
        <v>6595659</v>
      </c>
      <c r="D9562">
        <v>431</v>
      </c>
    </row>
    <row r="9563" spans="1:4" x14ac:dyDescent="0.25">
      <c r="A9563" t="str">
        <f>T("740319")</f>
        <v>740319</v>
      </c>
      <c r="B9563" t="str">
        <f>T("Cuivre affiné, sous forme brute (autre que sous forme de billettes, barres à fil, cathodes ou sections de cathodes)")</f>
        <v>Cuivre affiné, sous forme brute (autre que sous forme de billettes, barres à fil, cathodes ou sections de cathodes)</v>
      </c>
    </row>
    <row r="9564" spans="1:4" x14ac:dyDescent="0.25">
      <c r="A9564" t="str">
        <f>T("   ZZZ_Monde")</f>
        <v xml:space="preserve">   ZZZ_Monde</v>
      </c>
      <c r="B9564" t="str">
        <f>T("   ZZZ_Monde")</f>
        <v xml:space="preserve">   ZZZ_Monde</v>
      </c>
      <c r="C9564">
        <v>72000</v>
      </c>
      <c r="D9564">
        <v>320</v>
      </c>
    </row>
    <row r="9565" spans="1:4" x14ac:dyDescent="0.25">
      <c r="A9565" t="str">
        <f>T("   NG")</f>
        <v xml:space="preserve">   NG</v>
      </c>
      <c r="B9565" t="str">
        <f>T("   Nigéria")</f>
        <v xml:space="preserve">   Nigéria</v>
      </c>
      <c r="C9565">
        <v>72000</v>
      </c>
      <c r="D9565">
        <v>320</v>
      </c>
    </row>
    <row r="9566" spans="1:4" x14ac:dyDescent="0.25">
      <c r="A9566" t="str">
        <f>T("740710")</f>
        <v>740710</v>
      </c>
      <c r="B9566" t="str">
        <f>T("Barres et profilés en cuivre affiné, n.d.a.")</f>
        <v>Barres et profilés en cuivre affiné, n.d.a.</v>
      </c>
    </row>
    <row r="9567" spans="1:4" x14ac:dyDescent="0.25">
      <c r="A9567" t="str">
        <f>T("   ZZZ_Monde")</f>
        <v xml:space="preserve">   ZZZ_Monde</v>
      </c>
      <c r="B9567" t="str">
        <f>T("   ZZZ_Monde")</f>
        <v xml:space="preserve">   ZZZ_Monde</v>
      </c>
      <c r="C9567">
        <v>1151975</v>
      </c>
      <c r="D9567">
        <v>44.42</v>
      </c>
    </row>
    <row r="9568" spans="1:4" x14ac:dyDescent="0.25">
      <c r="A9568" t="str">
        <f>T("   FR")</f>
        <v xml:space="preserve">   FR</v>
      </c>
      <c r="B9568" t="str">
        <f>T("   France")</f>
        <v xml:space="preserve">   France</v>
      </c>
      <c r="C9568">
        <v>1151975</v>
      </c>
      <c r="D9568">
        <v>44.42</v>
      </c>
    </row>
    <row r="9569" spans="1:4" x14ac:dyDescent="0.25">
      <c r="A9569" t="str">
        <f>T("740721")</f>
        <v>740721</v>
      </c>
      <c r="B9569" t="str">
        <f>T("Barres et profilés en alliages à base de cuivre-zinc -laiton-, n.d.a.")</f>
        <v>Barres et profilés en alliages à base de cuivre-zinc -laiton-, n.d.a.</v>
      </c>
    </row>
    <row r="9570" spans="1:4" x14ac:dyDescent="0.25">
      <c r="A9570" t="str">
        <f>T("   ZZZ_Monde")</f>
        <v xml:space="preserve">   ZZZ_Monde</v>
      </c>
      <c r="B9570" t="str">
        <f>T("   ZZZ_Monde")</f>
        <v xml:space="preserve">   ZZZ_Monde</v>
      </c>
      <c r="C9570">
        <v>40014</v>
      </c>
      <c r="D9570">
        <v>12</v>
      </c>
    </row>
    <row r="9571" spans="1:4" x14ac:dyDescent="0.25">
      <c r="A9571" t="str">
        <f>T("   BE")</f>
        <v xml:space="preserve">   BE</v>
      </c>
      <c r="B9571" t="str">
        <f>T("   Belgique")</f>
        <v xml:space="preserve">   Belgique</v>
      </c>
      <c r="C9571">
        <v>40014</v>
      </c>
      <c r="D9571">
        <v>12</v>
      </c>
    </row>
    <row r="9572" spans="1:4" x14ac:dyDescent="0.25">
      <c r="A9572" t="str">
        <f>T("740729")</f>
        <v>740729</v>
      </c>
      <c r="B9572" t="str">
        <f>T("BARRES ET PROFILÉS EN ALLIAGES DE CUIVRE, N.D.A. (SAUF EN ALLIAGES À BASE DE CUIVRE-ZINC -LAITON-)")</f>
        <v>BARRES ET PROFILÉS EN ALLIAGES DE CUIVRE, N.D.A. (SAUF EN ALLIAGES À BASE DE CUIVRE-ZINC -LAITON-)</v>
      </c>
    </row>
    <row r="9573" spans="1:4" x14ac:dyDescent="0.25">
      <c r="A9573" t="str">
        <f>T("   ZZZ_Monde")</f>
        <v xml:space="preserve">   ZZZ_Monde</v>
      </c>
      <c r="B9573" t="str">
        <f>T("   ZZZ_Monde")</f>
        <v xml:space="preserve">   ZZZ_Monde</v>
      </c>
      <c r="C9573">
        <v>688823</v>
      </c>
      <c r="D9573">
        <v>44</v>
      </c>
    </row>
    <row r="9574" spans="1:4" x14ac:dyDescent="0.25">
      <c r="A9574" t="str">
        <f>T("   FR")</f>
        <v xml:space="preserve">   FR</v>
      </c>
      <c r="B9574" t="str">
        <f>T("   France")</f>
        <v xml:space="preserve">   France</v>
      </c>
      <c r="C9574">
        <v>688823</v>
      </c>
      <c r="D9574">
        <v>44</v>
      </c>
    </row>
    <row r="9575" spans="1:4" x14ac:dyDescent="0.25">
      <c r="A9575" t="str">
        <f>T("740822")</f>
        <v>740822</v>
      </c>
      <c r="B9575" t="str">
        <f>T("FILS EN ALLIAGES À BASE DE CUIVRE-NICKEL [CUPRONICKEL] OU DE CUIVRE-NICKEL-ZINC [MAILLECHORT] [01/01/1988-31/12/1994: FILS EN ALLIAGES A BASE DE CUIVRE-NICKEL -CUPRONICKEL- OU DE CUIVRE-NICKEL-ZINC -MAILLECHORT-]")</f>
        <v>FILS EN ALLIAGES À BASE DE CUIVRE-NICKEL [CUPRONICKEL] OU DE CUIVRE-NICKEL-ZINC [MAILLECHORT] [01/01/1988-31/12/1994: FILS EN ALLIAGES A BASE DE CUIVRE-NICKEL -CUPRONICKEL- OU DE CUIVRE-NICKEL-ZINC -MAILLECHORT-]</v>
      </c>
    </row>
    <row r="9576" spans="1:4" x14ac:dyDescent="0.25">
      <c r="A9576" t="str">
        <f>T("   ZZZ_Monde")</f>
        <v xml:space="preserve">   ZZZ_Monde</v>
      </c>
      <c r="B9576" t="str">
        <f>T("   ZZZ_Monde")</f>
        <v xml:space="preserve">   ZZZ_Monde</v>
      </c>
      <c r="C9576">
        <v>516338</v>
      </c>
      <c r="D9576">
        <v>4</v>
      </c>
    </row>
    <row r="9577" spans="1:4" x14ac:dyDescent="0.25">
      <c r="A9577" t="str">
        <f>T("   FR")</f>
        <v xml:space="preserve">   FR</v>
      </c>
      <c r="B9577" t="str">
        <f>T("   France")</f>
        <v xml:space="preserve">   France</v>
      </c>
      <c r="C9577">
        <v>516338</v>
      </c>
      <c r="D9577">
        <v>4</v>
      </c>
    </row>
    <row r="9578" spans="1:4" x14ac:dyDescent="0.25">
      <c r="A9578" t="str">
        <f>T("740829")</f>
        <v>740829</v>
      </c>
      <c r="B9578" t="str">
        <f>T("FILS EN ALLIAGES DE CUIVRE (À L'EXCL. DES PRODUITS EN ALLIAGES À BASE DE CUIVRE-ZINC [LAITON], DE CUIVRE-NICKEL [CUPRONICKEL] OU DE CUIVRE-NICKEL-ZINC [MAILLECHORT]) [01/01/1988-31/12/1994: FILS EN ALLIAGES DE CUIVRE (SAUF EN ALLIAGES A BASE DE CUIVRE-ZIN")</f>
        <v>FILS EN ALLIAGES DE CUIVRE (À L'EXCL. DES PRODUITS EN ALLIAGES À BASE DE CUIVRE-ZINC [LAITON], DE CUIVRE-NICKEL [CUPRONICKEL] OU DE CUIVRE-NICKEL-ZINC [MAILLECHORT]) [01/01/1988-31/12/1994: FILS EN ALLIAGES DE CUIVRE (SAUF EN ALLIAGES A BASE DE CUIVRE-ZIN</v>
      </c>
    </row>
    <row r="9579" spans="1:4" x14ac:dyDescent="0.25">
      <c r="A9579" t="str">
        <f>T("   ZZZ_Monde")</f>
        <v xml:space="preserve">   ZZZ_Monde</v>
      </c>
      <c r="B9579" t="str">
        <f>T("   ZZZ_Monde")</f>
        <v xml:space="preserve">   ZZZ_Monde</v>
      </c>
      <c r="C9579">
        <v>1059375</v>
      </c>
      <c r="D9579">
        <v>101</v>
      </c>
    </row>
    <row r="9580" spans="1:4" x14ac:dyDescent="0.25">
      <c r="A9580" t="str">
        <f>T("   FR")</f>
        <v xml:space="preserve">   FR</v>
      </c>
      <c r="B9580" t="str">
        <f>T("   France")</f>
        <v xml:space="preserve">   France</v>
      </c>
      <c r="C9580">
        <v>1059375</v>
      </c>
      <c r="D9580">
        <v>101</v>
      </c>
    </row>
    <row r="9581" spans="1:4" x14ac:dyDescent="0.25">
      <c r="A9581" t="str">
        <f>T("740919")</f>
        <v>740919</v>
      </c>
      <c r="B9581" t="str">
        <f>T("Tôles et bandes en cuivre affiné, épaisseur &gt; 0,15 mm (non enroulées et sauf tôles et bandes déployées ainsi que bandes isolées pour l'électricité)")</f>
        <v>Tôles et bandes en cuivre affiné, épaisseur &gt; 0,15 mm (non enroulées et sauf tôles et bandes déployées ainsi que bandes isolées pour l'électricité)</v>
      </c>
    </row>
    <row r="9582" spans="1:4" x14ac:dyDescent="0.25">
      <c r="A9582" t="str">
        <f>T("   ZZZ_Monde")</f>
        <v xml:space="preserve">   ZZZ_Monde</v>
      </c>
      <c r="B9582" t="str">
        <f>T("   ZZZ_Monde")</f>
        <v xml:space="preserve">   ZZZ_Monde</v>
      </c>
      <c r="C9582">
        <v>210000</v>
      </c>
      <c r="D9582">
        <v>20</v>
      </c>
    </row>
    <row r="9583" spans="1:4" x14ac:dyDescent="0.25">
      <c r="A9583" t="str">
        <f>T("   CN")</f>
        <v xml:space="preserve">   CN</v>
      </c>
      <c r="B9583" t="str">
        <f>T("   Chine")</f>
        <v xml:space="preserve">   Chine</v>
      </c>
      <c r="C9583">
        <v>210000</v>
      </c>
      <c r="D9583">
        <v>20</v>
      </c>
    </row>
    <row r="9584" spans="1:4" x14ac:dyDescent="0.25">
      <c r="A9584" t="str">
        <f>T("741110")</f>
        <v>741110</v>
      </c>
      <c r="B9584" t="str">
        <f>T("Tubes et tuyaux en cuivre affiné")</f>
        <v>Tubes et tuyaux en cuivre affiné</v>
      </c>
    </row>
    <row r="9585" spans="1:4" x14ac:dyDescent="0.25">
      <c r="A9585" t="str">
        <f>T("   ZZZ_Monde")</f>
        <v xml:space="preserve">   ZZZ_Monde</v>
      </c>
      <c r="B9585" t="str">
        <f>T("   ZZZ_Monde")</f>
        <v xml:space="preserve">   ZZZ_Monde</v>
      </c>
      <c r="C9585">
        <v>1520353</v>
      </c>
      <c r="D9585">
        <v>626</v>
      </c>
    </row>
    <row r="9586" spans="1:4" x14ac:dyDescent="0.25">
      <c r="A9586" t="str">
        <f>T("   FR")</f>
        <v xml:space="preserve">   FR</v>
      </c>
      <c r="B9586" t="str">
        <f>T("   France")</f>
        <v xml:space="preserve">   France</v>
      </c>
      <c r="C9586">
        <v>1520353</v>
      </c>
      <c r="D9586">
        <v>626</v>
      </c>
    </row>
    <row r="9587" spans="1:4" x14ac:dyDescent="0.25">
      <c r="A9587" t="str">
        <f>T("741220")</f>
        <v>741220</v>
      </c>
      <c r="B9587" t="str">
        <f>T("Accessoires de tuyauterie -raccords, coudes, manchons, par exemple-, en alliages de cuivre")</f>
        <v>Accessoires de tuyauterie -raccords, coudes, manchons, par exemple-, en alliages de cuivre</v>
      </c>
    </row>
    <row r="9588" spans="1:4" x14ac:dyDescent="0.25">
      <c r="A9588" t="str">
        <f>T("   ZZZ_Monde")</f>
        <v xml:space="preserve">   ZZZ_Monde</v>
      </c>
      <c r="B9588" t="str">
        <f>T("   ZZZ_Monde")</f>
        <v xml:space="preserve">   ZZZ_Monde</v>
      </c>
      <c r="C9588">
        <v>24317673</v>
      </c>
      <c r="D9588">
        <v>15706</v>
      </c>
    </row>
    <row r="9589" spans="1:4" x14ac:dyDescent="0.25">
      <c r="A9589" t="str">
        <f>T("   CN")</f>
        <v xml:space="preserve">   CN</v>
      </c>
      <c r="B9589" t="str">
        <f>T("   Chine")</f>
        <v xml:space="preserve">   Chine</v>
      </c>
      <c r="C9589">
        <v>4641546</v>
      </c>
      <c r="D9589">
        <v>8411</v>
      </c>
    </row>
    <row r="9590" spans="1:4" x14ac:dyDescent="0.25">
      <c r="A9590" t="str">
        <f>T("   FR")</f>
        <v xml:space="preserve">   FR</v>
      </c>
      <c r="B9590" t="str">
        <f>T("   France")</f>
        <v xml:space="preserve">   France</v>
      </c>
      <c r="C9590">
        <v>17868327</v>
      </c>
      <c r="D9590">
        <v>215</v>
      </c>
    </row>
    <row r="9591" spans="1:4" x14ac:dyDescent="0.25">
      <c r="A9591" t="str">
        <f>T("   NG")</f>
        <v xml:space="preserve">   NG</v>
      </c>
      <c r="B9591" t="str">
        <f>T("   Nigéria")</f>
        <v xml:space="preserve">   Nigéria</v>
      </c>
      <c r="C9591">
        <v>1807800</v>
      </c>
      <c r="D9591">
        <v>7080</v>
      </c>
    </row>
    <row r="9592" spans="1:4" x14ac:dyDescent="0.25">
      <c r="A9592" t="str">
        <f>T("741300")</f>
        <v>741300</v>
      </c>
      <c r="B9592" t="str">
        <f>T("Torons, câbles, tresses et articles simil., en cuivre (sauf produits isolés pour l'électricité)")</f>
        <v>Torons, câbles, tresses et articles simil., en cuivre (sauf produits isolés pour l'électricité)</v>
      </c>
    </row>
    <row r="9593" spans="1:4" x14ac:dyDescent="0.25">
      <c r="A9593" t="str">
        <f>T("   ZZZ_Monde")</f>
        <v xml:space="preserve">   ZZZ_Monde</v>
      </c>
      <c r="B9593" t="str">
        <f>T("   ZZZ_Monde")</f>
        <v xml:space="preserve">   ZZZ_Monde</v>
      </c>
      <c r="C9593">
        <v>65435861</v>
      </c>
      <c r="D9593">
        <v>12735</v>
      </c>
    </row>
    <row r="9594" spans="1:4" x14ac:dyDescent="0.25">
      <c r="A9594" t="str">
        <f>T("   FR")</f>
        <v xml:space="preserve">   FR</v>
      </c>
      <c r="B9594" t="str">
        <f>T("   France")</f>
        <v xml:space="preserve">   France</v>
      </c>
      <c r="C9594">
        <v>65435861</v>
      </c>
      <c r="D9594">
        <v>12735</v>
      </c>
    </row>
    <row r="9595" spans="1:4" x14ac:dyDescent="0.25">
      <c r="A9595" t="str">
        <f>T("741510")</f>
        <v>741510</v>
      </c>
      <c r="B9595" t="str">
        <f>T("Pointes et clous, punaises, crampons appointés, agrafes et simil., en cuivre ou avec tige en fer ou en acier et tête en cuivre (sauf agrafes présentées en barrettes)")</f>
        <v>Pointes et clous, punaises, crampons appointés, agrafes et simil., en cuivre ou avec tige en fer ou en acier et tête en cuivre (sauf agrafes présentées en barrettes)</v>
      </c>
    </row>
    <row r="9596" spans="1:4" x14ac:dyDescent="0.25">
      <c r="A9596" t="str">
        <f>T("   ZZZ_Monde")</f>
        <v xml:space="preserve">   ZZZ_Monde</v>
      </c>
      <c r="B9596" t="str">
        <f>T("   ZZZ_Monde")</f>
        <v xml:space="preserve">   ZZZ_Monde</v>
      </c>
      <c r="C9596">
        <v>48120971</v>
      </c>
      <c r="D9596">
        <v>299795</v>
      </c>
    </row>
    <row r="9597" spans="1:4" x14ac:dyDescent="0.25">
      <c r="A9597" t="str">
        <f>T("   CN")</f>
        <v xml:space="preserve">   CN</v>
      </c>
      <c r="B9597" t="str">
        <f>T("   Chine")</f>
        <v xml:space="preserve">   Chine</v>
      </c>
      <c r="C9597">
        <v>48120971</v>
      </c>
      <c r="D9597">
        <v>299795</v>
      </c>
    </row>
    <row r="9598" spans="1:4" x14ac:dyDescent="0.25">
      <c r="A9598" t="str">
        <f>T("741521")</f>
        <v>741521</v>
      </c>
      <c r="B9598" t="str">
        <f>T("Rondelles, y.c. -les rondelles destinées à faire ressort-, en cuivre")</f>
        <v>Rondelles, y.c. -les rondelles destinées à faire ressort-, en cuivre</v>
      </c>
    </row>
    <row r="9599" spans="1:4" x14ac:dyDescent="0.25">
      <c r="A9599" t="str">
        <f>T("   ZZZ_Monde")</f>
        <v xml:space="preserve">   ZZZ_Monde</v>
      </c>
      <c r="B9599" t="str">
        <f>T("   ZZZ_Monde")</f>
        <v xml:space="preserve">   ZZZ_Monde</v>
      </c>
      <c r="C9599">
        <v>556190</v>
      </c>
      <c r="D9599">
        <v>5.3</v>
      </c>
    </row>
    <row r="9600" spans="1:4" x14ac:dyDescent="0.25">
      <c r="A9600" t="str">
        <f>T("   TH")</f>
        <v xml:space="preserve">   TH</v>
      </c>
      <c r="B9600" t="str">
        <f>T("   Thaïlande")</f>
        <v xml:space="preserve">   Thaïlande</v>
      </c>
      <c r="C9600">
        <v>556190</v>
      </c>
      <c r="D9600">
        <v>5.3</v>
      </c>
    </row>
    <row r="9601" spans="1:4" x14ac:dyDescent="0.25">
      <c r="A9601" t="str">
        <f>T("741529")</f>
        <v>741529</v>
      </c>
      <c r="B9601" t="str">
        <f>T("Boulons, rivets, goupilles, chevilles, clavettes et simil., non filetés, en cuivre (sauf rondelles, y.c. -les rondelles destinées à faire ressort-)")</f>
        <v>Boulons, rivets, goupilles, chevilles, clavettes et simil., non filetés, en cuivre (sauf rondelles, y.c. -les rondelles destinées à faire ressort-)</v>
      </c>
    </row>
    <row r="9602" spans="1:4" x14ac:dyDescent="0.25">
      <c r="A9602" t="str">
        <f>T("   ZZZ_Monde")</f>
        <v xml:space="preserve">   ZZZ_Monde</v>
      </c>
      <c r="B9602" t="str">
        <f>T("   ZZZ_Monde")</f>
        <v xml:space="preserve">   ZZZ_Monde</v>
      </c>
      <c r="C9602">
        <v>10924</v>
      </c>
      <c r="D9602">
        <v>125</v>
      </c>
    </row>
    <row r="9603" spans="1:4" x14ac:dyDescent="0.25">
      <c r="A9603" t="str">
        <f>T("   TG")</f>
        <v xml:space="preserve">   TG</v>
      </c>
      <c r="B9603" t="str">
        <f>T("   Togo")</f>
        <v xml:space="preserve">   Togo</v>
      </c>
      <c r="C9603">
        <v>10924</v>
      </c>
      <c r="D9603">
        <v>125</v>
      </c>
    </row>
    <row r="9604" spans="1:4" x14ac:dyDescent="0.25">
      <c r="A9604" t="str">
        <f>T("741700")</f>
        <v>741700</v>
      </c>
      <c r="B9604" t="str">
        <f>T("Appareils de cuisson ou de chauffage, non-électriques, des types servant à des usages domestiques, et leurs parties, en cuivre (à l'excl. des chauffe-eau et des fours à bain)")</f>
        <v>Appareils de cuisson ou de chauffage, non-électriques, des types servant à des usages domestiques, et leurs parties, en cuivre (à l'excl. des chauffe-eau et des fours à bain)</v>
      </c>
    </row>
    <row r="9605" spans="1:4" x14ac:dyDescent="0.25">
      <c r="A9605" t="str">
        <f>T("   ZZZ_Monde")</f>
        <v xml:space="preserve">   ZZZ_Monde</v>
      </c>
      <c r="B9605" t="str">
        <f>T("   ZZZ_Monde")</f>
        <v xml:space="preserve">   ZZZ_Monde</v>
      </c>
      <c r="C9605">
        <v>257903</v>
      </c>
      <c r="D9605">
        <v>748</v>
      </c>
    </row>
    <row r="9606" spans="1:4" x14ac:dyDescent="0.25">
      <c r="A9606" t="str">
        <f>T("   GB")</f>
        <v xml:space="preserve">   GB</v>
      </c>
      <c r="B9606" t="str">
        <f>T("   Royaume-Uni")</f>
        <v xml:space="preserve">   Royaume-Uni</v>
      </c>
      <c r="C9606">
        <v>257903</v>
      </c>
      <c r="D9606">
        <v>748</v>
      </c>
    </row>
    <row r="9607" spans="1:4" x14ac:dyDescent="0.25">
      <c r="A9607" t="str">
        <f>T("741811")</f>
        <v>741811</v>
      </c>
      <c r="B9607" t="str">
        <f>T("Eponges, torchons, gants et articles simil. pour le récurage, le polissage et usages analogues, en cuivre (à l'excl. des articles d'hygiène et de toilette)")</f>
        <v>Eponges, torchons, gants et articles simil. pour le récurage, le polissage et usages analogues, en cuivre (à l'excl. des articles d'hygiène et de toilette)</v>
      </c>
    </row>
    <row r="9608" spans="1:4" x14ac:dyDescent="0.25">
      <c r="A9608" t="str">
        <f>T("   ZZZ_Monde")</f>
        <v xml:space="preserve">   ZZZ_Monde</v>
      </c>
      <c r="B9608" t="str">
        <f>T("   ZZZ_Monde")</f>
        <v xml:space="preserve">   ZZZ_Monde</v>
      </c>
      <c r="C9608">
        <v>10923</v>
      </c>
      <c r="D9608">
        <v>80</v>
      </c>
    </row>
    <row r="9609" spans="1:4" x14ac:dyDescent="0.25">
      <c r="A9609" t="str">
        <f>T("   TG")</f>
        <v xml:space="preserve">   TG</v>
      </c>
      <c r="B9609" t="str">
        <f>T("   Togo")</f>
        <v xml:space="preserve">   Togo</v>
      </c>
      <c r="C9609">
        <v>10923</v>
      </c>
      <c r="D9609">
        <v>80</v>
      </c>
    </row>
    <row r="9610" spans="1:4" x14ac:dyDescent="0.25">
      <c r="A9610" t="str">
        <f>T("741819")</f>
        <v>741819</v>
      </c>
      <c r="B9610" t="str">
        <f>T("ARTICLES DE MÉNAGE OU D'ÉCONOMIE DOMESTIQUE ET LEURS PARTIES, EN CUIVRE (SAUF ÉPONGES, TORCHONS, GANTS ET ARTICLES SIMIL.; BIDONS, BOÎTES ET RÉCIPIENTS SIMIL. DU N° 7419; ARTICLES À CARACTÈRE D'OUTILS; COUTELLERIE, CUILLERS, FOURCHETTES, ETC.; OBJETS DÉCO")</f>
        <v>ARTICLES DE MÉNAGE OU D'ÉCONOMIE DOMESTIQUE ET LEURS PARTIES, EN CUIVRE (SAUF ÉPONGES, TORCHONS, GANTS ET ARTICLES SIMIL.; BIDONS, BOÎTES ET RÉCIPIENTS SIMIL. DU N° 7419; ARTICLES À CARACTÈRE D'OUTILS; COUTELLERIE, CUILLERS, FOURCHETTES, ETC.; OBJETS DÉCO</v>
      </c>
    </row>
    <row r="9611" spans="1:4" x14ac:dyDescent="0.25">
      <c r="A9611" t="str">
        <f>T("   ZZZ_Monde")</f>
        <v xml:space="preserve">   ZZZ_Monde</v>
      </c>
      <c r="B9611" t="str">
        <f>T("   ZZZ_Monde")</f>
        <v xml:space="preserve">   ZZZ_Monde</v>
      </c>
      <c r="C9611">
        <v>8678017</v>
      </c>
      <c r="D9611">
        <v>8550</v>
      </c>
    </row>
    <row r="9612" spans="1:4" x14ac:dyDescent="0.25">
      <c r="A9612" t="str">
        <f>T("   CN")</f>
        <v xml:space="preserve">   CN</v>
      </c>
      <c r="B9612" t="str">
        <f>T("   Chine")</f>
        <v xml:space="preserve">   Chine</v>
      </c>
      <c r="C9612">
        <v>3992690</v>
      </c>
      <c r="D9612">
        <v>7500</v>
      </c>
    </row>
    <row r="9613" spans="1:4" x14ac:dyDescent="0.25">
      <c r="A9613" t="str">
        <f>T("   MA")</f>
        <v xml:space="preserve">   MA</v>
      </c>
      <c r="B9613" t="str">
        <f>T("   Maroc")</f>
        <v xml:space="preserve">   Maroc</v>
      </c>
      <c r="C9613">
        <v>4085327</v>
      </c>
      <c r="D9613">
        <v>500</v>
      </c>
    </row>
    <row r="9614" spans="1:4" x14ac:dyDescent="0.25">
      <c r="A9614" t="str">
        <f>T("   TG")</f>
        <v xml:space="preserve">   TG</v>
      </c>
      <c r="B9614" t="str">
        <f>T("   Togo")</f>
        <v xml:space="preserve">   Togo</v>
      </c>
      <c r="C9614">
        <v>600000</v>
      </c>
      <c r="D9614">
        <v>550</v>
      </c>
    </row>
    <row r="9615" spans="1:4" x14ac:dyDescent="0.25">
      <c r="A9615" t="str">
        <f>T("741820")</f>
        <v>741820</v>
      </c>
      <c r="B9615" t="str">
        <f>T("Articles d'hygiène ou de toilette et leurs parties, en cuivre (sauf bidons, boîtes et récipients simil. du n° 7419 et sauf accessoires de tuyauterie)")</f>
        <v>Articles d'hygiène ou de toilette et leurs parties, en cuivre (sauf bidons, boîtes et récipients simil. du n° 7419 et sauf accessoires de tuyauterie)</v>
      </c>
    </row>
    <row r="9616" spans="1:4" x14ac:dyDescent="0.25">
      <c r="A9616" t="str">
        <f>T("   ZZZ_Monde")</f>
        <v xml:space="preserve">   ZZZ_Monde</v>
      </c>
      <c r="B9616" t="str">
        <f>T("   ZZZ_Monde")</f>
        <v xml:space="preserve">   ZZZ_Monde</v>
      </c>
      <c r="C9616">
        <v>2781271</v>
      </c>
      <c r="D9616">
        <v>197</v>
      </c>
    </row>
    <row r="9617" spans="1:4" x14ac:dyDescent="0.25">
      <c r="A9617" t="str">
        <f>T("   BE")</f>
        <v xml:space="preserve">   BE</v>
      </c>
      <c r="B9617" t="str">
        <f>T("   Belgique")</f>
        <v xml:space="preserve">   Belgique</v>
      </c>
      <c r="C9617">
        <v>1283058</v>
      </c>
      <c r="D9617">
        <v>86</v>
      </c>
    </row>
    <row r="9618" spans="1:4" x14ac:dyDescent="0.25">
      <c r="A9618" t="str">
        <f>T("   DE")</f>
        <v xml:space="preserve">   DE</v>
      </c>
      <c r="B9618" t="str">
        <f>T("   Allemagne")</f>
        <v xml:space="preserve">   Allemagne</v>
      </c>
      <c r="C9618">
        <v>1498213</v>
      </c>
      <c r="D9618">
        <v>111</v>
      </c>
    </row>
    <row r="9619" spans="1:4" x14ac:dyDescent="0.25">
      <c r="A9619" t="str">
        <f>T("741991")</f>
        <v>741991</v>
      </c>
      <c r="B9619" t="str">
        <f>T("Ouvrages en cuivre, coulés, moulés, estampés ou forgés, mais non autrement travaillés, n.d.a.")</f>
        <v>Ouvrages en cuivre, coulés, moulés, estampés ou forgés, mais non autrement travaillés, n.d.a.</v>
      </c>
    </row>
    <row r="9620" spans="1:4" x14ac:dyDescent="0.25">
      <c r="A9620" t="str">
        <f>T("   ZZZ_Monde")</f>
        <v xml:space="preserve">   ZZZ_Monde</v>
      </c>
      <c r="B9620" t="str">
        <f>T("   ZZZ_Monde")</f>
        <v xml:space="preserve">   ZZZ_Monde</v>
      </c>
      <c r="C9620">
        <v>389568</v>
      </c>
      <c r="D9620">
        <v>54</v>
      </c>
    </row>
    <row r="9621" spans="1:4" x14ac:dyDescent="0.25">
      <c r="A9621" t="str">
        <f>T("   FR")</f>
        <v xml:space="preserve">   FR</v>
      </c>
      <c r="B9621" t="str">
        <f>T("   France")</f>
        <v xml:space="preserve">   France</v>
      </c>
      <c r="C9621">
        <v>389568</v>
      </c>
      <c r="D9621">
        <v>54</v>
      </c>
    </row>
    <row r="9622" spans="1:4" x14ac:dyDescent="0.25">
      <c r="A9622" t="str">
        <f>T("741999")</f>
        <v>741999</v>
      </c>
      <c r="B9622" t="str">
        <f>T("Ouvrages en cuivre, n.d.a.")</f>
        <v>Ouvrages en cuivre, n.d.a.</v>
      </c>
    </row>
    <row r="9623" spans="1:4" x14ac:dyDescent="0.25">
      <c r="A9623" t="str">
        <f>T("   ZZZ_Monde")</f>
        <v xml:space="preserve">   ZZZ_Monde</v>
      </c>
      <c r="B9623" t="str">
        <f>T("   ZZZ_Monde")</f>
        <v xml:space="preserve">   ZZZ_Monde</v>
      </c>
      <c r="C9623">
        <v>4704172</v>
      </c>
      <c r="D9623">
        <v>392</v>
      </c>
    </row>
    <row r="9624" spans="1:4" x14ac:dyDescent="0.25">
      <c r="A9624" t="str">
        <f>T("   BE")</f>
        <v xml:space="preserve">   BE</v>
      </c>
      <c r="B9624" t="str">
        <f>T("   Belgique")</f>
        <v xml:space="preserve">   Belgique</v>
      </c>
      <c r="C9624">
        <v>133816</v>
      </c>
      <c r="D9624">
        <v>350</v>
      </c>
    </row>
    <row r="9625" spans="1:4" x14ac:dyDescent="0.25">
      <c r="A9625" t="str">
        <f>T("   DK")</f>
        <v xml:space="preserve">   DK</v>
      </c>
      <c r="B9625" t="str">
        <f>T("   Danemark")</f>
        <v xml:space="preserve">   Danemark</v>
      </c>
      <c r="C9625">
        <v>4355574</v>
      </c>
      <c r="D9625">
        <v>20</v>
      </c>
    </row>
    <row r="9626" spans="1:4" x14ac:dyDescent="0.25">
      <c r="A9626" t="str">
        <f>T("   ES")</f>
        <v xml:space="preserve">   ES</v>
      </c>
      <c r="B9626" t="str">
        <f>T("   Espagne")</f>
        <v xml:space="preserve">   Espagne</v>
      </c>
      <c r="C9626">
        <v>7498</v>
      </c>
      <c r="D9626">
        <v>1</v>
      </c>
    </row>
    <row r="9627" spans="1:4" x14ac:dyDescent="0.25">
      <c r="A9627" t="str">
        <f>T("   FR")</f>
        <v xml:space="preserve">   FR</v>
      </c>
      <c r="B9627" t="str">
        <f>T("   France")</f>
        <v xml:space="preserve">   France</v>
      </c>
      <c r="C9627">
        <v>207284</v>
      </c>
      <c r="D9627">
        <v>21</v>
      </c>
    </row>
    <row r="9628" spans="1:4" x14ac:dyDescent="0.25">
      <c r="A9628" t="str">
        <f>T("750512")</f>
        <v>750512</v>
      </c>
      <c r="B9628" t="str">
        <f>T("Barres et profilés en alliages de nickel, n.d.a. (sauf produits isolés pour l'électricité)")</f>
        <v>Barres et profilés en alliages de nickel, n.d.a. (sauf produits isolés pour l'électricité)</v>
      </c>
    </row>
    <row r="9629" spans="1:4" x14ac:dyDescent="0.25">
      <c r="A9629" t="str">
        <f>T("   ZZZ_Monde")</f>
        <v xml:space="preserve">   ZZZ_Monde</v>
      </c>
      <c r="B9629" t="str">
        <f>T("   ZZZ_Monde")</f>
        <v xml:space="preserve">   ZZZ_Monde</v>
      </c>
      <c r="C9629">
        <v>49853</v>
      </c>
      <c r="D9629">
        <v>17</v>
      </c>
    </row>
    <row r="9630" spans="1:4" x14ac:dyDescent="0.25">
      <c r="A9630" t="str">
        <f>T("   BE")</f>
        <v xml:space="preserve">   BE</v>
      </c>
      <c r="B9630" t="str">
        <f>T("   Belgique")</f>
        <v xml:space="preserve">   Belgique</v>
      </c>
      <c r="C9630">
        <v>49853</v>
      </c>
      <c r="D9630">
        <v>17</v>
      </c>
    </row>
    <row r="9631" spans="1:4" x14ac:dyDescent="0.25">
      <c r="A9631" t="str">
        <f>T("750890")</f>
        <v>750890</v>
      </c>
      <c r="B9631" t="str">
        <f>T("Ouvrages en nickel, n.d.a.")</f>
        <v>Ouvrages en nickel, n.d.a.</v>
      </c>
    </row>
    <row r="9632" spans="1:4" x14ac:dyDescent="0.25">
      <c r="A9632" t="str">
        <f>T("   ZZZ_Monde")</f>
        <v xml:space="preserve">   ZZZ_Monde</v>
      </c>
      <c r="B9632" t="str">
        <f>T("   ZZZ_Monde")</f>
        <v xml:space="preserve">   ZZZ_Monde</v>
      </c>
      <c r="C9632">
        <v>1427686</v>
      </c>
      <c r="D9632">
        <v>2164</v>
      </c>
    </row>
    <row r="9633" spans="1:4" x14ac:dyDescent="0.25">
      <c r="A9633" t="str">
        <f>T("   BE")</f>
        <v xml:space="preserve">   BE</v>
      </c>
      <c r="B9633" t="str">
        <f>T("   Belgique")</f>
        <v xml:space="preserve">   Belgique</v>
      </c>
      <c r="C9633">
        <v>369306</v>
      </c>
      <c r="D9633">
        <v>237</v>
      </c>
    </row>
    <row r="9634" spans="1:4" x14ac:dyDescent="0.25">
      <c r="A9634" t="str">
        <f>T("   IN")</f>
        <v xml:space="preserve">   IN</v>
      </c>
      <c r="B9634" t="str">
        <f>T("   Inde")</f>
        <v xml:space="preserve">   Inde</v>
      </c>
      <c r="C9634">
        <v>1000000</v>
      </c>
      <c r="D9634">
        <v>1890</v>
      </c>
    </row>
    <row r="9635" spans="1:4" x14ac:dyDescent="0.25">
      <c r="A9635" t="str">
        <f>T("   IT")</f>
        <v xml:space="preserve">   IT</v>
      </c>
      <c r="B9635" t="str">
        <f>T("   Italie")</f>
        <v xml:space="preserve">   Italie</v>
      </c>
      <c r="C9635">
        <v>58380</v>
      </c>
      <c r="D9635">
        <v>37</v>
      </c>
    </row>
    <row r="9636" spans="1:4" x14ac:dyDescent="0.25">
      <c r="A9636" t="str">
        <f>T("760110")</f>
        <v>760110</v>
      </c>
      <c r="B9636" t="str">
        <f>T("Aluminium non allié, sous forme brute")</f>
        <v>Aluminium non allié, sous forme brute</v>
      </c>
    </row>
    <row r="9637" spans="1:4" x14ac:dyDescent="0.25">
      <c r="A9637" t="str">
        <f>T("   ZZZ_Monde")</f>
        <v xml:space="preserve">   ZZZ_Monde</v>
      </c>
      <c r="B9637" t="str">
        <f>T("   ZZZ_Monde")</f>
        <v xml:space="preserve">   ZZZ_Monde</v>
      </c>
      <c r="C9637">
        <v>12500000</v>
      </c>
      <c r="D9637">
        <v>17868</v>
      </c>
    </row>
    <row r="9638" spans="1:4" x14ac:dyDescent="0.25">
      <c r="A9638" t="str">
        <f>T("   IN")</f>
        <v xml:space="preserve">   IN</v>
      </c>
      <c r="B9638" t="str">
        <f>T("   Inde")</f>
        <v xml:space="preserve">   Inde</v>
      </c>
      <c r="C9638">
        <v>12500000</v>
      </c>
      <c r="D9638">
        <v>17868</v>
      </c>
    </row>
    <row r="9639" spans="1:4" x14ac:dyDescent="0.25">
      <c r="A9639" t="str">
        <f>T("760200")</f>
        <v>760200</v>
      </c>
      <c r="B9639" t="str">
        <f>T("Déchets et débris d'aluminium (sauf scories, mâchefer, etc., produits par la sidérurgie et contenant de l'aluminium récupérable sous forme de silicates, les déchets lingotés et autres formes brutes simil. en déchets ou débris d'aluminium fondus, et sauf c")</f>
        <v>Déchets et débris d'aluminium (sauf scories, mâchefer, etc., produits par la sidérurgie et contenant de l'aluminium récupérable sous forme de silicates, les déchets lingotés et autres formes brutes simil. en déchets ou débris d'aluminium fondus, et sauf c</v>
      </c>
    </row>
    <row r="9640" spans="1:4" x14ac:dyDescent="0.25">
      <c r="A9640" t="str">
        <f>T("   ZZZ_Monde")</f>
        <v xml:space="preserve">   ZZZ_Monde</v>
      </c>
      <c r="B9640" t="str">
        <f>T("   ZZZ_Monde")</f>
        <v xml:space="preserve">   ZZZ_Monde</v>
      </c>
      <c r="C9640">
        <v>47960</v>
      </c>
      <c r="D9640">
        <v>436</v>
      </c>
    </row>
    <row r="9641" spans="1:4" x14ac:dyDescent="0.25">
      <c r="A9641" t="str">
        <f>T("   NG")</f>
        <v xml:space="preserve">   NG</v>
      </c>
      <c r="B9641" t="str">
        <f>T("   Nigéria")</f>
        <v xml:space="preserve">   Nigéria</v>
      </c>
      <c r="C9641">
        <v>47960</v>
      </c>
      <c r="D9641">
        <v>436</v>
      </c>
    </row>
    <row r="9642" spans="1:4" x14ac:dyDescent="0.25">
      <c r="A9642" t="str">
        <f>T("760410")</f>
        <v>760410</v>
      </c>
      <c r="B9642" t="str">
        <f>T("BARRES ET PROFILÉS EN ALUMINIUM NON-ALLIÉ, N.D.A.")</f>
        <v>BARRES ET PROFILÉS EN ALUMINIUM NON-ALLIÉ, N.D.A.</v>
      </c>
    </row>
    <row r="9643" spans="1:4" x14ac:dyDescent="0.25">
      <c r="A9643" t="str">
        <f>T("   ZZZ_Monde")</f>
        <v xml:space="preserve">   ZZZ_Monde</v>
      </c>
      <c r="B9643" t="str">
        <f>T("   ZZZ_Monde")</f>
        <v xml:space="preserve">   ZZZ_Monde</v>
      </c>
      <c r="C9643">
        <v>81816408</v>
      </c>
      <c r="D9643">
        <v>81018</v>
      </c>
    </row>
    <row r="9644" spans="1:4" x14ac:dyDescent="0.25">
      <c r="A9644" t="str">
        <f>T("   CM")</f>
        <v xml:space="preserve">   CM</v>
      </c>
      <c r="B9644" t="str">
        <f>T("   Cameroun")</f>
        <v xml:space="preserve">   Cameroun</v>
      </c>
      <c r="C9644">
        <v>70212128</v>
      </c>
      <c r="D9644">
        <v>44388</v>
      </c>
    </row>
    <row r="9645" spans="1:4" x14ac:dyDescent="0.25">
      <c r="A9645" t="str">
        <f>T("   CN")</f>
        <v xml:space="preserve">   CN</v>
      </c>
      <c r="B9645" t="str">
        <f>T("   Chine")</f>
        <v xml:space="preserve">   Chine</v>
      </c>
      <c r="C9645">
        <v>7359080</v>
      </c>
      <c r="D9645">
        <v>21185</v>
      </c>
    </row>
    <row r="9646" spans="1:4" x14ac:dyDescent="0.25">
      <c r="A9646" t="str">
        <f>T("   LB")</f>
        <v xml:space="preserve">   LB</v>
      </c>
      <c r="B9646" t="str">
        <f>T("   Liban")</f>
        <v xml:space="preserve">   Liban</v>
      </c>
      <c r="C9646">
        <v>4097599</v>
      </c>
      <c r="D9646">
        <v>15270</v>
      </c>
    </row>
    <row r="9647" spans="1:4" x14ac:dyDescent="0.25">
      <c r="A9647" t="str">
        <f>T("   TG")</f>
        <v xml:space="preserve">   TG</v>
      </c>
      <c r="B9647" t="str">
        <f>T("   Togo")</f>
        <v xml:space="preserve">   Togo</v>
      </c>
      <c r="C9647">
        <v>147601</v>
      </c>
      <c r="D9647">
        <v>175</v>
      </c>
    </row>
    <row r="9648" spans="1:4" x14ac:dyDescent="0.25">
      <c r="A9648" t="str">
        <f>T("760421")</f>
        <v>760421</v>
      </c>
      <c r="B9648" t="str">
        <f>T("Profilés creux en alliages d'aluminium, n.d.a.")</f>
        <v>Profilés creux en alliages d'aluminium, n.d.a.</v>
      </c>
    </row>
    <row r="9649" spans="1:4" x14ac:dyDescent="0.25">
      <c r="A9649" t="str">
        <f>T("   ZZZ_Monde")</f>
        <v xml:space="preserve">   ZZZ_Monde</v>
      </c>
      <c r="B9649" t="str">
        <f>T("   ZZZ_Monde")</f>
        <v xml:space="preserve">   ZZZ_Monde</v>
      </c>
      <c r="C9649">
        <v>438821721</v>
      </c>
      <c r="D9649">
        <v>527322</v>
      </c>
    </row>
    <row r="9650" spans="1:4" x14ac:dyDescent="0.25">
      <c r="A9650" t="str">
        <f>T("   CN")</f>
        <v xml:space="preserve">   CN</v>
      </c>
      <c r="B9650" t="str">
        <f>T("   Chine")</f>
        <v xml:space="preserve">   Chine</v>
      </c>
      <c r="C9650">
        <v>388769124</v>
      </c>
      <c r="D9650">
        <v>467726</v>
      </c>
    </row>
    <row r="9651" spans="1:4" x14ac:dyDescent="0.25">
      <c r="A9651" t="str">
        <f>T("   DE")</f>
        <v xml:space="preserve">   DE</v>
      </c>
      <c r="B9651" t="str">
        <f>T("   Allemagne")</f>
        <v xml:space="preserve">   Allemagne</v>
      </c>
      <c r="C9651">
        <v>33452398</v>
      </c>
      <c r="D9651">
        <v>30600</v>
      </c>
    </row>
    <row r="9652" spans="1:4" x14ac:dyDescent="0.25">
      <c r="A9652" t="str">
        <f>T("   FR")</f>
        <v xml:space="preserve">   FR</v>
      </c>
      <c r="B9652" t="str">
        <f>T("   France")</f>
        <v xml:space="preserve">   France</v>
      </c>
      <c r="C9652">
        <v>2770638</v>
      </c>
      <c r="D9652">
        <v>463</v>
      </c>
    </row>
    <row r="9653" spans="1:4" x14ac:dyDescent="0.25">
      <c r="A9653" t="str">
        <f>T("   HK")</f>
        <v xml:space="preserve">   HK</v>
      </c>
      <c r="B9653" t="str">
        <f>T("   Hong-Kong")</f>
        <v xml:space="preserve">   Hong-Kong</v>
      </c>
      <c r="C9653">
        <v>13741000</v>
      </c>
      <c r="D9653">
        <v>27933</v>
      </c>
    </row>
    <row r="9654" spans="1:4" x14ac:dyDescent="0.25">
      <c r="A9654" t="str">
        <f>T("   TG")</f>
        <v xml:space="preserve">   TG</v>
      </c>
      <c r="B9654" t="str">
        <f>T("   Togo")</f>
        <v xml:space="preserve">   Togo</v>
      </c>
      <c r="C9654">
        <v>88561</v>
      </c>
      <c r="D9654">
        <v>600</v>
      </c>
    </row>
    <row r="9655" spans="1:4" x14ac:dyDescent="0.25">
      <c r="A9655" t="str">
        <f>T("760429")</f>
        <v>760429</v>
      </c>
      <c r="B9655" t="str">
        <f>T("Barres et profilés pleins en alliages d'aluminium, n.d.a.")</f>
        <v>Barres et profilés pleins en alliages d'aluminium, n.d.a.</v>
      </c>
    </row>
    <row r="9656" spans="1:4" x14ac:dyDescent="0.25">
      <c r="A9656" t="str">
        <f>T("   ZZZ_Monde")</f>
        <v xml:space="preserve">   ZZZ_Monde</v>
      </c>
      <c r="B9656" t="str">
        <f>T("   ZZZ_Monde")</f>
        <v xml:space="preserve">   ZZZ_Monde</v>
      </c>
      <c r="C9656">
        <v>724123578</v>
      </c>
      <c r="D9656">
        <v>901604</v>
      </c>
    </row>
    <row r="9657" spans="1:4" x14ac:dyDescent="0.25">
      <c r="A9657" t="str">
        <f>T("   AE")</f>
        <v xml:space="preserve">   AE</v>
      </c>
      <c r="B9657" t="str">
        <f>T("   Emirats Arabes Unis")</f>
        <v xml:space="preserve">   Emirats Arabes Unis</v>
      </c>
      <c r="C9657">
        <v>18226402</v>
      </c>
      <c r="D9657">
        <v>19588</v>
      </c>
    </row>
    <row r="9658" spans="1:4" x14ac:dyDescent="0.25">
      <c r="A9658" t="str">
        <f>T("   BH")</f>
        <v xml:space="preserve">   BH</v>
      </c>
      <c r="B9658" t="str">
        <f>T("   Bahreïn")</f>
        <v xml:space="preserve">   Bahreïn</v>
      </c>
      <c r="C9658">
        <v>1065712</v>
      </c>
      <c r="D9658">
        <v>3000</v>
      </c>
    </row>
    <row r="9659" spans="1:4" x14ac:dyDescent="0.25">
      <c r="A9659" t="str">
        <f>T("   CN")</f>
        <v xml:space="preserve">   CN</v>
      </c>
      <c r="B9659" t="str">
        <f>T("   Chine")</f>
        <v xml:space="preserve">   Chine</v>
      </c>
      <c r="C9659">
        <v>418458933</v>
      </c>
      <c r="D9659">
        <v>498589</v>
      </c>
    </row>
    <row r="9660" spans="1:4" x14ac:dyDescent="0.25">
      <c r="A9660" t="str">
        <f>T("   DE")</f>
        <v xml:space="preserve">   DE</v>
      </c>
      <c r="B9660" t="str">
        <f>T("   Allemagne")</f>
        <v xml:space="preserve">   Allemagne</v>
      </c>
      <c r="C9660">
        <v>7446458</v>
      </c>
      <c r="D9660">
        <v>1263</v>
      </c>
    </row>
    <row r="9661" spans="1:4" x14ac:dyDescent="0.25">
      <c r="A9661" t="str">
        <f>T("   ES")</f>
        <v xml:space="preserve">   ES</v>
      </c>
      <c r="B9661" t="str">
        <f>T("   Espagne")</f>
        <v xml:space="preserve">   Espagne</v>
      </c>
      <c r="C9661">
        <v>1563245</v>
      </c>
      <c r="D9661">
        <v>5942</v>
      </c>
    </row>
    <row r="9662" spans="1:4" x14ac:dyDescent="0.25">
      <c r="A9662" t="str">
        <f>T("   FR")</f>
        <v xml:space="preserve">   FR</v>
      </c>
      <c r="B9662" t="str">
        <f>T("   France")</f>
        <v xml:space="preserve">   France</v>
      </c>
      <c r="C9662">
        <v>64953946</v>
      </c>
      <c r="D9662">
        <v>30800</v>
      </c>
    </row>
    <row r="9663" spans="1:4" x14ac:dyDescent="0.25">
      <c r="A9663" t="str">
        <f>T("   GH")</f>
        <v xml:space="preserve">   GH</v>
      </c>
      <c r="B9663" t="str">
        <f>T("   Ghana")</f>
        <v xml:space="preserve">   Ghana</v>
      </c>
      <c r="C9663">
        <v>19375500</v>
      </c>
      <c r="D9663">
        <v>72897</v>
      </c>
    </row>
    <row r="9664" spans="1:4" x14ac:dyDescent="0.25">
      <c r="A9664" t="str">
        <f>T("   HK")</f>
        <v xml:space="preserve">   HK</v>
      </c>
      <c r="B9664" t="str">
        <f>T("   Hong-Kong")</f>
        <v xml:space="preserve">   Hong-Kong</v>
      </c>
      <c r="C9664">
        <v>133207257</v>
      </c>
      <c r="D9664">
        <v>158477</v>
      </c>
    </row>
    <row r="9665" spans="1:4" x14ac:dyDescent="0.25">
      <c r="A9665" t="str">
        <f>T("   IT")</f>
        <v xml:space="preserve">   IT</v>
      </c>
      <c r="B9665" t="str">
        <f>T("   Italie")</f>
        <v xml:space="preserve">   Italie</v>
      </c>
      <c r="C9665">
        <v>27530928</v>
      </c>
      <c r="D9665">
        <v>27761</v>
      </c>
    </row>
    <row r="9666" spans="1:4" x14ac:dyDescent="0.25">
      <c r="A9666" t="str">
        <f>T("   LB")</f>
        <v xml:space="preserve">   LB</v>
      </c>
      <c r="B9666" t="str">
        <f>T("   Liban")</f>
        <v xml:space="preserve">   Liban</v>
      </c>
      <c r="C9666">
        <v>14981381</v>
      </c>
      <c r="D9666">
        <v>37597</v>
      </c>
    </row>
    <row r="9667" spans="1:4" x14ac:dyDescent="0.25">
      <c r="A9667" t="str">
        <f>T("   NG")</f>
        <v xml:space="preserve">   NG</v>
      </c>
      <c r="B9667" t="str">
        <f>T("   Nigéria")</f>
        <v xml:space="preserve">   Nigéria</v>
      </c>
      <c r="C9667">
        <v>2195000</v>
      </c>
      <c r="D9667">
        <v>1050</v>
      </c>
    </row>
    <row r="9668" spans="1:4" x14ac:dyDescent="0.25">
      <c r="A9668" t="str">
        <f>T("   TG")</f>
        <v xml:space="preserve">   TG</v>
      </c>
      <c r="B9668" t="str">
        <f>T("   Togo")</f>
        <v xml:space="preserve">   Togo</v>
      </c>
      <c r="C9668">
        <v>15118816</v>
      </c>
      <c r="D9668">
        <v>44640</v>
      </c>
    </row>
    <row r="9669" spans="1:4" x14ac:dyDescent="0.25">
      <c r="A9669" t="str">
        <f>T("760611")</f>
        <v>760611</v>
      </c>
      <c r="B9669" t="str">
        <f>T("TÔLES ET BANDES EN ALUMINIUM NON-ALLIÉ, D'UNE ÉPAISSEUR &gt; 0,2 MM, DE FORME CARRÉE OU RECTANGULAIRE (SAUF TÔLES ET BANDES DÉPLOYÉES)")</f>
        <v>TÔLES ET BANDES EN ALUMINIUM NON-ALLIÉ, D'UNE ÉPAISSEUR &gt; 0,2 MM, DE FORME CARRÉE OU RECTANGULAIRE (SAUF TÔLES ET BANDES DÉPLOYÉES)</v>
      </c>
    </row>
    <row r="9670" spans="1:4" x14ac:dyDescent="0.25">
      <c r="A9670" t="str">
        <f>T("   ZZZ_Monde")</f>
        <v xml:space="preserve">   ZZZ_Monde</v>
      </c>
      <c r="B9670" t="str">
        <f>T("   ZZZ_Monde")</f>
        <v xml:space="preserve">   ZZZ_Monde</v>
      </c>
      <c r="C9670">
        <v>220989964</v>
      </c>
      <c r="D9670">
        <v>206144</v>
      </c>
    </row>
    <row r="9671" spans="1:4" x14ac:dyDescent="0.25">
      <c r="A9671" t="str">
        <f>T("   CM")</f>
        <v xml:space="preserve">   CM</v>
      </c>
      <c r="B9671" t="str">
        <f>T("   Cameroun")</f>
        <v xml:space="preserve">   Cameroun</v>
      </c>
      <c r="C9671">
        <v>57380830</v>
      </c>
      <c r="D9671">
        <v>36658</v>
      </c>
    </row>
    <row r="9672" spans="1:4" x14ac:dyDescent="0.25">
      <c r="A9672" t="str">
        <f>T("   CN")</f>
        <v xml:space="preserve">   CN</v>
      </c>
      <c r="B9672" t="str">
        <f>T("   Chine")</f>
        <v xml:space="preserve">   Chine</v>
      </c>
      <c r="C9672">
        <v>123151251</v>
      </c>
      <c r="D9672">
        <v>144000</v>
      </c>
    </row>
    <row r="9673" spans="1:4" x14ac:dyDescent="0.25">
      <c r="A9673" t="str">
        <f>T("   IN")</f>
        <v xml:space="preserve">   IN</v>
      </c>
      <c r="B9673" t="str">
        <f>T("   Inde")</f>
        <v xml:space="preserve">   Inde</v>
      </c>
      <c r="C9673">
        <v>39707883</v>
      </c>
      <c r="D9673">
        <v>24486</v>
      </c>
    </row>
    <row r="9674" spans="1:4" x14ac:dyDescent="0.25">
      <c r="A9674" t="str">
        <f>T("   NG")</f>
        <v xml:space="preserve">   NG</v>
      </c>
      <c r="B9674" t="str">
        <f>T("   Nigéria")</f>
        <v xml:space="preserve">   Nigéria</v>
      </c>
      <c r="C9674">
        <v>750000</v>
      </c>
      <c r="D9674">
        <v>1000</v>
      </c>
    </row>
    <row r="9675" spans="1:4" x14ac:dyDescent="0.25">
      <c r="A9675" t="str">
        <f>T("760612")</f>
        <v>760612</v>
      </c>
      <c r="B9675" t="str">
        <f>T("Tôles et bandes en alliages d'aluminium, d'une épaisseur &gt; 0,2 mm, de forme carrée ou rectangulaire (sauf tôles et bandes déployées)")</f>
        <v>Tôles et bandes en alliages d'aluminium, d'une épaisseur &gt; 0,2 mm, de forme carrée ou rectangulaire (sauf tôles et bandes déployées)</v>
      </c>
    </row>
    <row r="9676" spans="1:4" x14ac:dyDescent="0.25">
      <c r="A9676" t="str">
        <f>T("   ZZZ_Monde")</f>
        <v xml:space="preserve">   ZZZ_Monde</v>
      </c>
      <c r="B9676" t="str">
        <f>T("   ZZZ_Monde")</f>
        <v xml:space="preserve">   ZZZ_Monde</v>
      </c>
      <c r="C9676">
        <v>36909752</v>
      </c>
      <c r="D9676">
        <v>34149</v>
      </c>
    </row>
    <row r="9677" spans="1:4" x14ac:dyDescent="0.25">
      <c r="A9677" t="str">
        <f>T("   CN")</f>
        <v xml:space="preserve">   CN</v>
      </c>
      <c r="B9677" t="str">
        <f>T("   Chine")</f>
        <v xml:space="preserve">   Chine</v>
      </c>
      <c r="C9677">
        <v>16114597</v>
      </c>
      <c r="D9677">
        <v>15188</v>
      </c>
    </row>
    <row r="9678" spans="1:4" x14ac:dyDescent="0.25">
      <c r="A9678" t="str">
        <f>T("   IN")</f>
        <v xml:space="preserve">   IN</v>
      </c>
      <c r="B9678" t="str">
        <f>T("   Inde")</f>
        <v xml:space="preserve">   Inde</v>
      </c>
      <c r="C9678">
        <v>20795155</v>
      </c>
      <c r="D9678">
        <v>18961</v>
      </c>
    </row>
    <row r="9679" spans="1:4" x14ac:dyDescent="0.25">
      <c r="A9679" t="str">
        <f>T("760692")</f>
        <v>760692</v>
      </c>
      <c r="B9679" t="str">
        <f>T("Tôles et bandes en alliages d'aluminium, d'une épaisseur &gt; 0,2 mm, de forme autre que carrée ou rectangulaire")</f>
        <v>Tôles et bandes en alliages d'aluminium, d'une épaisseur &gt; 0,2 mm, de forme autre que carrée ou rectangulaire</v>
      </c>
    </row>
    <row r="9680" spans="1:4" x14ac:dyDescent="0.25">
      <c r="A9680" t="str">
        <f>T("   ZZZ_Monde")</f>
        <v xml:space="preserve">   ZZZ_Monde</v>
      </c>
      <c r="B9680" t="str">
        <f>T("   ZZZ_Monde")</f>
        <v xml:space="preserve">   ZZZ_Monde</v>
      </c>
      <c r="C9680">
        <v>201963009</v>
      </c>
      <c r="D9680">
        <v>340296</v>
      </c>
    </row>
    <row r="9681" spans="1:4" x14ac:dyDescent="0.25">
      <c r="A9681" t="str">
        <f>T("   AE")</f>
        <v xml:space="preserve">   AE</v>
      </c>
      <c r="B9681" t="str">
        <f>T("   Emirats Arabes Unis")</f>
        <v xml:space="preserve">   Emirats Arabes Unis</v>
      </c>
      <c r="C9681">
        <v>26997951</v>
      </c>
      <c r="D9681">
        <v>24030</v>
      </c>
    </row>
    <row r="9682" spans="1:4" x14ac:dyDescent="0.25">
      <c r="A9682" t="str">
        <f>T("   CN")</f>
        <v xml:space="preserve">   CN</v>
      </c>
      <c r="B9682" t="str">
        <f>T("   Chine")</f>
        <v xml:space="preserve">   Chine</v>
      </c>
      <c r="C9682">
        <v>172965058</v>
      </c>
      <c r="D9682">
        <v>314266</v>
      </c>
    </row>
    <row r="9683" spans="1:4" x14ac:dyDescent="0.25">
      <c r="A9683" t="str">
        <f>T("   NG")</f>
        <v xml:space="preserve">   NG</v>
      </c>
      <c r="B9683" t="str">
        <f>T("   Nigéria")</f>
        <v xml:space="preserve">   Nigéria</v>
      </c>
      <c r="C9683">
        <v>2000000</v>
      </c>
      <c r="D9683">
        <v>2000</v>
      </c>
    </row>
    <row r="9684" spans="1:4" x14ac:dyDescent="0.25">
      <c r="A9684" t="str">
        <f>T("760719")</f>
        <v>760719</v>
      </c>
      <c r="B9684" t="str">
        <f>T("Feuilles et bandes minces d'aluminium, sans support, laminées et autrement traitées, d'une épaisseur &lt;= 0,2 mm (sauf feuilles pour le marquage au fer du n° 3212 et sauf feuilles travaillées pour la décoration des sapins de Noël)")</f>
        <v>Feuilles et bandes minces d'aluminium, sans support, laminées et autrement traitées, d'une épaisseur &lt;= 0,2 mm (sauf feuilles pour le marquage au fer du n° 3212 et sauf feuilles travaillées pour la décoration des sapins de Noël)</v>
      </c>
    </row>
    <row r="9685" spans="1:4" x14ac:dyDescent="0.25">
      <c r="A9685" t="str">
        <f>T("   ZZZ_Monde")</f>
        <v xml:space="preserve">   ZZZ_Monde</v>
      </c>
      <c r="B9685" t="str">
        <f>T("   ZZZ_Monde")</f>
        <v xml:space="preserve">   ZZZ_Monde</v>
      </c>
      <c r="C9685">
        <v>65661937</v>
      </c>
      <c r="D9685">
        <v>16607</v>
      </c>
    </row>
    <row r="9686" spans="1:4" x14ac:dyDescent="0.25">
      <c r="A9686" t="str">
        <f>T("   AE")</f>
        <v xml:space="preserve">   AE</v>
      </c>
      <c r="B9686" t="str">
        <f>T("   Emirats Arabes Unis")</f>
        <v xml:space="preserve">   Emirats Arabes Unis</v>
      </c>
      <c r="C9686">
        <v>3115775</v>
      </c>
      <c r="D9686">
        <v>1000</v>
      </c>
    </row>
    <row r="9687" spans="1:4" x14ac:dyDescent="0.25">
      <c r="A9687" t="str">
        <f>T("   CA")</f>
        <v xml:space="preserve">   CA</v>
      </c>
      <c r="B9687" t="str">
        <f>T("   Canada")</f>
        <v xml:space="preserve">   Canada</v>
      </c>
      <c r="C9687">
        <v>259328</v>
      </c>
      <c r="D9687">
        <v>400</v>
      </c>
    </row>
    <row r="9688" spans="1:4" x14ac:dyDescent="0.25">
      <c r="A9688" t="str">
        <f>T("   CN")</f>
        <v xml:space="preserve">   CN</v>
      </c>
      <c r="B9688" t="str">
        <f>T("   Chine")</f>
        <v xml:space="preserve">   Chine</v>
      </c>
      <c r="C9688">
        <v>719025</v>
      </c>
      <c r="D9688">
        <v>333</v>
      </c>
    </row>
    <row r="9689" spans="1:4" x14ac:dyDescent="0.25">
      <c r="A9689" t="str">
        <f>T("   DE")</f>
        <v xml:space="preserve">   DE</v>
      </c>
      <c r="B9689" t="str">
        <f>T("   Allemagne")</f>
        <v xml:space="preserve">   Allemagne</v>
      </c>
      <c r="C9689">
        <v>43390231</v>
      </c>
      <c r="D9689">
        <v>3499</v>
      </c>
    </row>
    <row r="9690" spans="1:4" x14ac:dyDescent="0.25">
      <c r="A9690" t="str">
        <f>T("   FR")</f>
        <v xml:space="preserve">   FR</v>
      </c>
      <c r="B9690" t="str">
        <f>T("   France")</f>
        <v xml:space="preserve">   France</v>
      </c>
      <c r="C9690">
        <v>10249436</v>
      </c>
      <c r="D9690">
        <v>4388</v>
      </c>
    </row>
    <row r="9691" spans="1:4" x14ac:dyDescent="0.25">
      <c r="A9691" t="str">
        <f>T("   IE")</f>
        <v xml:space="preserve">   IE</v>
      </c>
      <c r="B9691" t="str">
        <f>T("   Irlande")</f>
        <v xml:space="preserve">   Irlande</v>
      </c>
      <c r="C9691">
        <v>2825390</v>
      </c>
      <c r="D9691">
        <v>187</v>
      </c>
    </row>
    <row r="9692" spans="1:4" x14ac:dyDescent="0.25">
      <c r="A9692" t="str">
        <f>T("   IN")</f>
        <v xml:space="preserve">   IN</v>
      </c>
      <c r="B9692" t="str">
        <f>T("   Inde")</f>
        <v xml:space="preserve">   Inde</v>
      </c>
      <c r="C9692">
        <v>1798112</v>
      </c>
      <c r="D9692">
        <v>850</v>
      </c>
    </row>
    <row r="9693" spans="1:4" x14ac:dyDescent="0.25">
      <c r="A9693" t="str">
        <f>T("   LB")</f>
        <v xml:space="preserve">   LB</v>
      </c>
      <c r="B9693" t="str">
        <f>T("   Liban")</f>
        <v xml:space="preserve">   Liban</v>
      </c>
      <c r="C9693">
        <v>530640</v>
      </c>
      <c r="D9693">
        <v>630</v>
      </c>
    </row>
    <row r="9694" spans="1:4" x14ac:dyDescent="0.25">
      <c r="A9694" t="str">
        <f>T("   NG")</f>
        <v xml:space="preserve">   NG</v>
      </c>
      <c r="B9694" t="str">
        <f>T("   Nigéria")</f>
        <v xml:space="preserve">   Nigéria</v>
      </c>
      <c r="C9694">
        <v>2774000</v>
      </c>
      <c r="D9694">
        <v>5320</v>
      </c>
    </row>
    <row r="9695" spans="1:4" x14ac:dyDescent="0.25">
      <c r="A9695" t="str">
        <f>T("760720")</f>
        <v>760720</v>
      </c>
      <c r="B9695" t="str">
        <f>T("Feuilles et bandes minces d'aluminium, sur support, d'une épaisseur, support non compris, &lt;= 0,2 mm (sauf feuilles pour le marquage au fer du n° 3212 et sauf feuilles travaillées pour la décoration des sapins de Noël)")</f>
        <v>Feuilles et bandes minces d'aluminium, sur support, d'une épaisseur, support non compris, &lt;= 0,2 mm (sauf feuilles pour le marquage au fer du n° 3212 et sauf feuilles travaillées pour la décoration des sapins de Noël)</v>
      </c>
    </row>
    <row r="9696" spans="1:4" x14ac:dyDescent="0.25">
      <c r="A9696" t="str">
        <f>T("   ZZZ_Monde")</f>
        <v xml:space="preserve">   ZZZ_Monde</v>
      </c>
      <c r="B9696" t="str">
        <f>T("   ZZZ_Monde")</f>
        <v xml:space="preserve">   ZZZ_Monde</v>
      </c>
      <c r="C9696">
        <v>3435502</v>
      </c>
      <c r="D9696">
        <v>2564</v>
      </c>
    </row>
    <row r="9697" spans="1:4" x14ac:dyDescent="0.25">
      <c r="A9697" t="str">
        <f>T("   CN")</f>
        <v xml:space="preserve">   CN</v>
      </c>
      <c r="B9697" t="str">
        <f>T("   Chine")</f>
        <v xml:space="preserve">   Chine</v>
      </c>
      <c r="C9697">
        <v>3435502</v>
      </c>
      <c r="D9697">
        <v>2564</v>
      </c>
    </row>
    <row r="9698" spans="1:4" x14ac:dyDescent="0.25">
      <c r="A9698" t="str">
        <f>T("760820")</f>
        <v>760820</v>
      </c>
      <c r="B9698" t="str">
        <f>T("Tubes et tuyaux en alliages d'aluminium (sauf profilés creux)")</f>
        <v>Tubes et tuyaux en alliages d'aluminium (sauf profilés creux)</v>
      </c>
    </row>
    <row r="9699" spans="1:4" x14ac:dyDescent="0.25">
      <c r="A9699" t="str">
        <f>T("   ZZZ_Monde")</f>
        <v xml:space="preserve">   ZZZ_Monde</v>
      </c>
      <c r="B9699" t="str">
        <f>T("   ZZZ_Monde")</f>
        <v xml:space="preserve">   ZZZ_Monde</v>
      </c>
      <c r="C9699">
        <v>1847201</v>
      </c>
      <c r="D9699">
        <v>27175</v>
      </c>
    </row>
    <row r="9700" spans="1:4" x14ac:dyDescent="0.25">
      <c r="A9700" t="str">
        <f>T("   FR")</f>
        <v xml:space="preserve">   FR</v>
      </c>
      <c r="B9700" t="str">
        <f>T("   France")</f>
        <v xml:space="preserve">   France</v>
      </c>
      <c r="C9700">
        <v>198100</v>
      </c>
      <c r="D9700">
        <v>75</v>
      </c>
    </row>
    <row r="9701" spans="1:4" x14ac:dyDescent="0.25">
      <c r="A9701" t="str">
        <f>T("   GH")</f>
        <v xml:space="preserve">   GH</v>
      </c>
      <c r="B9701" t="str">
        <f>T("   Ghana")</f>
        <v xml:space="preserve">   Ghana</v>
      </c>
      <c r="C9701">
        <v>1649101</v>
      </c>
      <c r="D9701">
        <v>27100</v>
      </c>
    </row>
    <row r="9702" spans="1:4" x14ac:dyDescent="0.25">
      <c r="A9702" t="str">
        <f>T("760900")</f>
        <v>760900</v>
      </c>
      <c r="B9702" t="str">
        <f>T("Accessoires de tuyauterie, p.ex. raccords, coudes, manchons, en aluminium")</f>
        <v>Accessoires de tuyauterie, p.ex. raccords, coudes, manchons, en aluminium</v>
      </c>
    </row>
    <row r="9703" spans="1:4" x14ac:dyDescent="0.25">
      <c r="A9703" t="str">
        <f>T("   ZZZ_Monde")</f>
        <v xml:space="preserve">   ZZZ_Monde</v>
      </c>
      <c r="B9703" t="str">
        <f>T("   ZZZ_Monde")</f>
        <v xml:space="preserve">   ZZZ_Monde</v>
      </c>
      <c r="C9703">
        <v>750848</v>
      </c>
      <c r="D9703">
        <v>348</v>
      </c>
    </row>
    <row r="9704" spans="1:4" x14ac:dyDescent="0.25">
      <c r="A9704" t="str">
        <f>T("   FR")</f>
        <v xml:space="preserve">   FR</v>
      </c>
      <c r="B9704" t="str">
        <f>T("   France")</f>
        <v xml:space="preserve">   France</v>
      </c>
      <c r="C9704">
        <v>739924</v>
      </c>
      <c r="D9704">
        <v>208</v>
      </c>
    </row>
    <row r="9705" spans="1:4" x14ac:dyDescent="0.25">
      <c r="A9705" t="str">
        <f>T("   TG")</f>
        <v xml:space="preserve">   TG</v>
      </c>
      <c r="B9705" t="str">
        <f>T("   Togo")</f>
        <v xml:space="preserve">   Togo</v>
      </c>
      <c r="C9705">
        <v>10924</v>
      </c>
      <c r="D9705">
        <v>140</v>
      </c>
    </row>
    <row r="9706" spans="1:4" x14ac:dyDescent="0.25">
      <c r="A9706" t="str">
        <f>T("761010")</f>
        <v>761010</v>
      </c>
      <c r="B9706" t="str">
        <f>T("Portes, fenêtres et leurs cadres, chambranles et seuils, en aluminium (sauf pièces de garnissage)")</f>
        <v>Portes, fenêtres et leurs cadres, chambranles et seuils, en aluminium (sauf pièces de garnissage)</v>
      </c>
    </row>
    <row r="9707" spans="1:4" x14ac:dyDescent="0.25">
      <c r="A9707" t="str">
        <f>T("   ZZZ_Monde")</f>
        <v xml:space="preserve">   ZZZ_Monde</v>
      </c>
      <c r="B9707" t="str">
        <f>T("   ZZZ_Monde")</f>
        <v xml:space="preserve">   ZZZ_Monde</v>
      </c>
      <c r="C9707">
        <v>188563055</v>
      </c>
      <c r="D9707">
        <v>269061</v>
      </c>
    </row>
    <row r="9708" spans="1:4" x14ac:dyDescent="0.25">
      <c r="A9708" t="str">
        <f>T("   AE")</f>
        <v xml:space="preserve">   AE</v>
      </c>
      <c r="B9708" t="str">
        <f>T("   Emirats Arabes Unis")</f>
        <v xml:space="preserve">   Emirats Arabes Unis</v>
      </c>
      <c r="C9708">
        <v>22103879</v>
      </c>
      <c r="D9708">
        <v>30742</v>
      </c>
    </row>
    <row r="9709" spans="1:4" x14ac:dyDescent="0.25">
      <c r="A9709" t="str">
        <f>T("   CN")</f>
        <v xml:space="preserve">   CN</v>
      </c>
      <c r="B9709" t="str">
        <f>T("   Chine")</f>
        <v xml:space="preserve">   Chine</v>
      </c>
      <c r="C9709">
        <v>83326166</v>
      </c>
      <c r="D9709">
        <v>164330</v>
      </c>
    </row>
    <row r="9710" spans="1:4" x14ac:dyDescent="0.25">
      <c r="A9710" t="str">
        <f>T("   ES")</f>
        <v xml:space="preserve">   ES</v>
      </c>
      <c r="B9710" t="str">
        <f>T("   Espagne")</f>
        <v xml:space="preserve">   Espagne</v>
      </c>
      <c r="C9710">
        <v>37188997</v>
      </c>
      <c r="D9710">
        <v>35805</v>
      </c>
    </row>
    <row r="9711" spans="1:4" x14ac:dyDescent="0.25">
      <c r="A9711" t="str">
        <f>T("   FR")</f>
        <v xml:space="preserve">   FR</v>
      </c>
      <c r="B9711" t="str">
        <f>T("   France")</f>
        <v xml:space="preserve">   France</v>
      </c>
      <c r="C9711">
        <v>3905585</v>
      </c>
      <c r="D9711">
        <v>4372</v>
      </c>
    </row>
    <row r="9712" spans="1:4" x14ac:dyDescent="0.25">
      <c r="A9712" t="str">
        <f>T("   GH")</f>
        <v xml:space="preserve">   GH</v>
      </c>
      <c r="B9712" t="str">
        <f>T("   Ghana")</f>
        <v xml:space="preserve">   Ghana</v>
      </c>
      <c r="C9712">
        <v>1092300</v>
      </c>
      <c r="D9712">
        <v>500</v>
      </c>
    </row>
    <row r="9713" spans="1:4" x14ac:dyDescent="0.25">
      <c r="A9713" t="str">
        <f>T("   IT")</f>
        <v xml:space="preserve">   IT</v>
      </c>
      <c r="B9713" t="str">
        <f>T("   Italie")</f>
        <v xml:space="preserve">   Italie</v>
      </c>
      <c r="C9713">
        <v>32085500</v>
      </c>
      <c r="D9713">
        <v>21512</v>
      </c>
    </row>
    <row r="9714" spans="1:4" x14ac:dyDescent="0.25">
      <c r="A9714" t="str">
        <f>T("   LB")</f>
        <v xml:space="preserve">   LB</v>
      </c>
      <c r="B9714" t="str">
        <f>T("   Liban")</f>
        <v xml:space="preserve">   Liban</v>
      </c>
      <c r="C9714">
        <v>3930138</v>
      </c>
      <c r="D9714">
        <v>3250</v>
      </c>
    </row>
    <row r="9715" spans="1:4" x14ac:dyDescent="0.25">
      <c r="A9715" t="str">
        <f>T("   NG")</f>
        <v xml:space="preserve">   NG</v>
      </c>
      <c r="B9715" t="str">
        <f>T("   Nigéria")</f>
        <v xml:space="preserve">   Nigéria</v>
      </c>
      <c r="C9715">
        <v>100000</v>
      </c>
      <c r="D9715">
        <v>50</v>
      </c>
    </row>
    <row r="9716" spans="1:4" x14ac:dyDescent="0.25">
      <c r="A9716" t="str">
        <f>T("   SA")</f>
        <v xml:space="preserve">   SA</v>
      </c>
      <c r="B9716" t="str">
        <f>T("   Arabie Saoudite")</f>
        <v xml:space="preserve">   Arabie Saoudite</v>
      </c>
      <c r="C9716">
        <v>3500000</v>
      </c>
      <c r="D9716">
        <v>6000</v>
      </c>
    </row>
    <row r="9717" spans="1:4" x14ac:dyDescent="0.25">
      <c r="A9717" t="str">
        <f>T("   TG")</f>
        <v xml:space="preserve">   TG</v>
      </c>
      <c r="B9717" t="str">
        <f>T("   Togo")</f>
        <v xml:space="preserve">   Togo</v>
      </c>
      <c r="C9717">
        <v>327690</v>
      </c>
      <c r="D9717">
        <v>400</v>
      </c>
    </row>
    <row r="9718" spans="1:4" x14ac:dyDescent="0.25">
      <c r="A9718" t="str">
        <f>T("   TN")</f>
        <v xml:space="preserve">   TN</v>
      </c>
      <c r="B9718" t="str">
        <f>T("   Tunisie")</f>
        <v xml:space="preserve">   Tunisie</v>
      </c>
      <c r="C9718">
        <v>1002800</v>
      </c>
      <c r="D9718">
        <v>2100</v>
      </c>
    </row>
    <row r="9719" spans="1:4" x14ac:dyDescent="0.25">
      <c r="A9719" t="str">
        <f>T("761090")</f>
        <v>761090</v>
      </c>
      <c r="B9719" t="str">
        <f>T("Constructions et parties de constructions, en aluminium, n.d.a., ainsi que tôles, barres, profilés, tubes, tuyaux et simil., en aluminium, n.d.a; (sauf constructions préfabriquées du n° 9406, portes, fenêtres et leurs cadres, chambranles et seuils)")</f>
        <v>Constructions et parties de constructions, en aluminium, n.d.a., ainsi que tôles, barres, profilés, tubes, tuyaux et simil., en aluminium, n.d.a; (sauf constructions préfabriquées du n° 9406, portes, fenêtres et leurs cadres, chambranles et seuils)</v>
      </c>
    </row>
    <row r="9720" spans="1:4" x14ac:dyDescent="0.25">
      <c r="A9720" t="str">
        <f>T("   ZZZ_Monde")</f>
        <v xml:space="preserve">   ZZZ_Monde</v>
      </c>
      <c r="B9720" t="str">
        <f>T("   ZZZ_Monde")</f>
        <v xml:space="preserve">   ZZZ_Monde</v>
      </c>
      <c r="C9720">
        <v>142714110</v>
      </c>
      <c r="D9720">
        <v>149831.43</v>
      </c>
    </row>
    <row r="9721" spans="1:4" x14ac:dyDescent="0.25">
      <c r="A9721" t="str">
        <f>T("   AE")</f>
        <v xml:space="preserve">   AE</v>
      </c>
      <c r="B9721" t="str">
        <f>T("   Emirats Arabes Unis")</f>
        <v xml:space="preserve">   Emirats Arabes Unis</v>
      </c>
      <c r="C9721">
        <v>28593839</v>
      </c>
      <c r="D9721">
        <v>15453.29</v>
      </c>
    </row>
    <row r="9722" spans="1:4" x14ac:dyDescent="0.25">
      <c r="A9722" t="str">
        <f>T("   CN")</f>
        <v xml:space="preserve">   CN</v>
      </c>
      <c r="B9722" t="str">
        <f>T("   Chine")</f>
        <v xml:space="preserve">   Chine</v>
      </c>
      <c r="C9722">
        <v>49160440</v>
      </c>
      <c r="D9722">
        <v>95519</v>
      </c>
    </row>
    <row r="9723" spans="1:4" x14ac:dyDescent="0.25">
      <c r="A9723" t="str">
        <f>T("   FR")</f>
        <v xml:space="preserve">   FR</v>
      </c>
      <c r="B9723" t="str">
        <f>T("   France")</f>
        <v xml:space="preserve">   France</v>
      </c>
      <c r="C9723">
        <v>28215025</v>
      </c>
      <c r="D9723">
        <v>16208.14</v>
      </c>
    </row>
    <row r="9724" spans="1:4" x14ac:dyDescent="0.25">
      <c r="A9724" t="str">
        <f>T("   GB")</f>
        <v xml:space="preserve">   GB</v>
      </c>
      <c r="B9724" t="str">
        <f>T("   Royaume-Uni")</f>
        <v xml:space="preserve">   Royaume-Uni</v>
      </c>
      <c r="C9724">
        <v>14214597</v>
      </c>
      <c r="D9724">
        <v>2200</v>
      </c>
    </row>
    <row r="9725" spans="1:4" x14ac:dyDescent="0.25">
      <c r="A9725" t="str">
        <f>T("   GH")</f>
        <v xml:space="preserve">   GH</v>
      </c>
      <c r="B9725" t="str">
        <f>T("   Ghana")</f>
        <v xml:space="preserve">   Ghana</v>
      </c>
      <c r="C9725">
        <v>600000</v>
      </c>
      <c r="D9725">
        <v>3500</v>
      </c>
    </row>
    <row r="9726" spans="1:4" x14ac:dyDescent="0.25">
      <c r="A9726" t="str">
        <f>T("   IT")</f>
        <v xml:space="preserve">   IT</v>
      </c>
      <c r="B9726" t="str">
        <f>T("   Italie")</f>
        <v xml:space="preserve">   Italie</v>
      </c>
      <c r="C9726">
        <v>12005321</v>
      </c>
      <c r="D9726">
        <v>440</v>
      </c>
    </row>
    <row r="9727" spans="1:4" x14ac:dyDescent="0.25">
      <c r="A9727" t="str">
        <f>T("   TG")</f>
        <v xml:space="preserve">   TG</v>
      </c>
      <c r="B9727" t="str">
        <f>T("   Togo")</f>
        <v xml:space="preserve">   Togo</v>
      </c>
      <c r="C9727">
        <v>371382</v>
      </c>
      <c r="D9727">
        <v>1660</v>
      </c>
    </row>
    <row r="9728" spans="1:4" x14ac:dyDescent="0.25">
      <c r="A9728" t="str">
        <f>T("   TR")</f>
        <v xml:space="preserve">   TR</v>
      </c>
      <c r="B9728" t="str">
        <f>T("   Turquie")</f>
        <v xml:space="preserve">   Turquie</v>
      </c>
      <c r="C9728">
        <v>9553506</v>
      </c>
      <c r="D9728">
        <v>14851</v>
      </c>
    </row>
    <row r="9729" spans="1:4" x14ac:dyDescent="0.25">
      <c r="A9729" t="str">
        <f>T("761210")</f>
        <v>761210</v>
      </c>
      <c r="B9729" t="str">
        <f>T("Etuis tubulaires souples en aluminium")</f>
        <v>Etuis tubulaires souples en aluminium</v>
      </c>
    </row>
    <row r="9730" spans="1:4" x14ac:dyDescent="0.25">
      <c r="A9730" t="str">
        <f>T("   ZZZ_Monde")</f>
        <v xml:space="preserve">   ZZZ_Monde</v>
      </c>
      <c r="B9730" t="str">
        <f>T("   ZZZ_Monde")</f>
        <v xml:space="preserve">   ZZZ_Monde</v>
      </c>
      <c r="C9730">
        <v>753936</v>
      </c>
      <c r="D9730">
        <v>6805</v>
      </c>
    </row>
    <row r="9731" spans="1:4" x14ac:dyDescent="0.25">
      <c r="A9731" t="str">
        <f>T("   BE")</f>
        <v xml:space="preserve">   BE</v>
      </c>
      <c r="B9731" t="str">
        <f>T("   Belgique")</f>
        <v xml:space="preserve">   Belgique</v>
      </c>
      <c r="C9731">
        <v>3936</v>
      </c>
      <c r="D9731">
        <v>5</v>
      </c>
    </row>
    <row r="9732" spans="1:4" x14ac:dyDescent="0.25">
      <c r="A9732" t="str">
        <f>T("   TG")</f>
        <v xml:space="preserve">   TG</v>
      </c>
      <c r="B9732" t="str">
        <f>T("   Togo")</f>
        <v xml:space="preserve">   Togo</v>
      </c>
      <c r="C9732">
        <v>750000</v>
      </c>
      <c r="D9732">
        <v>6800</v>
      </c>
    </row>
    <row r="9733" spans="1:4" x14ac:dyDescent="0.25">
      <c r="A9733" t="str">
        <f>T("761290")</f>
        <v>761290</v>
      </c>
      <c r="B9733" t="str">
        <f>T("Réservoirs, fûts, tambours, bidons, boîtes et récipients simil., en aluminium, y.c. les étuis tubulaires rigides, pour toutes matières, sauf gaz comprimés ou liquéfiés, d'une contenance &lt;= 300 l, n.d.a.")</f>
        <v>Réservoirs, fûts, tambours, bidons, boîtes et récipients simil., en aluminium, y.c. les étuis tubulaires rigides, pour toutes matières, sauf gaz comprimés ou liquéfiés, d'une contenance &lt;= 300 l, n.d.a.</v>
      </c>
    </row>
    <row r="9734" spans="1:4" x14ac:dyDescent="0.25">
      <c r="A9734" t="str">
        <f>T("   ZZZ_Monde")</f>
        <v xml:space="preserve">   ZZZ_Monde</v>
      </c>
      <c r="B9734" t="str">
        <f>T("   ZZZ_Monde")</f>
        <v xml:space="preserve">   ZZZ_Monde</v>
      </c>
      <c r="C9734">
        <v>58059086</v>
      </c>
      <c r="D9734">
        <v>26280</v>
      </c>
    </row>
    <row r="9735" spans="1:4" x14ac:dyDescent="0.25">
      <c r="A9735" t="str">
        <f>T("   CN")</f>
        <v xml:space="preserve">   CN</v>
      </c>
      <c r="B9735" t="str">
        <f>T("   Chine")</f>
        <v xml:space="preserve">   Chine</v>
      </c>
      <c r="C9735">
        <v>393576</v>
      </c>
      <c r="D9735">
        <v>200</v>
      </c>
    </row>
    <row r="9736" spans="1:4" x14ac:dyDescent="0.25">
      <c r="A9736" t="str">
        <f>T("   IT")</f>
        <v xml:space="preserve">   IT</v>
      </c>
      <c r="B9736" t="str">
        <f>T("   Italie")</f>
        <v xml:space="preserve">   Italie</v>
      </c>
      <c r="C9736">
        <v>13738427</v>
      </c>
      <c r="D9736">
        <v>4220</v>
      </c>
    </row>
    <row r="9737" spans="1:4" x14ac:dyDescent="0.25">
      <c r="A9737" t="str">
        <f>T("   NE")</f>
        <v xml:space="preserve">   NE</v>
      </c>
      <c r="B9737" t="str">
        <f>T("   Niger")</f>
        <v xml:space="preserve">   Niger</v>
      </c>
      <c r="C9737">
        <v>50000</v>
      </c>
      <c r="D9737">
        <v>160</v>
      </c>
    </row>
    <row r="9738" spans="1:4" x14ac:dyDescent="0.25">
      <c r="A9738" t="str">
        <f>T("   TG")</f>
        <v xml:space="preserve">   TG</v>
      </c>
      <c r="B9738" t="str">
        <f>T("   Togo")</f>
        <v xml:space="preserve">   Togo</v>
      </c>
      <c r="C9738">
        <v>43877083</v>
      </c>
      <c r="D9738">
        <v>21700</v>
      </c>
    </row>
    <row r="9739" spans="1:4" x14ac:dyDescent="0.25">
      <c r="A9739" t="str">
        <f>T("761511")</f>
        <v>761511</v>
      </c>
      <c r="B9739" t="str">
        <f>T("Eponges, torchons, gants et articles simil. pour le récurage, le polissage et usages analogues, en aluminium (à l'excl. des articles d'hygiène et de toilette)")</f>
        <v>Eponges, torchons, gants et articles simil. pour le récurage, le polissage et usages analogues, en aluminium (à l'excl. des articles d'hygiène et de toilette)</v>
      </c>
    </row>
    <row r="9740" spans="1:4" x14ac:dyDescent="0.25">
      <c r="A9740" t="str">
        <f>T("   ZZZ_Monde")</f>
        <v xml:space="preserve">   ZZZ_Monde</v>
      </c>
      <c r="B9740" t="str">
        <f>T("   ZZZ_Monde")</f>
        <v xml:space="preserve">   ZZZ_Monde</v>
      </c>
      <c r="C9740">
        <v>918299</v>
      </c>
      <c r="D9740">
        <v>2908</v>
      </c>
    </row>
    <row r="9741" spans="1:4" x14ac:dyDescent="0.25">
      <c r="A9741" t="str">
        <f>T("   CN")</f>
        <v xml:space="preserve">   CN</v>
      </c>
      <c r="B9741" t="str">
        <f>T("   Chine")</f>
        <v xml:space="preserve">   Chine</v>
      </c>
      <c r="C9741">
        <v>518657</v>
      </c>
      <c r="D9741">
        <v>2250</v>
      </c>
    </row>
    <row r="9742" spans="1:4" x14ac:dyDescent="0.25">
      <c r="A9742" t="str">
        <f>T("   FR")</f>
        <v xml:space="preserve">   FR</v>
      </c>
      <c r="B9742" t="str">
        <f>T("   France")</f>
        <v xml:space="preserve">   France</v>
      </c>
      <c r="C9742">
        <v>339131</v>
      </c>
      <c r="D9742">
        <v>203</v>
      </c>
    </row>
    <row r="9743" spans="1:4" x14ac:dyDescent="0.25">
      <c r="A9743" t="str">
        <f>T("   TG")</f>
        <v xml:space="preserve">   TG</v>
      </c>
      <c r="B9743" t="str">
        <f>T("   Togo")</f>
        <v xml:space="preserve">   Togo</v>
      </c>
      <c r="C9743">
        <v>60511</v>
      </c>
      <c r="D9743">
        <v>455</v>
      </c>
    </row>
    <row r="9744" spans="1:4" x14ac:dyDescent="0.25">
      <c r="A9744" t="str">
        <f>T("761519")</f>
        <v>761519</v>
      </c>
      <c r="B9744" t="str">
        <f>T("Articles de ménage, d'économie domestique, et leurs parties, en aluminium (sauf éponges, torchons, gants et articles simil.; bidons, boîtes et récipients simil. du n° 7612; articles ayant le caractère d'outils, cuillers, louches, fourchettes et articles a")</f>
        <v>Articles de ménage, d'économie domestique, et leurs parties, en aluminium (sauf éponges, torchons, gants et articles simil.; bidons, boîtes et récipients simil. du n° 7612; articles ayant le caractère d'outils, cuillers, louches, fourchettes et articles a</v>
      </c>
    </row>
    <row r="9745" spans="1:4" x14ac:dyDescent="0.25">
      <c r="A9745" t="str">
        <f>T("   ZZZ_Monde")</f>
        <v xml:space="preserve">   ZZZ_Monde</v>
      </c>
      <c r="B9745" t="str">
        <f>T("   ZZZ_Monde")</f>
        <v xml:space="preserve">   ZZZ_Monde</v>
      </c>
      <c r="C9745">
        <v>294845821</v>
      </c>
      <c r="D9745">
        <v>755642.57</v>
      </c>
    </row>
    <row r="9746" spans="1:4" x14ac:dyDescent="0.25">
      <c r="A9746" t="str">
        <f>T("   AE")</f>
        <v xml:space="preserve">   AE</v>
      </c>
      <c r="B9746" t="str">
        <f>T("   Emirats Arabes Unis")</f>
        <v xml:space="preserve">   Emirats Arabes Unis</v>
      </c>
      <c r="C9746">
        <v>1893323</v>
      </c>
      <c r="D9746">
        <v>5807</v>
      </c>
    </row>
    <row r="9747" spans="1:4" x14ac:dyDescent="0.25">
      <c r="A9747" t="str">
        <f>T("   CN")</f>
        <v xml:space="preserve">   CN</v>
      </c>
      <c r="B9747" t="str">
        <f>T("   Chine")</f>
        <v xml:space="preserve">   Chine</v>
      </c>
      <c r="C9747">
        <v>38474920</v>
      </c>
      <c r="D9747">
        <v>129747</v>
      </c>
    </row>
    <row r="9748" spans="1:4" x14ac:dyDescent="0.25">
      <c r="A9748" t="str">
        <f>T("   FR")</f>
        <v xml:space="preserve">   FR</v>
      </c>
      <c r="B9748" t="str">
        <f>T("   France")</f>
        <v xml:space="preserve">   France</v>
      </c>
      <c r="C9748">
        <v>42076576</v>
      </c>
      <c r="D9748">
        <v>16760</v>
      </c>
    </row>
    <row r="9749" spans="1:4" x14ac:dyDescent="0.25">
      <c r="A9749" t="str">
        <f>T("   GH")</f>
        <v xml:space="preserve">   GH</v>
      </c>
      <c r="B9749" t="str">
        <f>T("   Ghana")</f>
        <v xml:space="preserve">   Ghana</v>
      </c>
      <c r="C9749">
        <v>149627448</v>
      </c>
      <c r="D9749">
        <v>470391</v>
      </c>
    </row>
    <row r="9750" spans="1:4" x14ac:dyDescent="0.25">
      <c r="A9750" t="str">
        <f>T("   IN")</f>
        <v xml:space="preserve">   IN</v>
      </c>
      <c r="B9750" t="str">
        <f>T("   Inde")</f>
        <v xml:space="preserve">   Inde</v>
      </c>
      <c r="C9750">
        <v>12103000</v>
      </c>
      <c r="D9750">
        <v>14278</v>
      </c>
    </row>
    <row r="9751" spans="1:4" x14ac:dyDescent="0.25">
      <c r="A9751" t="str">
        <f>T("   IT")</f>
        <v xml:space="preserve">   IT</v>
      </c>
      <c r="B9751" t="str">
        <f>T("   Italie")</f>
        <v xml:space="preserve">   Italie</v>
      </c>
      <c r="C9751">
        <v>98394</v>
      </c>
      <c r="D9751">
        <v>400</v>
      </c>
    </row>
    <row r="9752" spans="1:4" x14ac:dyDescent="0.25">
      <c r="A9752" t="str">
        <f>T("   NG")</f>
        <v xml:space="preserve">   NG</v>
      </c>
      <c r="B9752" t="str">
        <f>T("   Nigéria")</f>
        <v xml:space="preserve">   Nigéria</v>
      </c>
      <c r="C9752">
        <v>355000</v>
      </c>
      <c r="D9752">
        <v>355</v>
      </c>
    </row>
    <row r="9753" spans="1:4" x14ac:dyDescent="0.25">
      <c r="A9753" t="str">
        <f>T("   NL")</f>
        <v xml:space="preserve">   NL</v>
      </c>
      <c r="B9753" t="str">
        <f>T("   Pays-bas")</f>
        <v xml:space="preserve">   Pays-bas</v>
      </c>
      <c r="C9753">
        <v>350000</v>
      </c>
      <c r="D9753">
        <v>2940</v>
      </c>
    </row>
    <row r="9754" spans="1:4" x14ac:dyDescent="0.25">
      <c r="A9754" t="str">
        <f>T("   SG")</f>
        <v xml:space="preserve">   SG</v>
      </c>
      <c r="B9754" t="str">
        <f>T("   Singapour")</f>
        <v xml:space="preserve">   Singapour</v>
      </c>
      <c r="C9754">
        <v>9568306</v>
      </c>
      <c r="D9754">
        <v>8207.64</v>
      </c>
    </row>
    <row r="9755" spans="1:4" x14ac:dyDescent="0.25">
      <c r="A9755" t="str">
        <f>T("   SN")</f>
        <v xml:space="preserve">   SN</v>
      </c>
      <c r="B9755" t="str">
        <f>T("   Sénégal")</f>
        <v xml:space="preserve">   Sénégal</v>
      </c>
      <c r="C9755">
        <v>2000000</v>
      </c>
      <c r="D9755">
        <v>1200</v>
      </c>
    </row>
    <row r="9756" spans="1:4" x14ac:dyDescent="0.25">
      <c r="A9756" t="str">
        <f>T("   TG")</f>
        <v xml:space="preserve">   TG</v>
      </c>
      <c r="B9756" t="str">
        <f>T("   Togo")</f>
        <v xml:space="preserve">   Togo</v>
      </c>
      <c r="C9756">
        <v>37838341</v>
      </c>
      <c r="D9756">
        <v>105285</v>
      </c>
    </row>
    <row r="9757" spans="1:4" x14ac:dyDescent="0.25">
      <c r="A9757" t="str">
        <f>T("   ZA")</f>
        <v xml:space="preserve">   ZA</v>
      </c>
      <c r="B9757" t="str">
        <f>T("   Afrique du Sud")</f>
        <v xml:space="preserve">   Afrique du Sud</v>
      </c>
      <c r="C9757">
        <v>460513</v>
      </c>
      <c r="D9757">
        <v>271.93</v>
      </c>
    </row>
    <row r="9758" spans="1:4" x14ac:dyDescent="0.25">
      <c r="A9758" t="str">
        <f>T("761520")</f>
        <v>761520</v>
      </c>
      <c r="B9758" t="str">
        <f>T("Articles d'hygiène ou de toilette, et leurs parties, en aluminium (sauf bidons, boîtes et récipients simil. du n° 7612 et sauf accessoires de tuyauterie)")</f>
        <v>Articles d'hygiène ou de toilette, et leurs parties, en aluminium (sauf bidons, boîtes et récipients simil. du n° 7612 et sauf accessoires de tuyauterie)</v>
      </c>
    </row>
    <row r="9759" spans="1:4" x14ac:dyDescent="0.25">
      <c r="A9759" t="str">
        <f>T("   ZZZ_Monde")</f>
        <v xml:space="preserve">   ZZZ_Monde</v>
      </c>
      <c r="B9759" t="str">
        <f>T("   ZZZ_Monde")</f>
        <v xml:space="preserve">   ZZZ_Monde</v>
      </c>
      <c r="C9759">
        <v>57386078</v>
      </c>
      <c r="D9759">
        <v>132840</v>
      </c>
    </row>
    <row r="9760" spans="1:4" x14ac:dyDescent="0.25">
      <c r="A9760" t="str">
        <f>T("   BE")</f>
        <v xml:space="preserve">   BE</v>
      </c>
      <c r="B9760" t="str">
        <f>T("   Belgique")</f>
        <v xml:space="preserve">   Belgique</v>
      </c>
      <c r="C9760">
        <v>300000</v>
      </c>
      <c r="D9760">
        <v>100</v>
      </c>
    </row>
    <row r="9761" spans="1:4" x14ac:dyDescent="0.25">
      <c r="A9761" t="str">
        <f>T("   CN")</f>
        <v xml:space="preserve">   CN</v>
      </c>
      <c r="B9761" t="str">
        <f>T("   Chine")</f>
        <v xml:space="preserve">   Chine</v>
      </c>
      <c r="C9761">
        <v>4832492</v>
      </c>
      <c r="D9761">
        <v>3486</v>
      </c>
    </row>
    <row r="9762" spans="1:4" x14ac:dyDescent="0.25">
      <c r="A9762" t="str">
        <f>T("   FR")</f>
        <v xml:space="preserve">   FR</v>
      </c>
      <c r="B9762" t="str">
        <f>T("   France")</f>
        <v xml:space="preserve">   France</v>
      </c>
      <c r="C9762">
        <v>1839889</v>
      </c>
      <c r="D9762">
        <v>1021</v>
      </c>
    </row>
    <row r="9763" spans="1:4" x14ac:dyDescent="0.25">
      <c r="A9763" t="str">
        <f>T("   TG")</f>
        <v xml:space="preserve">   TG</v>
      </c>
      <c r="B9763" t="str">
        <f>T("   Togo")</f>
        <v xml:space="preserve">   Togo</v>
      </c>
      <c r="C9763">
        <v>50413697</v>
      </c>
      <c r="D9763">
        <v>128233</v>
      </c>
    </row>
    <row r="9764" spans="1:4" x14ac:dyDescent="0.25">
      <c r="A9764" t="str">
        <f>T("761610")</f>
        <v>761610</v>
      </c>
      <c r="B9764" t="str">
        <f>T("Pointes, clous, crampons appointés, vis, boulons, écrous, crochets à pas de vis, rivets, goupilles, chevilles, clavettes, rondelles et simil., en aluminium(sauf agrafes présentées en barrettes et sauf chevilles vissées, tampons et articles simil., filetés")</f>
        <v>Pointes, clous, crampons appointés, vis, boulons, écrous, crochets à pas de vis, rivets, goupilles, chevilles, clavettes, rondelles et simil., en aluminium(sauf agrafes présentées en barrettes et sauf chevilles vissées, tampons et articles simil., filetés</v>
      </c>
    </row>
    <row r="9765" spans="1:4" x14ac:dyDescent="0.25">
      <c r="A9765" t="str">
        <f>T("   ZZZ_Monde")</f>
        <v xml:space="preserve">   ZZZ_Monde</v>
      </c>
      <c r="B9765" t="str">
        <f>T("   ZZZ_Monde")</f>
        <v xml:space="preserve">   ZZZ_Monde</v>
      </c>
      <c r="C9765">
        <v>1120029</v>
      </c>
      <c r="D9765">
        <v>986</v>
      </c>
    </row>
    <row r="9766" spans="1:4" x14ac:dyDescent="0.25">
      <c r="A9766" t="str">
        <f>T("   AF")</f>
        <v xml:space="preserve">   AF</v>
      </c>
      <c r="B9766" t="str">
        <f>T("   Afghanistan")</f>
        <v xml:space="preserve">   Afghanistan</v>
      </c>
      <c r="C9766">
        <v>200000</v>
      </c>
      <c r="D9766">
        <v>75</v>
      </c>
    </row>
    <row r="9767" spans="1:4" x14ac:dyDescent="0.25">
      <c r="A9767" t="str">
        <f>T("   NG")</f>
        <v xml:space="preserve">   NG</v>
      </c>
      <c r="B9767" t="str">
        <f>T("   Nigéria")</f>
        <v xml:space="preserve">   Nigéria</v>
      </c>
      <c r="C9767">
        <v>612000</v>
      </c>
      <c r="D9767">
        <v>360</v>
      </c>
    </row>
    <row r="9768" spans="1:4" x14ac:dyDescent="0.25">
      <c r="A9768" t="str">
        <f>T("   TG")</f>
        <v xml:space="preserve">   TG</v>
      </c>
      <c r="B9768" t="str">
        <f>T("   Togo")</f>
        <v xml:space="preserve">   Togo</v>
      </c>
      <c r="C9768">
        <v>308029</v>
      </c>
      <c r="D9768">
        <v>551</v>
      </c>
    </row>
    <row r="9769" spans="1:4" x14ac:dyDescent="0.25">
      <c r="A9769" t="str">
        <f>T("761691")</f>
        <v>761691</v>
      </c>
      <c r="B9769" t="str">
        <f>T("Toiles métalliques, grillages et treillis, en fils d'aluminium (sauf toiles en fils métalliques pour revêtements, aménagements intérieurs et usages simil., toiles, grillages et treillis transformés en cribles ou tamis à main ou en pièces de machines)")</f>
        <v>Toiles métalliques, grillages et treillis, en fils d'aluminium (sauf toiles en fils métalliques pour revêtements, aménagements intérieurs et usages simil., toiles, grillages et treillis transformés en cribles ou tamis à main ou en pièces de machines)</v>
      </c>
    </row>
    <row r="9770" spans="1:4" x14ac:dyDescent="0.25">
      <c r="A9770" t="str">
        <f>T("   ZZZ_Monde")</f>
        <v xml:space="preserve">   ZZZ_Monde</v>
      </c>
      <c r="B9770" t="str">
        <f>T("   ZZZ_Monde")</f>
        <v xml:space="preserve">   ZZZ_Monde</v>
      </c>
      <c r="C9770">
        <v>25190987</v>
      </c>
      <c r="D9770">
        <v>46087</v>
      </c>
    </row>
    <row r="9771" spans="1:4" x14ac:dyDescent="0.25">
      <c r="A9771" t="str">
        <f>T("   CN")</f>
        <v xml:space="preserve">   CN</v>
      </c>
      <c r="B9771" t="str">
        <f>T("   Chine")</f>
        <v xml:space="preserve">   Chine</v>
      </c>
      <c r="C9771">
        <v>13470090</v>
      </c>
      <c r="D9771">
        <v>25050</v>
      </c>
    </row>
    <row r="9772" spans="1:4" x14ac:dyDescent="0.25">
      <c r="A9772" t="str">
        <f>T("   TG")</f>
        <v xml:space="preserve">   TG</v>
      </c>
      <c r="B9772" t="str">
        <f>T("   Togo")</f>
        <v xml:space="preserve">   Togo</v>
      </c>
      <c r="C9772">
        <v>11720897</v>
      </c>
      <c r="D9772">
        <v>21037</v>
      </c>
    </row>
    <row r="9773" spans="1:4" x14ac:dyDescent="0.25">
      <c r="A9773" t="str">
        <f>T("761699")</f>
        <v>761699</v>
      </c>
      <c r="B9773" t="str">
        <f>T("Ouvrages en aluminium, n.d.a.")</f>
        <v>Ouvrages en aluminium, n.d.a.</v>
      </c>
    </row>
    <row r="9774" spans="1:4" x14ac:dyDescent="0.25">
      <c r="A9774" t="str">
        <f>T("   ZZZ_Monde")</f>
        <v xml:space="preserve">   ZZZ_Monde</v>
      </c>
      <c r="B9774" t="str">
        <f>T("   ZZZ_Monde")</f>
        <v xml:space="preserve">   ZZZ_Monde</v>
      </c>
      <c r="C9774">
        <v>113657488</v>
      </c>
      <c r="D9774">
        <v>187522</v>
      </c>
    </row>
    <row r="9775" spans="1:4" x14ac:dyDescent="0.25">
      <c r="A9775" t="str">
        <f>T("   AE")</f>
        <v xml:space="preserve">   AE</v>
      </c>
      <c r="B9775" t="str">
        <f>T("   Emirats Arabes Unis")</f>
        <v xml:space="preserve">   Emirats Arabes Unis</v>
      </c>
      <c r="C9775">
        <v>8101300</v>
      </c>
      <c r="D9775">
        <v>24866</v>
      </c>
    </row>
    <row r="9776" spans="1:4" x14ac:dyDescent="0.25">
      <c r="A9776" t="str">
        <f>T("   CN")</f>
        <v xml:space="preserve">   CN</v>
      </c>
      <c r="B9776" t="str">
        <f>T("   Chine")</f>
        <v xml:space="preserve">   Chine</v>
      </c>
      <c r="C9776">
        <v>41579679</v>
      </c>
      <c r="D9776">
        <v>125816</v>
      </c>
    </row>
    <row r="9777" spans="1:4" x14ac:dyDescent="0.25">
      <c r="A9777" t="str">
        <f>T("   DE")</f>
        <v xml:space="preserve">   DE</v>
      </c>
      <c r="B9777" t="str">
        <f>T("   Allemagne")</f>
        <v xml:space="preserve">   Allemagne</v>
      </c>
      <c r="C9777">
        <v>3535624</v>
      </c>
      <c r="D9777">
        <v>3306</v>
      </c>
    </row>
    <row r="9778" spans="1:4" x14ac:dyDescent="0.25">
      <c r="A9778" t="str">
        <f>T("   ES")</f>
        <v xml:space="preserve">   ES</v>
      </c>
      <c r="B9778" t="str">
        <f>T("   Espagne")</f>
        <v xml:space="preserve">   Espagne</v>
      </c>
      <c r="C9778">
        <v>843382</v>
      </c>
      <c r="D9778">
        <v>485</v>
      </c>
    </row>
    <row r="9779" spans="1:4" x14ac:dyDescent="0.25">
      <c r="A9779" t="str">
        <f>T("   FR")</f>
        <v xml:space="preserve">   FR</v>
      </c>
      <c r="B9779" t="str">
        <f>T("   France")</f>
        <v xml:space="preserve">   France</v>
      </c>
      <c r="C9779">
        <v>53024107</v>
      </c>
      <c r="D9779">
        <v>13260</v>
      </c>
    </row>
    <row r="9780" spans="1:4" x14ac:dyDescent="0.25">
      <c r="A9780" t="str">
        <f>T("   IT")</f>
        <v xml:space="preserve">   IT</v>
      </c>
      <c r="B9780" t="str">
        <f>T("   Italie")</f>
        <v xml:space="preserve">   Italie</v>
      </c>
      <c r="C9780">
        <v>2584954</v>
      </c>
      <c r="D9780">
        <v>4471</v>
      </c>
    </row>
    <row r="9781" spans="1:4" x14ac:dyDescent="0.25">
      <c r="A9781" t="str">
        <f>T("   TG")</f>
        <v xml:space="preserve">   TG</v>
      </c>
      <c r="B9781" t="str">
        <f>T("   Togo")</f>
        <v xml:space="preserve">   Togo</v>
      </c>
      <c r="C9781">
        <v>3066163</v>
      </c>
      <c r="D9781">
        <v>15316</v>
      </c>
    </row>
    <row r="9782" spans="1:4" x14ac:dyDescent="0.25">
      <c r="A9782" t="str">
        <f>T("   US")</f>
        <v xml:space="preserve">   US</v>
      </c>
      <c r="B9782" t="str">
        <f>T("   Etats-Unis")</f>
        <v xml:space="preserve">   Etats-Unis</v>
      </c>
      <c r="C9782">
        <v>922279</v>
      </c>
      <c r="D9782">
        <v>2</v>
      </c>
    </row>
    <row r="9783" spans="1:4" x14ac:dyDescent="0.25">
      <c r="A9783" t="str">
        <f>T("780199")</f>
        <v>780199</v>
      </c>
      <c r="B9783" t="str">
        <f>T("Plomb sous forme brute (sauf plomb affiné et plomb contenant de l'antimoine comme autre élément prédominant en poids)")</f>
        <v>Plomb sous forme brute (sauf plomb affiné et plomb contenant de l'antimoine comme autre élément prédominant en poids)</v>
      </c>
    </row>
    <row r="9784" spans="1:4" x14ac:dyDescent="0.25">
      <c r="A9784" t="str">
        <f>T("   ZZZ_Monde")</f>
        <v xml:space="preserve">   ZZZ_Monde</v>
      </c>
      <c r="B9784" t="str">
        <f>T("   ZZZ_Monde")</f>
        <v xml:space="preserve">   ZZZ_Monde</v>
      </c>
      <c r="C9784">
        <v>14706826</v>
      </c>
      <c r="D9784">
        <v>7755</v>
      </c>
    </row>
    <row r="9785" spans="1:4" x14ac:dyDescent="0.25">
      <c r="A9785" t="str">
        <f>T("   CN")</f>
        <v xml:space="preserve">   CN</v>
      </c>
      <c r="B9785" t="str">
        <f>T("   Chine")</f>
        <v xml:space="preserve">   Chine</v>
      </c>
      <c r="C9785">
        <v>14706826</v>
      </c>
      <c r="D9785">
        <v>7755</v>
      </c>
    </row>
    <row r="9786" spans="1:4" x14ac:dyDescent="0.25">
      <c r="A9786" t="str">
        <f>T("780419")</f>
        <v>780419</v>
      </c>
      <c r="B9786" t="str">
        <f>T("Tables en plomb; feuilles et bandes, en plomb, épaisseur, support non compris, &gt; 0,2 mm")</f>
        <v>Tables en plomb; feuilles et bandes, en plomb, épaisseur, support non compris, &gt; 0,2 mm</v>
      </c>
    </row>
    <row r="9787" spans="1:4" x14ac:dyDescent="0.25">
      <c r="A9787" t="str">
        <f>T("   ZZZ_Monde")</f>
        <v xml:space="preserve">   ZZZ_Monde</v>
      </c>
      <c r="B9787" t="str">
        <f>T("   ZZZ_Monde")</f>
        <v xml:space="preserve">   ZZZ_Monde</v>
      </c>
      <c r="C9787">
        <v>1464208</v>
      </c>
      <c r="D9787">
        <v>775</v>
      </c>
    </row>
    <row r="9788" spans="1:4" x14ac:dyDescent="0.25">
      <c r="A9788" t="str">
        <f>T("   CN")</f>
        <v xml:space="preserve">   CN</v>
      </c>
      <c r="B9788" t="str">
        <f>T("   Chine")</f>
        <v xml:space="preserve">   Chine</v>
      </c>
      <c r="C9788">
        <v>1464208</v>
      </c>
      <c r="D9788">
        <v>775</v>
      </c>
    </row>
    <row r="9789" spans="1:4" x14ac:dyDescent="0.25">
      <c r="A9789" t="str">
        <f>T("780600")</f>
        <v>780600</v>
      </c>
      <c r="B9789" t="str">
        <f>T("Ouvrages en plomb, n.d.a.")</f>
        <v>Ouvrages en plomb, n.d.a.</v>
      </c>
    </row>
    <row r="9790" spans="1:4" x14ac:dyDescent="0.25">
      <c r="A9790" t="str">
        <f>T("   ZZZ_Monde")</f>
        <v xml:space="preserve">   ZZZ_Monde</v>
      </c>
      <c r="B9790" t="str">
        <f>T("   ZZZ_Monde")</f>
        <v xml:space="preserve">   ZZZ_Monde</v>
      </c>
      <c r="C9790">
        <v>3179985</v>
      </c>
      <c r="D9790">
        <v>24128</v>
      </c>
    </row>
    <row r="9791" spans="1:4" x14ac:dyDescent="0.25">
      <c r="A9791" t="str">
        <f>T("   FR")</f>
        <v xml:space="preserve">   FR</v>
      </c>
      <c r="B9791" t="str">
        <f>T("   France")</f>
        <v xml:space="preserve">   France</v>
      </c>
      <c r="C9791">
        <v>1164985</v>
      </c>
      <c r="D9791">
        <v>128</v>
      </c>
    </row>
    <row r="9792" spans="1:4" x14ac:dyDescent="0.25">
      <c r="A9792" t="str">
        <f>T("   Z2")</f>
        <v xml:space="preserve">   Z2</v>
      </c>
      <c r="B9792" t="str">
        <f>T("   Pays non défini")</f>
        <v xml:space="preserve">   Pays non défini</v>
      </c>
      <c r="C9792">
        <v>2015000</v>
      </c>
      <c r="D9792">
        <v>24000</v>
      </c>
    </row>
    <row r="9793" spans="1:4" x14ac:dyDescent="0.25">
      <c r="A9793" t="str">
        <f>T("790500")</f>
        <v>790500</v>
      </c>
      <c r="B9793" t="str">
        <f>T("TOLES, BANDES ET FEUILLES EN ZINC")</f>
        <v>TOLES, BANDES ET FEUILLES EN ZINC</v>
      </c>
    </row>
    <row r="9794" spans="1:4" x14ac:dyDescent="0.25">
      <c r="A9794" t="str">
        <f>T("   ZZZ_Monde")</f>
        <v xml:space="preserve">   ZZZ_Monde</v>
      </c>
      <c r="B9794" t="str">
        <f>T("   ZZZ_Monde")</f>
        <v xml:space="preserve">   ZZZ_Monde</v>
      </c>
      <c r="C9794">
        <v>61611060</v>
      </c>
      <c r="D9794">
        <v>168653</v>
      </c>
    </row>
    <row r="9795" spans="1:4" x14ac:dyDescent="0.25">
      <c r="A9795" t="str">
        <f>T("   BE")</f>
        <v xml:space="preserve">   BE</v>
      </c>
      <c r="B9795" t="str">
        <f>T("   Belgique")</f>
        <v xml:space="preserve">   Belgique</v>
      </c>
      <c r="C9795">
        <v>2215833</v>
      </c>
      <c r="D9795">
        <v>1425</v>
      </c>
    </row>
    <row r="9796" spans="1:4" x14ac:dyDescent="0.25">
      <c r="A9796" t="str">
        <f>T("   CN")</f>
        <v xml:space="preserve">   CN</v>
      </c>
      <c r="B9796" t="str">
        <f>T("   Chine")</f>
        <v xml:space="preserve">   Chine</v>
      </c>
      <c r="C9796">
        <v>35424924</v>
      </c>
      <c r="D9796">
        <v>100242</v>
      </c>
    </row>
    <row r="9797" spans="1:4" x14ac:dyDescent="0.25">
      <c r="A9797" t="str">
        <f>T("   FR")</f>
        <v xml:space="preserve">   FR</v>
      </c>
      <c r="B9797" t="str">
        <f>T("   France")</f>
        <v xml:space="preserve">   France</v>
      </c>
      <c r="C9797">
        <v>20130303</v>
      </c>
      <c r="D9797">
        <v>51986</v>
      </c>
    </row>
    <row r="9798" spans="1:4" x14ac:dyDescent="0.25">
      <c r="A9798" t="str">
        <f>T("   TG")</f>
        <v xml:space="preserve">   TG</v>
      </c>
      <c r="B9798" t="str">
        <f>T("   Togo")</f>
        <v xml:space="preserve">   Togo</v>
      </c>
      <c r="C9798">
        <v>3840000</v>
      </c>
      <c r="D9798">
        <v>15000</v>
      </c>
    </row>
    <row r="9799" spans="1:4" x14ac:dyDescent="0.25">
      <c r="A9799" t="str">
        <f>T("790700")</f>
        <v>790700</v>
      </c>
      <c r="B9799" t="str">
        <f>T("Ouvrages en zinc, n.d.a.")</f>
        <v>Ouvrages en zinc, n.d.a.</v>
      </c>
    </row>
    <row r="9800" spans="1:4" x14ac:dyDescent="0.25">
      <c r="A9800" t="str">
        <f>T("   ZZZ_Monde")</f>
        <v xml:space="preserve">   ZZZ_Monde</v>
      </c>
      <c r="B9800" t="str">
        <f>T("   ZZZ_Monde")</f>
        <v xml:space="preserve">   ZZZ_Monde</v>
      </c>
      <c r="C9800">
        <v>163791</v>
      </c>
      <c r="D9800">
        <v>56</v>
      </c>
    </row>
    <row r="9801" spans="1:4" x14ac:dyDescent="0.25">
      <c r="A9801" t="str">
        <f>T("   BE")</f>
        <v xml:space="preserve">   BE</v>
      </c>
      <c r="B9801" t="str">
        <f>T("   Belgique")</f>
        <v xml:space="preserve">   Belgique</v>
      </c>
      <c r="C9801">
        <v>63791</v>
      </c>
      <c r="D9801">
        <v>9</v>
      </c>
    </row>
    <row r="9802" spans="1:4" x14ac:dyDescent="0.25">
      <c r="A9802" t="str">
        <f>T("   GA")</f>
        <v xml:space="preserve">   GA</v>
      </c>
      <c r="B9802" t="str">
        <f>T("   Gabon")</f>
        <v xml:space="preserve">   Gabon</v>
      </c>
      <c r="C9802">
        <v>100000</v>
      </c>
      <c r="D9802">
        <v>47</v>
      </c>
    </row>
    <row r="9803" spans="1:4" x14ac:dyDescent="0.25">
      <c r="A9803" t="str">
        <f>T("800400")</f>
        <v>800400</v>
      </c>
      <c r="B9803" t="str">
        <f>T("Tôles et bandes en étain, d'une épaisseur &gt; 0,2 mm")</f>
        <v>Tôles et bandes en étain, d'une épaisseur &gt; 0,2 mm</v>
      </c>
    </row>
    <row r="9804" spans="1:4" x14ac:dyDescent="0.25">
      <c r="A9804" t="str">
        <f>T("   ZZZ_Monde")</f>
        <v xml:space="preserve">   ZZZ_Monde</v>
      </c>
      <c r="B9804" t="str">
        <f>T("   ZZZ_Monde")</f>
        <v xml:space="preserve">   ZZZ_Monde</v>
      </c>
      <c r="C9804">
        <v>551321</v>
      </c>
      <c r="D9804">
        <v>16</v>
      </c>
    </row>
    <row r="9805" spans="1:4" x14ac:dyDescent="0.25">
      <c r="A9805" t="str">
        <f>T("   BE")</f>
        <v xml:space="preserve">   BE</v>
      </c>
      <c r="B9805" t="str">
        <f>T("   Belgique")</f>
        <v xml:space="preserve">   Belgique</v>
      </c>
      <c r="C9805">
        <v>551321</v>
      </c>
      <c r="D9805">
        <v>16</v>
      </c>
    </row>
    <row r="9806" spans="1:4" x14ac:dyDescent="0.25">
      <c r="A9806" t="str">
        <f>T("800600")</f>
        <v>800600</v>
      </c>
      <c r="B9806" t="str">
        <f>T("Tubes, tuyaux et accessoires de tuyauterie -raccords, coudes, manchons, par exemple-, en étain")</f>
        <v>Tubes, tuyaux et accessoires de tuyauterie -raccords, coudes, manchons, par exemple-, en étain</v>
      </c>
    </row>
    <row r="9807" spans="1:4" x14ac:dyDescent="0.25">
      <c r="A9807" t="str">
        <f>T("   ZZZ_Monde")</f>
        <v xml:space="preserve">   ZZZ_Monde</v>
      </c>
      <c r="B9807" t="str">
        <f>T("   ZZZ_Monde")</f>
        <v xml:space="preserve">   ZZZ_Monde</v>
      </c>
      <c r="C9807">
        <v>933031</v>
      </c>
      <c r="D9807">
        <v>2300</v>
      </c>
    </row>
    <row r="9808" spans="1:4" x14ac:dyDescent="0.25">
      <c r="A9808" t="str">
        <f>T("   LB")</f>
        <v xml:space="preserve">   LB</v>
      </c>
      <c r="B9808" t="str">
        <f>T("   Liban")</f>
        <v xml:space="preserve">   Liban</v>
      </c>
      <c r="C9808">
        <v>933031</v>
      </c>
      <c r="D9808">
        <v>2300</v>
      </c>
    </row>
    <row r="9809" spans="1:4" x14ac:dyDescent="0.25">
      <c r="A9809" t="str">
        <f>T("810420")</f>
        <v>810420</v>
      </c>
      <c r="B9809" t="str">
        <f>T("Déchets et débris de magnésium (sauf cendres et résidus contenant du magnésium et sauf tournures et granulés de magnésium calibrés)")</f>
        <v>Déchets et débris de magnésium (sauf cendres et résidus contenant du magnésium et sauf tournures et granulés de magnésium calibrés)</v>
      </c>
    </row>
    <row r="9810" spans="1:4" x14ac:dyDescent="0.25">
      <c r="A9810" t="str">
        <f>T("   ZZZ_Monde")</f>
        <v xml:space="preserve">   ZZZ_Monde</v>
      </c>
      <c r="B9810" t="str">
        <f>T("   ZZZ_Monde")</f>
        <v xml:space="preserve">   ZZZ_Monde</v>
      </c>
      <c r="C9810">
        <v>10128035</v>
      </c>
      <c r="D9810">
        <v>248080</v>
      </c>
    </row>
    <row r="9811" spans="1:4" x14ac:dyDescent="0.25">
      <c r="A9811" t="str">
        <f>T("   TG")</f>
        <v xml:space="preserve">   TG</v>
      </c>
      <c r="B9811" t="str">
        <f>T("   Togo")</f>
        <v xml:space="preserve">   Togo</v>
      </c>
      <c r="C9811">
        <v>10128035</v>
      </c>
      <c r="D9811">
        <v>248080</v>
      </c>
    </row>
    <row r="9812" spans="1:4" x14ac:dyDescent="0.25">
      <c r="A9812" t="str">
        <f>T("810520")</f>
        <v>810520</v>
      </c>
      <c r="B9812" t="str">
        <f>T("Mattes de cobalt et autres produits intermédiaires de la métallurgie du cobalt; cobalt sous forme brute; poudres de cobalt")</f>
        <v>Mattes de cobalt et autres produits intermédiaires de la métallurgie du cobalt; cobalt sous forme brute; poudres de cobalt</v>
      </c>
    </row>
    <row r="9813" spans="1:4" x14ac:dyDescent="0.25">
      <c r="A9813" t="str">
        <f>T("   ZZZ_Monde")</f>
        <v xml:space="preserve">   ZZZ_Monde</v>
      </c>
      <c r="B9813" t="str">
        <f>T("   ZZZ_Monde")</f>
        <v xml:space="preserve">   ZZZ_Monde</v>
      </c>
      <c r="C9813">
        <v>1233983</v>
      </c>
      <c r="D9813">
        <v>260</v>
      </c>
    </row>
    <row r="9814" spans="1:4" x14ac:dyDescent="0.25">
      <c r="A9814" t="str">
        <f>T("   FR")</f>
        <v xml:space="preserve">   FR</v>
      </c>
      <c r="B9814" t="str">
        <f>T("   France")</f>
        <v xml:space="preserve">   France</v>
      </c>
      <c r="C9814">
        <v>1233983</v>
      </c>
      <c r="D9814">
        <v>260</v>
      </c>
    </row>
    <row r="9815" spans="1:4" x14ac:dyDescent="0.25">
      <c r="A9815" t="str">
        <f>T("810820")</f>
        <v>810820</v>
      </c>
      <c r="B9815" t="str">
        <f>T("Titane sous forme brute; poudres de titane")</f>
        <v>Titane sous forme brute; poudres de titane</v>
      </c>
    </row>
    <row r="9816" spans="1:4" x14ac:dyDescent="0.25">
      <c r="A9816" t="str">
        <f>T("   ZZZ_Monde")</f>
        <v xml:space="preserve">   ZZZ_Monde</v>
      </c>
      <c r="B9816" t="str">
        <f>T("   ZZZ_Monde")</f>
        <v xml:space="preserve">   ZZZ_Monde</v>
      </c>
      <c r="C9816">
        <v>37258357</v>
      </c>
      <c r="D9816">
        <v>20640</v>
      </c>
    </row>
    <row r="9817" spans="1:4" x14ac:dyDescent="0.25">
      <c r="A9817" t="str">
        <f>T("   SA")</f>
        <v xml:space="preserve">   SA</v>
      </c>
      <c r="B9817" t="str">
        <f>T("   Arabie Saoudite")</f>
        <v xml:space="preserve">   Arabie Saoudite</v>
      </c>
      <c r="C9817">
        <v>37258357</v>
      </c>
      <c r="D9817">
        <v>20640</v>
      </c>
    </row>
    <row r="9818" spans="1:4" x14ac:dyDescent="0.25">
      <c r="A9818" t="str">
        <f>T("820110")</f>
        <v>820110</v>
      </c>
      <c r="B9818" t="str">
        <f>T("Bêches et pelles, avec partie travaillante en métaux communs")</f>
        <v>Bêches et pelles, avec partie travaillante en métaux communs</v>
      </c>
    </row>
    <row r="9819" spans="1:4" x14ac:dyDescent="0.25">
      <c r="A9819" t="str">
        <f>T("   ZZZ_Monde")</f>
        <v xml:space="preserve">   ZZZ_Monde</v>
      </c>
      <c r="B9819" t="str">
        <f>T("   ZZZ_Monde")</f>
        <v xml:space="preserve">   ZZZ_Monde</v>
      </c>
      <c r="C9819">
        <v>82312831</v>
      </c>
      <c r="D9819">
        <v>581485</v>
      </c>
    </row>
    <row r="9820" spans="1:4" x14ac:dyDescent="0.25">
      <c r="A9820" t="str">
        <f>T("   CN")</f>
        <v xml:space="preserve">   CN</v>
      </c>
      <c r="B9820" t="str">
        <f>T("   Chine")</f>
        <v xml:space="preserve">   Chine</v>
      </c>
      <c r="C9820">
        <v>57802532</v>
      </c>
      <c r="D9820">
        <v>356817</v>
      </c>
    </row>
    <row r="9821" spans="1:4" x14ac:dyDescent="0.25">
      <c r="A9821" t="str">
        <f>T("   FR")</f>
        <v xml:space="preserve">   FR</v>
      </c>
      <c r="B9821" t="str">
        <f>T("   France")</f>
        <v xml:space="preserve">   France</v>
      </c>
      <c r="C9821">
        <v>354218</v>
      </c>
      <c r="D9821">
        <v>108</v>
      </c>
    </row>
    <row r="9822" spans="1:4" x14ac:dyDescent="0.25">
      <c r="A9822" t="str">
        <f>T("   TG")</f>
        <v xml:space="preserve">   TG</v>
      </c>
      <c r="B9822" t="str">
        <f>T("   Togo")</f>
        <v xml:space="preserve">   Togo</v>
      </c>
      <c r="C9822">
        <v>24156081</v>
      </c>
      <c r="D9822">
        <v>224560</v>
      </c>
    </row>
    <row r="9823" spans="1:4" x14ac:dyDescent="0.25">
      <c r="A9823" t="str">
        <f>T("820120")</f>
        <v>820120</v>
      </c>
      <c r="B9823" t="str">
        <f>T("Fourches à fouiller, fourches à faner, fourches à fumier, avec partie travaillante en métaux communs")</f>
        <v>Fourches à fouiller, fourches à faner, fourches à fumier, avec partie travaillante en métaux communs</v>
      </c>
    </row>
    <row r="9824" spans="1:4" x14ac:dyDescent="0.25">
      <c r="A9824" t="str">
        <f>T("   ZZZ_Monde")</f>
        <v xml:space="preserve">   ZZZ_Monde</v>
      </c>
      <c r="B9824" t="str">
        <f>T("   ZZZ_Monde")</f>
        <v xml:space="preserve">   ZZZ_Monde</v>
      </c>
      <c r="C9824">
        <v>1439177</v>
      </c>
      <c r="D9824">
        <v>492</v>
      </c>
    </row>
    <row r="9825" spans="1:4" x14ac:dyDescent="0.25">
      <c r="A9825" t="str">
        <f>T("   FR")</f>
        <v xml:space="preserve">   FR</v>
      </c>
      <c r="B9825" t="str">
        <f>T("   France")</f>
        <v xml:space="preserve">   France</v>
      </c>
      <c r="C9825">
        <v>1439177</v>
      </c>
      <c r="D9825">
        <v>492</v>
      </c>
    </row>
    <row r="9826" spans="1:4" x14ac:dyDescent="0.25">
      <c r="A9826" t="str">
        <f>T("820130")</f>
        <v>820130</v>
      </c>
      <c r="B9826" t="str">
        <f>T("Pioches, pics, houes, binettes, râteaux et racloirs, avec partie travaillante en métaux communs (sauf piolets)")</f>
        <v>Pioches, pics, houes, binettes, râteaux et racloirs, avec partie travaillante en métaux communs (sauf piolets)</v>
      </c>
    </row>
    <row r="9827" spans="1:4" x14ac:dyDescent="0.25">
      <c r="A9827" t="str">
        <f>T("   ZZZ_Monde")</f>
        <v xml:space="preserve">   ZZZ_Monde</v>
      </c>
      <c r="B9827" t="str">
        <f>T("   ZZZ_Monde")</f>
        <v xml:space="preserve">   ZZZ_Monde</v>
      </c>
      <c r="C9827">
        <v>2818100</v>
      </c>
      <c r="D9827">
        <v>4714</v>
      </c>
    </row>
    <row r="9828" spans="1:4" x14ac:dyDescent="0.25">
      <c r="A9828" t="str">
        <f>T("   CN")</f>
        <v xml:space="preserve">   CN</v>
      </c>
      <c r="B9828" t="str">
        <f>T("   Chine")</f>
        <v xml:space="preserve">   Chine</v>
      </c>
      <c r="C9828">
        <v>479830</v>
      </c>
      <c r="D9828">
        <v>2335</v>
      </c>
    </row>
    <row r="9829" spans="1:4" x14ac:dyDescent="0.25">
      <c r="A9829" t="str">
        <f>T("   FR")</f>
        <v xml:space="preserve">   FR</v>
      </c>
      <c r="B9829" t="str">
        <f>T("   France")</f>
        <v xml:space="preserve">   France</v>
      </c>
      <c r="C9829">
        <v>9184</v>
      </c>
      <c r="D9829">
        <v>14</v>
      </c>
    </row>
    <row r="9830" spans="1:4" x14ac:dyDescent="0.25">
      <c r="A9830" t="str">
        <f>T("   TG")</f>
        <v xml:space="preserve">   TG</v>
      </c>
      <c r="B9830" t="str">
        <f>T("   Togo")</f>
        <v xml:space="preserve">   Togo</v>
      </c>
      <c r="C9830">
        <v>10923</v>
      </c>
      <c r="D9830">
        <v>45</v>
      </c>
    </row>
    <row r="9831" spans="1:4" x14ac:dyDescent="0.25">
      <c r="A9831" t="str">
        <f>T("   TN")</f>
        <v xml:space="preserve">   TN</v>
      </c>
      <c r="B9831" t="str">
        <f>T("   Tunisie")</f>
        <v xml:space="preserve">   Tunisie</v>
      </c>
      <c r="C9831">
        <v>2318163</v>
      </c>
      <c r="D9831">
        <v>2320</v>
      </c>
    </row>
    <row r="9832" spans="1:4" x14ac:dyDescent="0.25">
      <c r="A9832" t="str">
        <f>T("820140")</f>
        <v>820140</v>
      </c>
      <c r="B9832" t="str">
        <f>T("Haches, serpes et outils simil. à taillants, avec partie travaillante en métaux communs")</f>
        <v>Haches, serpes et outils simil. à taillants, avec partie travaillante en métaux communs</v>
      </c>
    </row>
    <row r="9833" spans="1:4" x14ac:dyDescent="0.25">
      <c r="A9833" t="str">
        <f>T("   ZZZ_Monde")</f>
        <v xml:space="preserve">   ZZZ_Monde</v>
      </c>
      <c r="B9833" t="str">
        <f>T("   ZZZ_Monde")</f>
        <v xml:space="preserve">   ZZZ_Monde</v>
      </c>
      <c r="C9833">
        <v>128802487</v>
      </c>
      <c r="D9833">
        <v>93016</v>
      </c>
    </row>
    <row r="9834" spans="1:4" x14ac:dyDescent="0.25">
      <c r="A9834" t="str">
        <f>T("   CI")</f>
        <v xml:space="preserve">   CI</v>
      </c>
      <c r="B9834" t="str">
        <f>T("   Côte d'Ivoire")</f>
        <v xml:space="preserve">   Côte d'Ivoire</v>
      </c>
      <c r="C9834">
        <v>127156559</v>
      </c>
      <c r="D9834">
        <v>88816</v>
      </c>
    </row>
    <row r="9835" spans="1:4" x14ac:dyDescent="0.25">
      <c r="A9835" t="str">
        <f>T("   CN")</f>
        <v xml:space="preserve">   CN</v>
      </c>
      <c r="B9835" t="str">
        <f>T("   Chine")</f>
        <v xml:space="preserve">   Chine</v>
      </c>
      <c r="C9835">
        <v>1645928</v>
      </c>
      <c r="D9835">
        <v>4200</v>
      </c>
    </row>
    <row r="9836" spans="1:4" x14ac:dyDescent="0.25">
      <c r="A9836" t="str">
        <f>T("820150")</f>
        <v>820150</v>
      </c>
      <c r="B9836" t="str">
        <f>T("Sécateurs et simil. maniés à une main, y.c. les -cisailles à volailles-, avec partie travaillante en métaux communs")</f>
        <v>Sécateurs et simil. maniés à une main, y.c. les -cisailles à volailles-, avec partie travaillante en métaux communs</v>
      </c>
    </row>
    <row r="9837" spans="1:4" x14ac:dyDescent="0.25">
      <c r="A9837" t="str">
        <f>T("   ZZZ_Monde")</f>
        <v xml:space="preserve">   ZZZ_Monde</v>
      </c>
      <c r="B9837" t="str">
        <f>T("   ZZZ_Monde")</f>
        <v xml:space="preserve">   ZZZ_Monde</v>
      </c>
      <c r="C9837">
        <v>926215</v>
      </c>
      <c r="D9837">
        <v>135</v>
      </c>
    </row>
    <row r="9838" spans="1:4" x14ac:dyDescent="0.25">
      <c r="A9838" t="str">
        <f>T("   FR")</f>
        <v xml:space="preserve">   FR</v>
      </c>
      <c r="B9838" t="str">
        <f>T("   France")</f>
        <v xml:space="preserve">   France</v>
      </c>
      <c r="C9838">
        <v>926215</v>
      </c>
      <c r="D9838">
        <v>135</v>
      </c>
    </row>
    <row r="9839" spans="1:4" x14ac:dyDescent="0.25">
      <c r="A9839" t="str">
        <f>T("820190")</f>
        <v>820190</v>
      </c>
      <c r="B9839" t="str">
        <f>T("Faux et faucilles, couteaux à foin ou à paille et autres outils agricoles, horticoles ou forestiers, à main, avec partie travaillante en métaux communs (à l'excl. des bêches, pelles, fourches, pioches, pics, houes, binettes, râteaux, racloirs, haches, ser")</f>
        <v>Faux et faucilles, couteaux à foin ou à paille et autres outils agricoles, horticoles ou forestiers, à main, avec partie travaillante en métaux communs (à l'excl. des bêches, pelles, fourches, pioches, pics, houes, binettes, râteaux, racloirs, haches, ser</v>
      </c>
    </row>
    <row r="9840" spans="1:4" x14ac:dyDescent="0.25">
      <c r="A9840" t="str">
        <f>T("   ZZZ_Monde")</f>
        <v xml:space="preserve">   ZZZ_Monde</v>
      </c>
      <c r="B9840" t="str">
        <f>T("   ZZZ_Monde")</f>
        <v xml:space="preserve">   ZZZ_Monde</v>
      </c>
      <c r="C9840">
        <v>2480181</v>
      </c>
      <c r="D9840">
        <v>19054</v>
      </c>
    </row>
    <row r="9841" spans="1:4" x14ac:dyDescent="0.25">
      <c r="A9841" t="str">
        <f>T("   CN")</f>
        <v xml:space="preserve">   CN</v>
      </c>
      <c r="B9841" t="str">
        <f>T("   Chine")</f>
        <v xml:space="preserve">   Chine</v>
      </c>
      <c r="C9841">
        <v>291445</v>
      </c>
      <c r="D9841">
        <v>2250</v>
      </c>
    </row>
    <row r="9842" spans="1:4" x14ac:dyDescent="0.25">
      <c r="A9842" t="str">
        <f>T("   FR")</f>
        <v xml:space="preserve">   FR</v>
      </c>
      <c r="B9842" t="str">
        <f>T("   France")</f>
        <v xml:space="preserve">   France</v>
      </c>
      <c r="C9842">
        <v>378580</v>
      </c>
      <c r="D9842">
        <v>89</v>
      </c>
    </row>
    <row r="9843" spans="1:4" x14ac:dyDescent="0.25">
      <c r="A9843" t="str">
        <f>T("   GH")</f>
        <v xml:space="preserve">   GH</v>
      </c>
      <c r="B9843" t="str">
        <f>T("   Ghana")</f>
        <v xml:space="preserve">   Ghana</v>
      </c>
      <c r="C9843">
        <v>1700000</v>
      </c>
      <c r="D9843">
        <v>14175</v>
      </c>
    </row>
    <row r="9844" spans="1:4" x14ac:dyDescent="0.25">
      <c r="A9844" t="str">
        <f>T("   TG")</f>
        <v xml:space="preserve">   TG</v>
      </c>
      <c r="B9844" t="str">
        <f>T("   Togo")</f>
        <v xml:space="preserve">   Togo</v>
      </c>
      <c r="C9844">
        <v>110156</v>
      </c>
      <c r="D9844">
        <v>2540</v>
      </c>
    </row>
    <row r="9845" spans="1:4" x14ac:dyDescent="0.25">
      <c r="A9845" t="str">
        <f>T("820210")</f>
        <v>820210</v>
      </c>
      <c r="B9845" t="str">
        <f>T("Scies à main, avec partie travaillante en métaux communs (à l'excl. des tronçonneuses)")</f>
        <v>Scies à main, avec partie travaillante en métaux communs (à l'excl. des tronçonneuses)</v>
      </c>
    </row>
    <row r="9846" spans="1:4" x14ac:dyDescent="0.25">
      <c r="A9846" t="str">
        <f>T("   ZZZ_Monde")</f>
        <v xml:space="preserve">   ZZZ_Monde</v>
      </c>
      <c r="B9846" t="str">
        <f>T("   ZZZ_Monde")</f>
        <v xml:space="preserve">   ZZZ_Monde</v>
      </c>
      <c r="C9846">
        <v>21918917</v>
      </c>
      <c r="D9846">
        <v>10068</v>
      </c>
    </row>
    <row r="9847" spans="1:4" x14ac:dyDescent="0.25">
      <c r="A9847" t="str">
        <f>T("   CN")</f>
        <v xml:space="preserve">   CN</v>
      </c>
      <c r="B9847" t="str">
        <f>T("   Chine")</f>
        <v xml:space="preserve">   Chine</v>
      </c>
      <c r="C9847">
        <v>1843490</v>
      </c>
      <c r="D9847">
        <v>4816</v>
      </c>
    </row>
    <row r="9848" spans="1:4" x14ac:dyDescent="0.25">
      <c r="A9848" t="str">
        <f>T("   FR")</f>
        <v xml:space="preserve">   FR</v>
      </c>
      <c r="B9848" t="str">
        <f>T("   France")</f>
        <v xml:space="preserve">   France</v>
      </c>
      <c r="C9848">
        <v>734020</v>
      </c>
      <c r="D9848">
        <v>286</v>
      </c>
    </row>
    <row r="9849" spans="1:4" x14ac:dyDescent="0.25">
      <c r="A9849" t="str">
        <f>T("   GB")</f>
        <v xml:space="preserve">   GB</v>
      </c>
      <c r="B9849" t="str">
        <f>T("   Royaume-Uni")</f>
        <v xml:space="preserve">   Royaume-Uni</v>
      </c>
      <c r="C9849">
        <v>1061949</v>
      </c>
      <c r="D9849">
        <v>204</v>
      </c>
    </row>
    <row r="9850" spans="1:4" x14ac:dyDescent="0.25">
      <c r="A9850" t="str">
        <f>T("   GR")</f>
        <v xml:space="preserve">   GR</v>
      </c>
      <c r="B9850" t="str">
        <f>T("   Grèce")</f>
        <v xml:space="preserve">   Grèce</v>
      </c>
      <c r="C9850">
        <v>17821685</v>
      </c>
      <c r="D9850">
        <v>3055</v>
      </c>
    </row>
    <row r="9851" spans="1:4" x14ac:dyDescent="0.25">
      <c r="A9851" t="str">
        <f>T("   IT")</f>
        <v xml:space="preserve">   IT</v>
      </c>
      <c r="B9851" t="str">
        <f>T("   Italie")</f>
        <v xml:space="preserve">   Italie</v>
      </c>
      <c r="C9851">
        <v>442773</v>
      </c>
      <c r="D9851">
        <v>1667</v>
      </c>
    </row>
    <row r="9852" spans="1:4" x14ac:dyDescent="0.25">
      <c r="A9852" t="str">
        <f>T("   NG")</f>
        <v xml:space="preserve">   NG</v>
      </c>
      <c r="B9852" t="str">
        <f>T("   Nigéria")</f>
        <v xml:space="preserve">   Nigéria</v>
      </c>
      <c r="C9852">
        <v>15000</v>
      </c>
      <c r="D9852">
        <v>40</v>
      </c>
    </row>
    <row r="9853" spans="1:4" x14ac:dyDescent="0.25">
      <c r="A9853" t="str">
        <f>T("820220")</f>
        <v>820220</v>
      </c>
      <c r="B9853" t="str">
        <f>T("Lames de scies à ruban en métaux communs")</f>
        <v>Lames de scies à ruban en métaux communs</v>
      </c>
    </row>
    <row r="9854" spans="1:4" x14ac:dyDescent="0.25">
      <c r="A9854" t="str">
        <f>T("   ZZZ_Monde")</f>
        <v xml:space="preserve">   ZZZ_Monde</v>
      </c>
      <c r="B9854" t="str">
        <f>T("   ZZZ_Monde")</f>
        <v xml:space="preserve">   ZZZ_Monde</v>
      </c>
      <c r="C9854">
        <v>7362536</v>
      </c>
      <c r="D9854">
        <v>2911</v>
      </c>
    </row>
    <row r="9855" spans="1:4" x14ac:dyDescent="0.25">
      <c r="A9855" t="str">
        <f>T("   FR")</f>
        <v xml:space="preserve">   FR</v>
      </c>
      <c r="B9855" t="str">
        <f>T("   France")</f>
        <v xml:space="preserve">   France</v>
      </c>
      <c r="C9855">
        <v>6482009</v>
      </c>
      <c r="D9855">
        <v>669</v>
      </c>
    </row>
    <row r="9856" spans="1:4" x14ac:dyDescent="0.25">
      <c r="A9856" t="str">
        <f>T("   IT")</f>
        <v xml:space="preserve">   IT</v>
      </c>
      <c r="B9856" t="str">
        <f>T("   Italie")</f>
        <v xml:space="preserve">   Italie</v>
      </c>
      <c r="C9856">
        <v>880527</v>
      </c>
      <c r="D9856">
        <v>2242</v>
      </c>
    </row>
    <row r="9857" spans="1:4" x14ac:dyDescent="0.25">
      <c r="A9857" t="str">
        <f>T("820231")</f>
        <v>820231</v>
      </c>
      <c r="B9857" t="str">
        <f>T("Lames de scies circulaires, y.c. -les lames de fraises-scies- en métaux communs et avec partie travaillante en acier")</f>
        <v>Lames de scies circulaires, y.c. -les lames de fraises-scies- en métaux communs et avec partie travaillante en acier</v>
      </c>
    </row>
    <row r="9858" spans="1:4" x14ac:dyDescent="0.25">
      <c r="A9858" t="str">
        <f>T("   ZZZ_Monde")</f>
        <v xml:space="preserve">   ZZZ_Monde</v>
      </c>
      <c r="B9858" t="str">
        <f>T("   ZZZ_Monde")</f>
        <v xml:space="preserve">   ZZZ_Monde</v>
      </c>
      <c r="C9858">
        <v>189572</v>
      </c>
      <c r="D9858">
        <v>54</v>
      </c>
    </row>
    <row r="9859" spans="1:4" x14ac:dyDescent="0.25">
      <c r="A9859" t="str">
        <f>T("   FR")</f>
        <v xml:space="preserve">   FR</v>
      </c>
      <c r="B9859" t="str">
        <f>T("   France")</f>
        <v xml:space="preserve">   France</v>
      </c>
      <c r="C9859">
        <v>189572</v>
      </c>
      <c r="D9859">
        <v>54</v>
      </c>
    </row>
    <row r="9860" spans="1:4" x14ac:dyDescent="0.25">
      <c r="A9860" t="str">
        <f>T("820239")</f>
        <v>820239</v>
      </c>
      <c r="B9860" t="str">
        <f>T("Lames de scies circulaires, y.c. les lames de fraises-scies, et leurs parties, en métaux communs et avec partie travaillante en matières autres que l'acier")</f>
        <v>Lames de scies circulaires, y.c. les lames de fraises-scies, et leurs parties, en métaux communs et avec partie travaillante en matières autres que l'acier</v>
      </c>
    </row>
    <row r="9861" spans="1:4" x14ac:dyDescent="0.25">
      <c r="A9861" t="str">
        <f>T("   ZZZ_Monde")</f>
        <v xml:space="preserve">   ZZZ_Monde</v>
      </c>
      <c r="B9861" t="str">
        <f>T("   ZZZ_Monde")</f>
        <v xml:space="preserve">   ZZZ_Monde</v>
      </c>
      <c r="C9861">
        <v>7000319</v>
      </c>
      <c r="D9861">
        <v>1455</v>
      </c>
    </row>
    <row r="9862" spans="1:4" x14ac:dyDescent="0.25">
      <c r="A9862" t="str">
        <f>T("   CN")</f>
        <v xml:space="preserve">   CN</v>
      </c>
      <c r="B9862" t="str">
        <f>T("   Chine")</f>
        <v xml:space="preserve">   Chine</v>
      </c>
      <c r="C9862">
        <v>85652</v>
      </c>
      <c r="D9862">
        <v>262</v>
      </c>
    </row>
    <row r="9863" spans="1:4" x14ac:dyDescent="0.25">
      <c r="A9863" t="str">
        <f>T("   ES")</f>
        <v xml:space="preserve">   ES</v>
      </c>
      <c r="B9863" t="str">
        <f>T("   Espagne")</f>
        <v xml:space="preserve">   Espagne</v>
      </c>
      <c r="C9863">
        <v>1382764</v>
      </c>
      <c r="D9863">
        <v>203</v>
      </c>
    </row>
    <row r="9864" spans="1:4" x14ac:dyDescent="0.25">
      <c r="A9864" t="str">
        <f>T("   FR")</f>
        <v xml:space="preserve">   FR</v>
      </c>
      <c r="B9864" t="str">
        <f>T("   France")</f>
        <v xml:space="preserve">   France</v>
      </c>
      <c r="C9864">
        <v>2606838</v>
      </c>
      <c r="D9864">
        <v>20</v>
      </c>
    </row>
    <row r="9865" spans="1:4" x14ac:dyDescent="0.25">
      <c r="A9865" t="str">
        <f>T("   GR")</f>
        <v xml:space="preserve">   GR</v>
      </c>
      <c r="B9865" t="str">
        <f>T("   Grèce")</f>
        <v xml:space="preserve">   Grèce</v>
      </c>
      <c r="C9865">
        <v>2837565</v>
      </c>
      <c r="D9865">
        <v>720</v>
      </c>
    </row>
    <row r="9866" spans="1:4" x14ac:dyDescent="0.25">
      <c r="A9866" t="str">
        <f>T("   NG")</f>
        <v xml:space="preserve">   NG</v>
      </c>
      <c r="B9866" t="str">
        <f>T("   Nigéria")</f>
        <v xml:space="preserve">   Nigéria</v>
      </c>
      <c r="C9866">
        <v>87500</v>
      </c>
      <c r="D9866">
        <v>250</v>
      </c>
    </row>
    <row r="9867" spans="1:4" x14ac:dyDescent="0.25">
      <c r="A9867" t="str">
        <f>T("820291")</f>
        <v>820291</v>
      </c>
      <c r="B9867" t="str">
        <f>T("LAMES DE SCIES DROITES EN METAUX COMMUNS, POUR LE TRAVAIL DES METAUX")</f>
        <v>LAMES DE SCIES DROITES EN METAUX COMMUNS, POUR LE TRAVAIL DES METAUX</v>
      </c>
    </row>
    <row r="9868" spans="1:4" x14ac:dyDescent="0.25">
      <c r="A9868" t="str">
        <f>T("   ZZZ_Monde")</f>
        <v xml:space="preserve">   ZZZ_Monde</v>
      </c>
      <c r="B9868" t="str">
        <f>T("   ZZZ_Monde")</f>
        <v xml:space="preserve">   ZZZ_Monde</v>
      </c>
      <c r="C9868">
        <v>1485750</v>
      </c>
      <c r="D9868">
        <v>125</v>
      </c>
    </row>
    <row r="9869" spans="1:4" x14ac:dyDescent="0.25">
      <c r="A9869" t="str">
        <f>T("   FR")</f>
        <v xml:space="preserve">   FR</v>
      </c>
      <c r="B9869" t="str">
        <f>T("   France")</f>
        <v xml:space="preserve">   France</v>
      </c>
      <c r="C9869">
        <v>1485750</v>
      </c>
      <c r="D9869">
        <v>125</v>
      </c>
    </row>
    <row r="9870" spans="1:4" x14ac:dyDescent="0.25">
      <c r="A9870" t="str">
        <f>T("820299")</f>
        <v>820299</v>
      </c>
      <c r="B9870" t="str">
        <f>T("LAMES DE SCIES, Y.C. LES LAMES DE SCIES NON-DENTÉES, EN MÉTAUX COMMUNS (À L'EXCL. DES LAMES DE SCIES À RUBAN, DES LAMES DE SCIES CIRCULAIRES, DES LAMES DE FRAISES-SCIES, DES CHAÎNES DE SCIE DITES -COUPANTES- ET SAUF LAMES DE SCIES DROITES POUR LE TRAVAIL")</f>
        <v>LAMES DE SCIES, Y.C. LES LAMES DE SCIES NON-DENTÉES, EN MÉTAUX COMMUNS (À L'EXCL. DES LAMES DE SCIES À RUBAN, DES LAMES DE SCIES CIRCULAIRES, DES LAMES DE FRAISES-SCIES, DES CHAÎNES DE SCIE DITES -COUPANTES- ET SAUF LAMES DE SCIES DROITES POUR LE TRAVAIL</v>
      </c>
    </row>
    <row r="9871" spans="1:4" x14ac:dyDescent="0.25">
      <c r="A9871" t="str">
        <f>T("   ZZZ_Monde")</f>
        <v xml:space="preserve">   ZZZ_Monde</v>
      </c>
      <c r="B9871" t="str">
        <f>T("   ZZZ_Monde")</f>
        <v xml:space="preserve">   ZZZ_Monde</v>
      </c>
      <c r="C9871">
        <v>23854508</v>
      </c>
      <c r="D9871">
        <v>31947</v>
      </c>
    </row>
    <row r="9872" spans="1:4" x14ac:dyDescent="0.25">
      <c r="A9872" t="str">
        <f>T("   CN")</f>
        <v xml:space="preserve">   CN</v>
      </c>
      <c r="B9872" t="str">
        <f>T("   Chine")</f>
        <v xml:space="preserve">   Chine</v>
      </c>
      <c r="C9872">
        <v>1771678</v>
      </c>
      <c r="D9872">
        <v>5000</v>
      </c>
    </row>
    <row r="9873" spans="1:4" x14ac:dyDescent="0.25">
      <c r="A9873" t="str">
        <f>T("   FR")</f>
        <v xml:space="preserve">   FR</v>
      </c>
      <c r="B9873" t="str">
        <f>T("   France")</f>
        <v xml:space="preserve">   France</v>
      </c>
      <c r="C9873">
        <v>21170390</v>
      </c>
      <c r="D9873">
        <v>26921</v>
      </c>
    </row>
    <row r="9874" spans="1:4" x14ac:dyDescent="0.25">
      <c r="A9874" t="str">
        <f>T("   IT")</f>
        <v xml:space="preserve">   IT</v>
      </c>
      <c r="B9874" t="str">
        <f>T("   Italie")</f>
        <v xml:space="preserve">   Italie</v>
      </c>
      <c r="C9874">
        <v>912440</v>
      </c>
      <c r="D9874">
        <v>26</v>
      </c>
    </row>
    <row r="9875" spans="1:4" x14ac:dyDescent="0.25">
      <c r="A9875" t="str">
        <f>T("820310")</f>
        <v>820310</v>
      </c>
      <c r="B9875" t="str">
        <f>T("Limes, râpes et outils simil. à main, en métaux communs")</f>
        <v>Limes, râpes et outils simil. à main, en métaux communs</v>
      </c>
    </row>
    <row r="9876" spans="1:4" x14ac:dyDescent="0.25">
      <c r="A9876" t="str">
        <f>T("   ZZZ_Monde")</f>
        <v xml:space="preserve">   ZZZ_Monde</v>
      </c>
      <c r="B9876" t="str">
        <f>T("   ZZZ_Monde")</f>
        <v xml:space="preserve">   ZZZ_Monde</v>
      </c>
      <c r="C9876">
        <v>8257881</v>
      </c>
      <c r="D9876">
        <v>1074</v>
      </c>
    </row>
    <row r="9877" spans="1:4" x14ac:dyDescent="0.25">
      <c r="A9877" t="str">
        <f>T("   FR")</f>
        <v xml:space="preserve">   FR</v>
      </c>
      <c r="B9877" t="str">
        <f>T("   France")</f>
        <v xml:space="preserve">   France</v>
      </c>
      <c r="C9877">
        <v>8257881</v>
      </c>
      <c r="D9877">
        <v>1074</v>
      </c>
    </row>
    <row r="9878" spans="1:4" x14ac:dyDescent="0.25">
      <c r="A9878" t="str">
        <f>T("820320")</f>
        <v>820320</v>
      </c>
      <c r="B9878" t="str">
        <f>T("PINCES -MÊME COUPANTES-, TENAILLES, BRUCELLES À USAGE NON-MÉDICAL ET OUTILS SIMIL. À MAIN, EN MÉTAUX COMMUNS")</f>
        <v>PINCES -MÊME COUPANTES-, TENAILLES, BRUCELLES À USAGE NON-MÉDICAL ET OUTILS SIMIL. À MAIN, EN MÉTAUX COMMUNS</v>
      </c>
    </row>
    <row r="9879" spans="1:4" x14ac:dyDescent="0.25">
      <c r="A9879" t="str">
        <f>T("   ZZZ_Monde")</f>
        <v xml:space="preserve">   ZZZ_Monde</v>
      </c>
      <c r="B9879" t="str">
        <f>T("   ZZZ_Monde")</f>
        <v xml:space="preserve">   ZZZ_Monde</v>
      </c>
      <c r="C9879">
        <v>13324317</v>
      </c>
      <c r="D9879">
        <v>5843</v>
      </c>
    </row>
    <row r="9880" spans="1:4" x14ac:dyDescent="0.25">
      <c r="A9880" t="str">
        <f>T("   CH")</f>
        <v xml:space="preserve">   CH</v>
      </c>
      <c r="B9880" t="str">
        <f>T("   Suisse")</f>
        <v xml:space="preserve">   Suisse</v>
      </c>
      <c r="C9880">
        <v>536968</v>
      </c>
      <c r="D9880">
        <v>1</v>
      </c>
    </row>
    <row r="9881" spans="1:4" x14ac:dyDescent="0.25">
      <c r="A9881" t="str">
        <f>T("   CN")</f>
        <v xml:space="preserve">   CN</v>
      </c>
      <c r="B9881" t="str">
        <f>T("   Chine")</f>
        <v xml:space="preserve">   Chine</v>
      </c>
      <c r="C9881">
        <v>1038579</v>
      </c>
      <c r="D9881">
        <v>3926</v>
      </c>
    </row>
    <row r="9882" spans="1:4" x14ac:dyDescent="0.25">
      <c r="A9882" t="str">
        <f>T("   FR")</f>
        <v xml:space="preserve">   FR</v>
      </c>
      <c r="B9882" t="str">
        <f>T("   France")</f>
        <v xml:space="preserve">   France</v>
      </c>
      <c r="C9882">
        <v>11748770</v>
      </c>
      <c r="D9882">
        <v>1916</v>
      </c>
    </row>
    <row r="9883" spans="1:4" x14ac:dyDescent="0.25">
      <c r="A9883" t="str">
        <f>T("820330")</f>
        <v>820330</v>
      </c>
      <c r="B9883" t="str">
        <f>T("Cisailles à métaux et outils simil., à main, en métaux communs")</f>
        <v>Cisailles à métaux et outils simil., à main, en métaux communs</v>
      </c>
    </row>
    <row r="9884" spans="1:4" x14ac:dyDescent="0.25">
      <c r="A9884" t="str">
        <f>T("   ZZZ_Monde")</f>
        <v xml:space="preserve">   ZZZ_Monde</v>
      </c>
      <c r="B9884" t="str">
        <f>T("   ZZZ_Monde")</f>
        <v xml:space="preserve">   ZZZ_Monde</v>
      </c>
      <c r="C9884">
        <v>1190567</v>
      </c>
      <c r="D9884">
        <v>408</v>
      </c>
    </row>
    <row r="9885" spans="1:4" x14ac:dyDescent="0.25">
      <c r="A9885" t="str">
        <f>T("   FR")</f>
        <v xml:space="preserve">   FR</v>
      </c>
      <c r="B9885" t="str">
        <f>T("   France")</f>
        <v xml:space="preserve">   France</v>
      </c>
      <c r="C9885">
        <v>1190567</v>
      </c>
      <c r="D9885">
        <v>408</v>
      </c>
    </row>
    <row r="9886" spans="1:4" x14ac:dyDescent="0.25">
      <c r="A9886" t="str">
        <f>T("820340")</f>
        <v>820340</v>
      </c>
      <c r="B9886" t="str">
        <f>T("Coupe-tubes, coupe-boulons, emporte-pièce et outils simil., à main, en métaux communs")</f>
        <v>Coupe-tubes, coupe-boulons, emporte-pièce et outils simil., à main, en métaux communs</v>
      </c>
    </row>
    <row r="9887" spans="1:4" x14ac:dyDescent="0.25">
      <c r="A9887" t="str">
        <f>T("   ZZZ_Monde")</f>
        <v xml:space="preserve">   ZZZ_Monde</v>
      </c>
      <c r="B9887" t="str">
        <f>T("   ZZZ_Monde")</f>
        <v xml:space="preserve">   ZZZ_Monde</v>
      </c>
      <c r="C9887">
        <v>341755</v>
      </c>
      <c r="D9887">
        <v>820</v>
      </c>
    </row>
    <row r="9888" spans="1:4" x14ac:dyDescent="0.25">
      <c r="A9888" t="str">
        <f>T("   BE")</f>
        <v xml:space="preserve">   BE</v>
      </c>
      <c r="B9888" t="str">
        <f>T("   Belgique")</f>
        <v xml:space="preserve">   Belgique</v>
      </c>
      <c r="C9888">
        <v>209907</v>
      </c>
      <c r="D9888">
        <v>800</v>
      </c>
    </row>
    <row r="9889" spans="1:4" x14ac:dyDescent="0.25">
      <c r="A9889" t="str">
        <f>T("   FR")</f>
        <v xml:space="preserve">   FR</v>
      </c>
      <c r="B9889" t="str">
        <f>T("   France")</f>
        <v xml:space="preserve">   France</v>
      </c>
      <c r="C9889">
        <v>131848</v>
      </c>
      <c r="D9889">
        <v>20</v>
      </c>
    </row>
    <row r="9890" spans="1:4" x14ac:dyDescent="0.25">
      <c r="A9890" t="str">
        <f>T("820411")</f>
        <v>820411</v>
      </c>
      <c r="B9890" t="str">
        <f>T("Clés de serrage à main, y.c. -les clés dynamométriques-, en métaux communs, à ouverture fixe")</f>
        <v>Clés de serrage à main, y.c. -les clés dynamométriques-, en métaux communs, à ouverture fixe</v>
      </c>
    </row>
    <row r="9891" spans="1:4" x14ac:dyDescent="0.25">
      <c r="A9891" t="str">
        <f>T("   ZZZ_Monde")</f>
        <v xml:space="preserve">   ZZZ_Monde</v>
      </c>
      <c r="B9891" t="str">
        <f>T("   ZZZ_Monde")</f>
        <v xml:space="preserve">   ZZZ_Monde</v>
      </c>
      <c r="C9891">
        <v>6847438</v>
      </c>
      <c r="D9891">
        <v>900.3</v>
      </c>
    </row>
    <row r="9892" spans="1:4" x14ac:dyDescent="0.25">
      <c r="A9892" t="str">
        <f>T("   BE")</f>
        <v xml:space="preserve">   BE</v>
      </c>
      <c r="B9892" t="str">
        <f>T("   Belgique")</f>
        <v xml:space="preserve">   Belgique</v>
      </c>
      <c r="C9892">
        <v>1208366</v>
      </c>
      <c r="D9892">
        <v>6</v>
      </c>
    </row>
    <row r="9893" spans="1:4" x14ac:dyDescent="0.25">
      <c r="A9893" t="str">
        <f>T("   DE")</f>
        <v xml:space="preserve">   DE</v>
      </c>
      <c r="B9893" t="str">
        <f>T("   Allemagne")</f>
        <v xml:space="preserve">   Allemagne</v>
      </c>
      <c r="C9893">
        <v>121884</v>
      </c>
      <c r="D9893">
        <v>1</v>
      </c>
    </row>
    <row r="9894" spans="1:4" x14ac:dyDescent="0.25">
      <c r="A9894" t="str">
        <f>T("   FR")</f>
        <v xml:space="preserve">   FR</v>
      </c>
      <c r="B9894" t="str">
        <f>T("   France")</f>
        <v xml:space="preserve">   France</v>
      </c>
      <c r="C9894">
        <v>5407958</v>
      </c>
      <c r="D9894">
        <v>333.3</v>
      </c>
    </row>
    <row r="9895" spans="1:4" x14ac:dyDescent="0.25">
      <c r="A9895" t="str">
        <f>T("   TG")</f>
        <v xml:space="preserve">   TG</v>
      </c>
      <c r="B9895" t="str">
        <f>T("   Togo")</f>
        <v xml:space="preserve">   Togo</v>
      </c>
      <c r="C9895">
        <v>109230</v>
      </c>
      <c r="D9895">
        <v>560</v>
      </c>
    </row>
    <row r="9896" spans="1:4" x14ac:dyDescent="0.25">
      <c r="A9896" t="str">
        <f>T("820412")</f>
        <v>820412</v>
      </c>
      <c r="B9896" t="str">
        <f>T("Clés de serrage à main, y.c. -les clés dynamométriques-, en métaux communs, à ouverture variable")</f>
        <v>Clés de serrage à main, y.c. -les clés dynamométriques-, en métaux communs, à ouverture variable</v>
      </c>
    </row>
    <row r="9897" spans="1:4" x14ac:dyDescent="0.25">
      <c r="A9897" t="str">
        <f>T("   ZZZ_Monde")</f>
        <v xml:space="preserve">   ZZZ_Monde</v>
      </c>
      <c r="B9897" t="str">
        <f>T("   ZZZ_Monde")</f>
        <v xml:space="preserve">   ZZZ_Monde</v>
      </c>
      <c r="C9897">
        <v>11895030</v>
      </c>
      <c r="D9897">
        <v>23877</v>
      </c>
    </row>
    <row r="9898" spans="1:4" x14ac:dyDescent="0.25">
      <c r="A9898" t="str">
        <f>T("   CN")</f>
        <v xml:space="preserve">   CN</v>
      </c>
      <c r="B9898" t="str">
        <f>T("   Chine")</f>
        <v xml:space="preserve">   Chine</v>
      </c>
      <c r="C9898">
        <v>1081685</v>
      </c>
      <c r="D9898">
        <v>2141</v>
      </c>
    </row>
    <row r="9899" spans="1:4" x14ac:dyDescent="0.25">
      <c r="A9899" t="str">
        <f>T("   FR")</f>
        <v xml:space="preserve">   FR</v>
      </c>
      <c r="B9899" t="str">
        <f>T("   France")</f>
        <v xml:space="preserve">   France</v>
      </c>
      <c r="C9899">
        <v>10813345</v>
      </c>
      <c r="D9899">
        <v>21736</v>
      </c>
    </row>
    <row r="9900" spans="1:4" x14ac:dyDescent="0.25">
      <c r="A9900" t="str">
        <f>T("820420")</f>
        <v>820420</v>
      </c>
      <c r="B9900" t="str">
        <f>T("Douilles de serrage interchangeables, même avec manches, en métaux communs")</f>
        <v>Douilles de serrage interchangeables, même avec manches, en métaux communs</v>
      </c>
    </row>
    <row r="9901" spans="1:4" x14ac:dyDescent="0.25">
      <c r="A9901" t="str">
        <f>T("   ZZZ_Monde")</f>
        <v xml:space="preserve">   ZZZ_Monde</v>
      </c>
      <c r="B9901" t="str">
        <f>T("   ZZZ_Monde")</f>
        <v xml:space="preserve">   ZZZ_Monde</v>
      </c>
      <c r="C9901">
        <v>19033193</v>
      </c>
      <c r="D9901">
        <v>5583</v>
      </c>
    </row>
    <row r="9902" spans="1:4" x14ac:dyDescent="0.25">
      <c r="A9902" t="str">
        <f>T("   CA")</f>
        <v xml:space="preserve">   CA</v>
      </c>
      <c r="B9902" t="str">
        <f>T("   Canada")</f>
        <v xml:space="preserve">   Canada</v>
      </c>
      <c r="C9902">
        <v>12362813</v>
      </c>
      <c r="D9902">
        <v>4738</v>
      </c>
    </row>
    <row r="9903" spans="1:4" x14ac:dyDescent="0.25">
      <c r="A9903" t="str">
        <f>T("   FR")</f>
        <v xml:space="preserve">   FR</v>
      </c>
      <c r="B9903" t="str">
        <f>T("   France")</f>
        <v xml:space="preserve">   France</v>
      </c>
      <c r="C9903">
        <v>6670380</v>
      </c>
      <c r="D9903">
        <v>845</v>
      </c>
    </row>
    <row r="9904" spans="1:4" x14ac:dyDescent="0.25">
      <c r="A9904" t="str">
        <f>T("820510")</f>
        <v>820510</v>
      </c>
      <c r="B9904" t="str">
        <f>T("Outils de perçage, de filetage ou de taraudage, maniés à la main")</f>
        <v>Outils de perçage, de filetage ou de taraudage, maniés à la main</v>
      </c>
    </row>
    <row r="9905" spans="1:4" x14ac:dyDescent="0.25">
      <c r="A9905" t="str">
        <f>T("   ZZZ_Monde")</f>
        <v xml:space="preserve">   ZZZ_Monde</v>
      </c>
      <c r="B9905" t="str">
        <f>T("   ZZZ_Monde")</f>
        <v xml:space="preserve">   ZZZ_Monde</v>
      </c>
      <c r="C9905">
        <v>2841619</v>
      </c>
      <c r="D9905">
        <v>96</v>
      </c>
    </row>
    <row r="9906" spans="1:4" x14ac:dyDescent="0.25">
      <c r="A9906" t="str">
        <f>T("   AT")</f>
        <v xml:space="preserve">   AT</v>
      </c>
      <c r="B9906" t="str">
        <f>T("   Autriche")</f>
        <v xml:space="preserve">   Autriche</v>
      </c>
      <c r="C9906">
        <v>2841619</v>
      </c>
      <c r="D9906">
        <v>96</v>
      </c>
    </row>
    <row r="9907" spans="1:4" x14ac:dyDescent="0.25">
      <c r="A9907" t="str">
        <f>T("820520")</f>
        <v>820520</v>
      </c>
      <c r="B9907" t="str">
        <f>T("Marteaux et masses, avec partie travaillante en métaux communs")</f>
        <v>Marteaux et masses, avec partie travaillante en métaux communs</v>
      </c>
    </row>
    <row r="9908" spans="1:4" x14ac:dyDescent="0.25">
      <c r="A9908" t="str">
        <f>T("   ZZZ_Monde")</f>
        <v xml:space="preserve">   ZZZ_Monde</v>
      </c>
      <c r="B9908" t="str">
        <f>T("   ZZZ_Monde")</f>
        <v xml:space="preserve">   ZZZ_Monde</v>
      </c>
      <c r="C9908">
        <v>10984234</v>
      </c>
      <c r="D9908">
        <v>6574</v>
      </c>
    </row>
    <row r="9909" spans="1:4" x14ac:dyDescent="0.25">
      <c r="A9909" t="str">
        <f>T("   BE")</f>
        <v xml:space="preserve">   BE</v>
      </c>
      <c r="B9909" t="str">
        <f>T("   Belgique")</f>
        <v xml:space="preserve">   Belgique</v>
      </c>
      <c r="C9909">
        <v>432934</v>
      </c>
      <c r="D9909">
        <v>46</v>
      </c>
    </row>
    <row r="9910" spans="1:4" x14ac:dyDescent="0.25">
      <c r="A9910" t="str">
        <f>T("   CA")</f>
        <v xml:space="preserve">   CA</v>
      </c>
      <c r="B9910" t="str">
        <f>T("   Canada")</f>
        <v xml:space="preserve">   Canada</v>
      </c>
      <c r="C9910">
        <v>4001149</v>
      </c>
      <c r="D9910">
        <v>1534</v>
      </c>
    </row>
    <row r="9911" spans="1:4" x14ac:dyDescent="0.25">
      <c r="A9911" t="str">
        <f>T("   CN")</f>
        <v xml:space="preserve">   CN</v>
      </c>
      <c r="B9911" t="str">
        <f>T("   Chine")</f>
        <v xml:space="preserve">   Chine</v>
      </c>
      <c r="C9911">
        <v>1680826</v>
      </c>
      <c r="D9911">
        <v>3162</v>
      </c>
    </row>
    <row r="9912" spans="1:4" x14ac:dyDescent="0.25">
      <c r="A9912" t="str">
        <f>T("   FR")</f>
        <v xml:space="preserve">   FR</v>
      </c>
      <c r="B9912" t="str">
        <f>T("   France")</f>
        <v xml:space="preserve">   France</v>
      </c>
      <c r="C9912">
        <v>4869325</v>
      </c>
      <c r="D9912">
        <v>1832</v>
      </c>
    </row>
    <row r="9913" spans="1:4" x14ac:dyDescent="0.25">
      <c r="A9913" t="str">
        <f>T("820530")</f>
        <v>820530</v>
      </c>
      <c r="B9913" t="str">
        <f>T("Rabots, ciseaux, gouges et outils tranchants simil. à main pour le travail du bois")</f>
        <v>Rabots, ciseaux, gouges et outils tranchants simil. à main pour le travail du bois</v>
      </c>
    </row>
    <row r="9914" spans="1:4" x14ac:dyDescent="0.25">
      <c r="A9914" t="str">
        <f>T("   ZZZ_Monde")</f>
        <v xml:space="preserve">   ZZZ_Monde</v>
      </c>
      <c r="B9914" t="str">
        <f>T("   ZZZ_Monde")</f>
        <v xml:space="preserve">   ZZZ_Monde</v>
      </c>
      <c r="C9914">
        <v>7036240</v>
      </c>
      <c r="D9914">
        <v>8422</v>
      </c>
    </row>
    <row r="9915" spans="1:4" x14ac:dyDescent="0.25">
      <c r="A9915" t="str">
        <f>T("   CN")</f>
        <v xml:space="preserve">   CN</v>
      </c>
      <c r="B9915" t="str">
        <f>T("   Chine")</f>
        <v xml:space="preserve">   Chine</v>
      </c>
      <c r="C9915">
        <v>4429632</v>
      </c>
      <c r="D9915">
        <v>4850</v>
      </c>
    </row>
    <row r="9916" spans="1:4" x14ac:dyDescent="0.25">
      <c r="A9916" t="str">
        <f>T("   FR")</f>
        <v xml:space="preserve">   FR</v>
      </c>
      <c r="B9916" t="str">
        <f>T("   France")</f>
        <v xml:space="preserve">   France</v>
      </c>
      <c r="C9916">
        <v>1407035</v>
      </c>
      <c r="D9916">
        <v>1572</v>
      </c>
    </row>
    <row r="9917" spans="1:4" x14ac:dyDescent="0.25">
      <c r="A9917" t="str">
        <f>T("   SG")</f>
        <v xml:space="preserve">   SG</v>
      </c>
      <c r="B9917" t="str">
        <f>T("   Singapour")</f>
        <v xml:space="preserve">   Singapour</v>
      </c>
      <c r="C9917">
        <v>1199573</v>
      </c>
      <c r="D9917">
        <v>2000</v>
      </c>
    </row>
    <row r="9918" spans="1:4" x14ac:dyDescent="0.25">
      <c r="A9918" t="str">
        <f>T("820540")</f>
        <v>820540</v>
      </c>
      <c r="B9918" t="str">
        <f>T("Tournevis à main")</f>
        <v>Tournevis à main</v>
      </c>
    </row>
    <row r="9919" spans="1:4" x14ac:dyDescent="0.25">
      <c r="A9919" t="str">
        <f>T("   ZZZ_Monde")</f>
        <v xml:space="preserve">   ZZZ_Monde</v>
      </c>
      <c r="B9919" t="str">
        <f>T("   ZZZ_Monde")</f>
        <v xml:space="preserve">   ZZZ_Monde</v>
      </c>
      <c r="C9919">
        <v>4635597</v>
      </c>
      <c r="D9919">
        <v>48300</v>
      </c>
    </row>
    <row r="9920" spans="1:4" x14ac:dyDescent="0.25">
      <c r="A9920" t="str">
        <f>T("   CN")</f>
        <v xml:space="preserve">   CN</v>
      </c>
      <c r="B9920" t="str">
        <f>T("   Chine")</f>
        <v xml:space="preserve">   Chine</v>
      </c>
      <c r="C9920">
        <v>670431</v>
      </c>
      <c r="D9920">
        <v>2295</v>
      </c>
    </row>
    <row r="9921" spans="1:4" x14ac:dyDescent="0.25">
      <c r="A9921" t="str">
        <f>T("   DE")</f>
        <v xml:space="preserve">   DE</v>
      </c>
      <c r="B9921" t="str">
        <f>T("   Allemagne")</f>
        <v xml:space="preserve">   Allemagne</v>
      </c>
      <c r="C9921">
        <v>80355</v>
      </c>
      <c r="D9921">
        <v>40</v>
      </c>
    </row>
    <row r="9922" spans="1:4" x14ac:dyDescent="0.25">
      <c r="A9922" t="str">
        <f>T("   FR")</f>
        <v xml:space="preserve">   FR</v>
      </c>
      <c r="B9922" t="str">
        <f>T("   France")</f>
        <v xml:space="preserve">   France</v>
      </c>
      <c r="C9922">
        <v>3590639</v>
      </c>
      <c r="D9922">
        <v>805</v>
      </c>
    </row>
    <row r="9923" spans="1:4" x14ac:dyDescent="0.25">
      <c r="A9923" t="str">
        <f>T("   LB")</f>
        <v xml:space="preserve">   LB</v>
      </c>
      <c r="B9923" t="str">
        <f>T("   Liban")</f>
        <v xml:space="preserve">   Liban</v>
      </c>
      <c r="C9923">
        <v>103880</v>
      </c>
      <c r="D9923">
        <v>40</v>
      </c>
    </row>
    <row r="9924" spans="1:4" x14ac:dyDescent="0.25">
      <c r="A9924" t="str">
        <f>T("   TG")</f>
        <v xml:space="preserve">   TG</v>
      </c>
      <c r="B9924" t="str">
        <f>T("   Togo")</f>
        <v xml:space="preserve">   Togo</v>
      </c>
      <c r="C9924">
        <v>15292</v>
      </c>
      <c r="D9924">
        <v>120</v>
      </c>
    </row>
    <row r="9925" spans="1:4" x14ac:dyDescent="0.25">
      <c r="A9925" t="str">
        <f>T("   Z2")</f>
        <v xml:space="preserve">   Z2</v>
      </c>
      <c r="B9925" t="str">
        <f>T("   Pays non défini")</f>
        <v xml:space="preserve">   Pays non défini</v>
      </c>
      <c r="C9925">
        <v>175000</v>
      </c>
      <c r="D9925">
        <v>45000</v>
      </c>
    </row>
    <row r="9926" spans="1:4" x14ac:dyDescent="0.25">
      <c r="A9926" t="str">
        <f>T("820551")</f>
        <v>820551</v>
      </c>
      <c r="B9926" t="str">
        <f>T("Outils à main d'économie domestique, non mécaniques, avec partie travaillante en métaux communs, n.d.a.")</f>
        <v>Outils à main d'économie domestique, non mécaniques, avec partie travaillante en métaux communs, n.d.a.</v>
      </c>
    </row>
    <row r="9927" spans="1:4" x14ac:dyDescent="0.25">
      <c r="A9927" t="str">
        <f>T("   ZZZ_Monde")</f>
        <v xml:space="preserve">   ZZZ_Monde</v>
      </c>
      <c r="B9927" t="str">
        <f>T("   ZZZ_Monde")</f>
        <v xml:space="preserve">   ZZZ_Monde</v>
      </c>
      <c r="C9927">
        <v>25687106</v>
      </c>
      <c r="D9927">
        <v>14497</v>
      </c>
    </row>
    <row r="9928" spans="1:4" x14ac:dyDescent="0.25">
      <c r="A9928" t="str">
        <f>T("   CN")</f>
        <v xml:space="preserve">   CN</v>
      </c>
      <c r="B9928" t="str">
        <f>T("   Chine")</f>
        <v xml:space="preserve">   Chine</v>
      </c>
      <c r="C9928">
        <v>6328716</v>
      </c>
      <c r="D9928">
        <v>12524</v>
      </c>
    </row>
    <row r="9929" spans="1:4" x14ac:dyDescent="0.25">
      <c r="A9929" t="str">
        <f>T("   FR")</f>
        <v xml:space="preserve">   FR</v>
      </c>
      <c r="B9929" t="str">
        <f>T("   France")</f>
        <v xml:space="preserve">   France</v>
      </c>
      <c r="C9929">
        <v>18679531</v>
      </c>
      <c r="D9929">
        <v>1966</v>
      </c>
    </row>
    <row r="9930" spans="1:4" x14ac:dyDescent="0.25">
      <c r="A9930" t="str">
        <f>T("   GB")</f>
        <v xml:space="preserve">   GB</v>
      </c>
      <c r="B9930" t="str">
        <f>T("   Royaume-Uni")</f>
        <v xml:space="preserve">   Royaume-Uni</v>
      </c>
      <c r="C9930">
        <v>678859</v>
      </c>
      <c r="D9930">
        <v>7</v>
      </c>
    </row>
    <row r="9931" spans="1:4" x14ac:dyDescent="0.25">
      <c r="A9931" t="str">
        <f>T("820559")</f>
        <v>820559</v>
      </c>
      <c r="B9931" t="str">
        <f>T("Outils à main, y.c. -les diamants de vitrier-, en métaux communs, n.d.a.")</f>
        <v>Outils à main, y.c. -les diamants de vitrier-, en métaux communs, n.d.a.</v>
      </c>
    </row>
    <row r="9932" spans="1:4" x14ac:dyDescent="0.25">
      <c r="A9932" t="str">
        <f>T("   ZZZ_Monde")</f>
        <v xml:space="preserve">   ZZZ_Monde</v>
      </c>
      <c r="B9932" t="str">
        <f>T("   ZZZ_Monde")</f>
        <v xml:space="preserve">   ZZZ_Monde</v>
      </c>
      <c r="C9932">
        <v>75089001</v>
      </c>
      <c r="D9932">
        <v>47304</v>
      </c>
    </row>
    <row r="9933" spans="1:4" x14ac:dyDescent="0.25">
      <c r="A9933" t="str">
        <f>T("   AE")</f>
        <v xml:space="preserve">   AE</v>
      </c>
      <c r="B9933" t="str">
        <f>T("   Emirats Arabes Unis")</f>
        <v xml:space="preserve">   Emirats Arabes Unis</v>
      </c>
      <c r="C9933">
        <v>73005</v>
      </c>
      <c r="D9933">
        <v>10</v>
      </c>
    </row>
    <row r="9934" spans="1:4" x14ac:dyDescent="0.25">
      <c r="A9934" t="str">
        <f>T("   BE")</f>
        <v xml:space="preserve">   BE</v>
      </c>
      <c r="B9934" t="str">
        <f>T("   Belgique")</f>
        <v xml:space="preserve">   Belgique</v>
      </c>
      <c r="C9934">
        <v>5858379</v>
      </c>
      <c r="D9934">
        <v>1240</v>
      </c>
    </row>
    <row r="9935" spans="1:4" x14ac:dyDescent="0.25">
      <c r="A9935" t="str">
        <f>T("   CN")</f>
        <v xml:space="preserve">   CN</v>
      </c>
      <c r="B9935" t="str">
        <f>T("   Chine")</f>
        <v xml:space="preserve">   Chine</v>
      </c>
      <c r="C9935">
        <v>6662856</v>
      </c>
      <c r="D9935">
        <v>17947</v>
      </c>
    </row>
    <row r="9936" spans="1:4" x14ac:dyDescent="0.25">
      <c r="A9936" t="str">
        <f>T("   DE")</f>
        <v xml:space="preserve">   DE</v>
      </c>
      <c r="B9936" t="str">
        <f>T("   Allemagne")</f>
        <v xml:space="preserve">   Allemagne</v>
      </c>
      <c r="C9936">
        <v>4320808</v>
      </c>
      <c r="D9936">
        <v>295</v>
      </c>
    </row>
    <row r="9937" spans="1:4" x14ac:dyDescent="0.25">
      <c r="A9937" t="str">
        <f>T("   ES")</f>
        <v xml:space="preserve">   ES</v>
      </c>
      <c r="B9937" t="str">
        <f>T("   Espagne")</f>
        <v xml:space="preserve">   Espagne</v>
      </c>
      <c r="C9937">
        <v>30830</v>
      </c>
      <c r="D9937">
        <v>4</v>
      </c>
    </row>
    <row r="9938" spans="1:4" x14ac:dyDescent="0.25">
      <c r="A9938" t="str">
        <f>T("   FR")</f>
        <v xml:space="preserve">   FR</v>
      </c>
      <c r="B9938" t="str">
        <f>T("   France")</f>
        <v xml:space="preserve">   France</v>
      </c>
      <c r="C9938">
        <v>41128508</v>
      </c>
      <c r="D9938">
        <v>19748</v>
      </c>
    </row>
    <row r="9939" spans="1:4" x14ac:dyDescent="0.25">
      <c r="A9939" t="str">
        <f>T("   IT")</f>
        <v xml:space="preserve">   IT</v>
      </c>
      <c r="B9939" t="str">
        <f>T("   Italie")</f>
        <v xml:space="preserve">   Italie</v>
      </c>
      <c r="C9939">
        <v>168581</v>
      </c>
      <c r="D9939">
        <v>145</v>
      </c>
    </row>
    <row r="9940" spans="1:4" x14ac:dyDescent="0.25">
      <c r="A9940" t="str">
        <f>T("   LB")</f>
        <v xml:space="preserve">   LB</v>
      </c>
      <c r="B9940" t="str">
        <f>T("   Liban")</f>
        <v xml:space="preserve">   Liban</v>
      </c>
      <c r="C9940">
        <v>14374052</v>
      </c>
      <c r="D9940">
        <v>5256</v>
      </c>
    </row>
    <row r="9941" spans="1:4" x14ac:dyDescent="0.25">
      <c r="A9941" t="str">
        <f>T("   NG")</f>
        <v xml:space="preserve">   NG</v>
      </c>
      <c r="B9941" t="str">
        <f>T("   Nigéria")</f>
        <v xml:space="preserve">   Nigéria</v>
      </c>
      <c r="C9941">
        <v>560375</v>
      </c>
      <c r="D9941">
        <v>282</v>
      </c>
    </row>
    <row r="9942" spans="1:4" x14ac:dyDescent="0.25">
      <c r="A9942" t="str">
        <f>T("   PT")</f>
        <v xml:space="preserve">   PT</v>
      </c>
      <c r="B9942" t="str">
        <f>T("   Portugal")</f>
        <v xml:space="preserve">   Portugal</v>
      </c>
      <c r="C9942">
        <v>475571</v>
      </c>
      <c r="D9942">
        <v>114</v>
      </c>
    </row>
    <row r="9943" spans="1:4" x14ac:dyDescent="0.25">
      <c r="A9943" t="str">
        <f>T("   SG")</f>
        <v xml:space="preserve">   SG</v>
      </c>
      <c r="B9943" t="str">
        <f>T("   Singapour")</f>
        <v xml:space="preserve">   Singapour</v>
      </c>
      <c r="C9943">
        <v>1431818</v>
      </c>
      <c r="D9943">
        <v>2260</v>
      </c>
    </row>
    <row r="9944" spans="1:4" x14ac:dyDescent="0.25">
      <c r="A9944" t="str">
        <f>T("   TR")</f>
        <v xml:space="preserve">   TR</v>
      </c>
      <c r="B9944" t="str">
        <f>T("   Turquie")</f>
        <v xml:space="preserve">   Turquie</v>
      </c>
      <c r="C9944">
        <v>4218</v>
      </c>
      <c r="D9944">
        <v>3</v>
      </c>
    </row>
    <row r="9945" spans="1:4" x14ac:dyDescent="0.25">
      <c r="A9945" t="str">
        <f>T("820560")</f>
        <v>820560</v>
      </c>
      <c r="B9945" t="str">
        <f>T("Lampes à souder et simil. (sauf appareils à souder fonctionnant au gaz)")</f>
        <v>Lampes à souder et simil. (sauf appareils à souder fonctionnant au gaz)</v>
      </c>
    </row>
    <row r="9946" spans="1:4" x14ac:dyDescent="0.25">
      <c r="A9946" t="str">
        <f>T("   ZZZ_Monde")</f>
        <v xml:space="preserve">   ZZZ_Monde</v>
      </c>
      <c r="B9946" t="str">
        <f>T("   ZZZ_Monde")</f>
        <v xml:space="preserve">   ZZZ_Monde</v>
      </c>
      <c r="C9946">
        <v>609977</v>
      </c>
      <c r="D9946">
        <v>1597</v>
      </c>
    </row>
    <row r="9947" spans="1:4" x14ac:dyDescent="0.25">
      <c r="A9947" t="str">
        <f>T("   FR")</f>
        <v xml:space="preserve">   FR</v>
      </c>
      <c r="B9947" t="str">
        <f>T("   France")</f>
        <v xml:space="preserve">   France</v>
      </c>
      <c r="C9947">
        <v>609977</v>
      </c>
      <c r="D9947">
        <v>1597</v>
      </c>
    </row>
    <row r="9948" spans="1:4" x14ac:dyDescent="0.25">
      <c r="A9948" t="str">
        <f>T("820570")</f>
        <v>820570</v>
      </c>
      <c r="B9948" t="str">
        <f>T("Etaux, serre-joints et simil. (autres que ceux constituant des accessoires ou des parties de machines-outils)")</f>
        <v>Etaux, serre-joints et simil. (autres que ceux constituant des accessoires ou des parties de machines-outils)</v>
      </c>
    </row>
    <row r="9949" spans="1:4" x14ac:dyDescent="0.25">
      <c r="A9949" t="str">
        <f>T("   ZZZ_Monde")</f>
        <v xml:space="preserve">   ZZZ_Monde</v>
      </c>
      <c r="B9949" t="str">
        <f>T("   ZZZ_Monde")</f>
        <v xml:space="preserve">   ZZZ_Monde</v>
      </c>
      <c r="C9949">
        <v>2045894</v>
      </c>
      <c r="D9949">
        <v>1961</v>
      </c>
    </row>
    <row r="9950" spans="1:4" x14ac:dyDescent="0.25">
      <c r="A9950" t="str">
        <f>T("   BE")</f>
        <v xml:space="preserve">   BE</v>
      </c>
      <c r="B9950" t="str">
        <f>T("   Belgique")</f>
        <v xml:space="preserve">   Belgique</v>
      </c>
      <c r="C9950">
        <v>71500</v>
      </c>
      <c r="D9950">
        <v>3</v>
      </c>
    </row>
    <row r="9951" spans="1:4" x14ac:dyDescent="0.25">
      <c r="A9951" t="str">
        <f>T("   FR")</f>
        <v xml:space="preserve">   FR</v>
      </c>
      <c r="B9951" t="str">
        <f>T("   France")</f>
        <v xml:space="preserve">   France</v>
      </c>
      <c r="C9951">
        <v>1974394</v>
      </c>
      <c r="D9951">
        <v>1958</v>
      </c>
    </row>
    <row r="9952" spans="1:4" x14ac:dyDescent="0.25">
      <c r="A9952" t="str">
        <f>T("820580")</f>
        <v>820580</v>
      </c>
      <c r="B9952" t="str">
        <f>T("Enclumes; forges portatives; meules avec bâtis, à main ou à pédale")</f>
        <v>Enclumes; forges portatives; meules avec bâtis, à main ou à pédale</v>
      </c>
    </row>
    <row r="9953" spans="1:4" x14ac:dyDescent="0.25">
      <c r="A9953" t="str">
        <f>T("   ZZZ_Monde")</f>
        <v xml:space="preserve">   ZZZ_Monde</v>
      </c>
      <c r="B9953" t="str">
        <f>T("   ZZZ_Monde")</f>
        <v xml:space="preserve">   ZZZ_Monde</v>
      </c>
      <c r="C9953">
        <v>1788776</v>
      </c>
      <c r="D9953">
        <v>260</v>
      </c>
    </row>
    <row r="9954" spans="1:4" x14ac:dyDescent="0.25">
      <c r="A9954" t="str">
        <f>T("   FR")</f>
        <v xml:space="preserve">   FR</v>
      </c>
      <c r="B9954" t="str">
        <f>T("   France")</f>
        <v xml:space="preserve">   France</v>
      </c>
      <c r="C9954">
        <v>1509364</v>
      </c>
      <c r="D9954">
        <v>40</v>
      </c>
    </row>
    <row r="9955" spans="1:4" x14ac:dyDescent="0.25">
      <c r="A9955" t="str">
        <f>T("   IT")</f>
        <v xml:space="preserve">   IT</v>
      </c>
      <c r="B9955" t="str">
        <f>T("   Italie")</f>
        <v xml:space="preserve">   Italie</v>
      </c>
      <c r="C9955">
        <v>199412</v>
      </c>
      <c r="D9955">
        <v>150</v>
      </c>
    </row>
    <row r="9956" spans="1:4" x14ac:dyDescent="0.25">
      <c r="A9956" t="str">
        <f>T("   US")</f>
        <v xml:space="preserve">   US</v>
      </c>
      <c r="B9956" t="str">
        <f>T("   Etats-Unis")</f>
        <v xml:space="preserve">   Etats-Unis</v>
      </c>
      <c r="C9956">
        <v>80000</v>
      </c>
      <c r="D9956">
        <v>70</v>
      </c>
    </row>
    <row r="9957" spans="1:4" x14ac:dyDescent="0.25">
      <c r="A9957" t="str">
        <f>T("820590")</f>
        <v>820590</v>
      </c>
      <c r="B9957" t="str">
        <f>T("Assortiments d'outils d'au moins deux des sous-positions du n° 8205")</f>
        <v>Assortiments d'outils d'au moins deux des sous-positions du n° 8205</v>
      </c>
    </row>
    <row r="9958" spans="1:4" x14ac:dyDescent="0.25">
      <c r="A9958" t="str">
        <f>T("   ZZZ_Monde")</f>
        <v xml:space="preserve">   ZZZ_Monde</v>
      </c>
      <c r="B9958" t="str">
        <f>T("   ZZZ_Monde")</f>
        <v xml:space="preserve">   ZZZ_Monde</v>
      </c>
      <c r="C9958">
        <v>6505500</v>
      </c>
      <c r="D9958">
        <v>7405.32</v>
      </c>
    </row>
    <row r="9959" spans="1:4" x14ac:dyDescent="0.25">
      <c r="A9959" t="str">
        <f>T("   CN")</f>
        <v xml:space="preserve">   CN</v>
      </c>
      <c r="B9959" t="str">
        <f>T("   Chine")</f>
        <v xml:space="preserve">   Chine</v>
      </c>
      <c r="C9959">
        <v>414029</v>
      </c>
      <c r="D9959">
        <v>5025</v>
      </c>
    </row>
    <row r="9960" spans="1:4" x14ac:dyDescent="0.25">
      <c r="A9960" t="str">
        <f>T("   FR")</f>
        <v xml:space="preserve">   FR</v>
      </c>
      <c r="B9960" t="str">
        <f>T("   France")</f>
        <v xml:space="preserve">   France</v>
      </c>
      <c r="C9960">
        <v>5190971</v>
      </c>
      <c r="D9960">
        <v>1580.32</v>
      </c>
    </row>
    <row r="9961" spans="1:4" x14ac:dyDescent="0.25">
      <c r="A9961" t="str">
        <f>T("   SN")</f>
        <v xml:space="preserve">   SN</v>
      </c>
      <c r="B9961" t="str">
        <f>T("   Sénégal")</f>
        <v xml:space="preserve">   Sénégal</v>
      </c>
      <c r="C9961">
        <v>900500</v>
      </c>
      <c r="D9961">
        <v>800</v>
      </c>
    </row>
    <row r="9962" spans="1:4" x14ac:dyDescent="0.25">
      <c r="A9962" t="str">
        <f>T("820600")</f>
        <v>820600</v>
      </c>
      <c r="B9962" t="str">
        <f>T("Outils d'au moins deux du n° 8202 à 8205, conditionnés en assortiments pour la vente au détail")</f>
        <v>Outils d'au moins deux du n° 8202 à 8205, conditionnés en assortiments pour la vente au détail</v>
      </c>
    </row>
    <row r="9963" spans="1:4" x14ac:dyDescent="0.25">
      <c r="A9963" t="str">
        <f>T("   ZZZ_Monde")</f>
        <v xml:space="preserve">   ZZZ_Monde</v>
      </c>
      <c r="B9963" t="str">
        <f>T("   ZZZ_Monde")</f>
        <v xml:space="preserve">   ZZZ_Monde</v>
      </c>
      <c r="C9963">
        <v>33097440</v>
      </c>
      <c r="D9963">
        <v>11461</v>
      </c>
    </row>
    <row r="9964" spans="1:4" x14ac:dyDescent="0.25">
      <c r="A9964" t="str">
        <f>T("   AE")</f>
        <v xml:space="preserve">   AE</v>
      </c>
      <c r="B9964" t="str">
        <f>T("   Emirats Arabes Unis")</f>
        <v xml:space="preserve">   Emirats Arabes Unis</v>
      </c>
      <c r="C9964">
        <v>244794</v>
      </c>
      <c r="D9964">
        <v>125</v>
      </c>
    </row>
    <row r="9965" spans="1:4" x14ac:dyDescent="0.25">
      <c r="A9965" t="str">
        <f>T("   CN")</f>
        <v xml:space="preserve">   CN</v>
      </c>
      <c r="B9965" t="str">
        <f>T("   Chine")</f>
        <v xml:space="preserve">   Chine</v>
      </c>
      <c r="C9965">
        <v>1169085</v>
      </c>
      <c r="D9965">
        <v>4045</v>
      </c>
    </row>
    <row r="9966" spans="1:4" x14ac:dyDescent="0.25">
      <c r="A9966" t="str">
        <f>T("   FR")</f>
        <v xml:space="preserve">   FR</v>
      </c>
      <c r="B9966" t="str">
        <f>T("   France")</f>
        <v xml:space="preserve">   France</v>
      </c>
      <c r="C9966">
        <v>27822859</v>
      </c>
      <c r="D9966">
        <v>6573</v>
      </c>
    </row>
    <row r="9967" spans="1:4" x14ac:dyDescent="0.25">
      <c r="A9967" t="str">
        <f>T("   US")</f>
        <v xml:space="preserve">   US</v>
      </c>
      <c r="B9967" t="str">
        <f>T("   Etats-Unis")</f>
        <v xml:space="preserve">   Etats-Unis</v>
      </c>
      <c r="C9967">
        <v>3860702</v>
      </c>
      <c r="D9967">
        <v>718</v>
      </c>
    </row>
    <row r="9968" spans="1:4" x14ac:dyDescent="0.25">
      <c r="A9968" t="str">
        <f>T("820713")</f>
        <v>820713</v>
      </c>
      <c r="B9968" t="str">
        <f>T("Outils de forage ou de sondage, interchangeables, avec partie travaillante en carbures métalliques frittés ou en cermets")</f>
        <v>Outils de forage ou de sondage, interchangeables, avec partie travaillante en carbures métalliques frittés ou en cermets</v>
      </c>
    </row>
    <row r="9969" spans="1:4" x14ac:dyDescent="0.25">
      <c r="A9969" t="str">
        <f>T("   ZZZ_Monde")</f>
        <v xml:space="preserve">   ZZZ_Monde</v>
      </c>
      <c r="B9969" t="str">
        <f>T("   ZZZ_Monde")</f>
        <v xml:space="preserve">   ZZZ_Monde</v>
      </c>
      <c r="C9969">
        <v>4360518</v>
      </c>
      <c r="D9969">
        <v>190</v>
      </c>
    </row>
    <row r="9970" spans="1:4" x14ac:dyDescent="0.25">
      <c r="A9970" t="str">
        <f>T("   US")</f>
        <v xml:space="preserve">   US</v>
      </c>
      <c r="B9970" t="str">
        <f>T("   Etats-Unis")</f>
        <v xml:space="preserve">   Etats-Unis</v>
      </c>
      <c r="C9970">
        <v>4360518</v>
      </c>
      <c r="D9970">
        <v>190</v>
      </c>
    </row>
    <row r="9971" spans="1:4" x14ac:dyDescent="0.25">
      <c r="A9971" t="str">
        <f>T("820719")</f>
        <v>820719</v>
      </c>
      <c r="B9971" t="str">
        <f>T("Outils de forage ou de sondage, interchangeables, et leurs parties, avec partie travaillante en matières autres qu'en carbures métalliques frittés ou en cermets")</f>
        <v>Outils de forage ou de sondage, interchangeables, et leurs parties, avec partie travaillante en matières autres qu'en carbures métalliques frittés ou en cermets</v>
      </c>
    </row>
    <row r="9972" spans="1:4" x14ac:dyDescent="0.25">
      <c r="A9972" t="str">
        <f>T("   ZZZ_Monde")</f>
        <v xml:space="preserve">   ZZZ_Monde</v>
      </c>
      <c r="B9972" t="str">
        <f>T("   ZZZ_Monde")</f>
        <v xml:space="preserve">   ZZZ_Monde</v>
      </c>
      <c r="C9972">
        <v>1665134</v>
      </c>
      <c r="D9972">
        <v>8574</v>
      </c>
    </row>
    <row r="9973" spans="1:4" x14ac:dyDescent="0.25">
      <c r="A9973" t="str">
        <f>T("   CI")</f>
        <v xml:space="preserve">   CI</v>
      </c>
      <c r="B9973" t="str">
        <f>T("   Côte d'Ivoire")</f>
        <v xml:space="preserve">   Côte d'Ivoire</v>
      </c>
      <c r="C9973">
        <v>1071000</v>
      </c>
      <c r="D9973">
        <v>620</v>
      </c>
    </row>
    <row r="9974" spans="1:4" x14ac:dyDescent="0.25">
      <c r="A9974" t="str">
        <f>T("   CN")</f>
        <v xml:space="preserve">   CN</v>
      </c>
      <c r="B9974" t="str">
        <f>T("   Chine")</f>
        <v xml:space="preserve">   Chine</v>
      </c>
      <c r="C9974">
        <v>594134</v>
      </c>
      <c r="D9974">
        <v>7954</v>
      </c>
    </row>
    <row r="9975" spans="1:4" x14ac:dyDescent="0.25">
      <c r="A9975" t="str">
        <f>T("820720")</f>
        <v>820720</v>
      </c>
      <c r="B9975" t="str">
        <f>T("Filières interchangeables pour l'étirage ou le filage -extrusion- des métaux")</f>
        <v>Filières interchangeables pour l'étirage ou le filage -extrusion- des métaux</v>
      </c>
    </row>
    <row r="9976" spans="1:4" x14ac:dyDescent="0.25">
      <c r="A9976" t="str">
        <f>T("   ZZZ_Monde")</f>
        <v xml:space="preserve">   ZZZ_Monde</v>
      </c>
      <c r="B9976" t="str">
        <f>T("   ZZZ_Monde")</f>
        <v xml:space="preserve">   ZZZ_Monde</v>
      </c>
      <c r="C9976">
        <v>10544937</v>
      </c>
      <c r="D9976">
        <v>132.69999999999999</v>
      </c>
    </row>
    <row r="9977" spans="1:4" x14ac:dyDescent="0.25">
      <c r="A9977" t="str">
        <f>T("   FR")</f>
        <v xml:space="preserve">   FR</v>
      </c>
      <c r="B9977" t="str">
        <f>T("   France")</f>
        <v xml:space="preserve">   France</v>
      </c>
      <c r="C9977">
        <v>9105761</v>
      </c>
      <c r="D9977">
        <v>123</v>
      </c>
    </row>
    <row r="9978" spans="1:4" x14ac:dyDescent="0.25">
      <c r="A9978" t="str">
        <f>T("   IT")</f>
        <v xml:space="preserve">   IT</v>
      </c>
      <c r="B9978" t="str">
        <f>T("   Italie")</f>
        <v xml:space="preserve">   Italie</v>
      </c>
      <c r="C9978">
        <v>1439176</v>
      </c>
      <c r="D9978">
        <v>9.6999999999999993</v>
      </c>
    </row>
    <row r="9979" spans="1:4" x14ac:dyDescent="0.25">
      <c r="A9979" t="str">
        <f>T("820730")</f>
        <v>820730</v>
      </c>
      <c r="B9979" t="str">
        <f>T("Outils interchangeables à emboutir, à estamper ou à poinçonner")</f>
        <v>Outils interchangeables à emboutir, à estamper ou à poinçonner</v>
      </c>
    </row>
    <row r="9980" spans="1:4" x14ac:dyDescent="0.25">
      <c r="A9980" t="str">
        <f>T("   ZZZ_Monde")</f>
        <v xml:space="preserve">   ZZZ_Monde</v>
      </c>
      <c r="B9980" t="str">
        <f>T("   ZZZ_Monde")</f>
        <v xml:space="preserve">   ZZZ_Monde</v>
      </c>
      <c r="C9980">
        <v>2293740</v>
      </c>
      <c r="D9980">
        <v>618</v>
      </c>
    </row>
    <row r="9981" spans="1:4" x14ac:dyDescent="0.25">
      <c r="A9981" t="str">
        <f>T("   ES")</f>
        <v xml:space="preserve">   ES</v>
      </c>
      <c r="B9981" t="str">
        <f>T("   Espagne")</f>
        <v xml:space="preserve">   Espagne</v>
      </c>
      <c r="C9981">
        <v>2111115</v>
      </c>
      <c r="D9981">
        <v>467</v>
      </c>
    </row>
    <row r="9982" spans="1:4" x14ac:dyDescent="0.25">
      <c r="A9982" t="str">
        <f>T("   FR")</f>
        <v xml:space="preserve">   FR</v>
      </c>
      <c r="B9982" t="str">
        <f>T("   France")</f>
        <v xml:space="preserve">   France</v>
      </c>
      <c r="C9982">
        <v>182625</v>
      </c>
      <c r="D9982">
        <v>151</v>
      </c>
    </row>
    <row r="9983" spans="1:4" x14ac:dyDescent="0.25">
      <c r="A9983" t="str">
        <f>T("820750")</f>
        <v>820750</v>
      </c>
      <c r="B9983" t="str">
        <f>T("OUTILS INTERCHANGEABLES À PERCER (À L'EXCL. DES OUTILS DE FORAGE OU DE SONDAGE ET DES OUTILS À TARAUDER) [01/01/1988-31/12/1993: OUTILS INTERCHANGEABLES (SAUF OUTILS DE FORAGE OU DE SONDAGE ET SAUF OUTILS A TARAUDER OU A FILETER)]")</f>
        <v>OUTILS INTERCHANGEABLES À PERCER (À L'EXCL. DES OUTILS DE FORAGE OU DE SONDAGE ET DES OUTILS À TARAUDER) [01/01/1988-31/12/1993: OUTILS INTERCHANGEABLES (SAUF OUTILS DE FORAGE OU DE SONDAGE ET SAUF OUTILS A TARAUDER OU A FILETER)]</v>
      </c>
    </row>
    <row r="9984" spans="1:4" x14ac:dyDescent="0.25">
      <c r="A9984" t="str">
        <f>T("   ZZZ_Monde")</f>
        <v xml:space="preserve">   ZZZ_Monde</v>
      </c>
      <c r="B9984" t="str">
        <f>T("   ZZZ_Monde")</f>
        <v xml:space="preserve">   ZZZ_Monde</v>
      </c>
      <c r="C9984">
        <v>10965344</v>
      </c>
      <c r="D9984">
        <v>1000</v>
      </c>
    </row>
    <row r="9985" spans="1:4" x14ac:dyDescent="0.25">
      <c r="A9985" t="str">
        <f>T("   ES")</f>
        <v xml:space="preserve">   ES</v>
      </c>
      <c r="B9985" t="str">
        <f>T("   Espagne")</f>
        <v xml:space="preserve">   Espagne</v>
      </c>
      <c r="C9985">
        <v>1192536</v>
      </c>
      <c r="D9985">
        <v>175</v>
      </c>
    </row>
    <row r="9986" spans="1:4" x14ac:dyDescent="0.25">
      <c r="A9986" t="str">
        <f>T("   FR")</f>
        <v xml:space="preserve">   FR</v>
      </c>
      <c r="B9986" t="str">
        <f>T("   France")</f>
        <v xml:space="preserve">   France</v>
      </c>
      <c r="C9986">
        <v>9772808</v>
      </c>
      <c r="D9986">
        <v>825</v>
      </c>
    </row>
    <row r="9987" spans="1:4" x14ac:dyDescent="0.25">
      <c r="A9987" t="str">
        <f>T("820780")</f>
        <v>820780</v>
      </c>
      <c r="B9987" t="str">
        <f>T("Outils interchangeables à tourner")</f>
        <v>Outils interchangeables à tourner</v>
      </c>
    </row>
    <row r="9988" spans="1:4" x14ac:dyDescent="0.25">
      <c r="A9988" t="str">
        <f>T("   ZZZ_Monde")</f>
        <v xml:space="preserve">   ZZZ_Monde</v>
      </c>
      <c r="B9988" t="str">
        <f>T("   ZZZ_Monde")</f>
        <v xml:space="preserve">   ZZZ_Monde</v>
      </c>
      <c r="C9988">
        <v>2565673</v>
      </c>
      <c r="D9988">
        <v>167</v>
      </c>
    </row>
    <row r="9989" spans="1:4" x14ac:dyDescent="0.25">
      <c r="A9989" t="str">
        <f>T("   FR")</f>
        <v xml:space="preserve">   FR</v>
      </c>
      <c r="B9989" t="str">
        <f>T("   France")</f>
        <v xml:space="preserve">   France</v>
      </c>
      <c r="C9989">
        <v>2565673</v>
      </c>
      <c r="D9989">
        <v>167</v>
      </c>
    </row>
    <row r="9990" spans="1:4" x14ac:dyDescent="0.25">
      <c r="A9990" t="str">
        <f>T("820790")</f>
        <v>820790</v>
      </c>
      <c r="B9990" t="str">
        <f>T("Outils interchangeables pour outillage à main, mécanique ou non, ou pour machines-outils, n.d.a.")</f>
        <v>Outils interchangeables pour outillage à main, mécanique ou non, ou pour machines-outils, n.d.a.</v>
      </c>
    </row>
    <row r="9991" spans="1:4" x14ac:dyDescent="0.25">
      <c r="A9991" t="str">
        <f>T("   ZZZ_Monde")</f>
        <v xml:space="preserve">   ZZZ_Monde</v>
      </c>
      <c r="B9991" t="str">
        <f>T("   ZZZ_Monde")</f>
        <v xml:space="preserve">   ZZZ_Monde</v>
      </c>
      <c r="C9991">
        <v>38912949</v>
      </c>
      <c r="D9991">
        <v>22699</v>
      </c>
    </row>
    <row r="9992" spans="1:4" x14ac:dyDescent="0.25">
      <c r="A9992" t="str">
        <f>T("   DE")</f>
        <v xml:space="preserve">   DE</v>
      </c>
      <c r="B9992" t="str">
        <f>T("   Allemagne")</f>
        <v xml:space="preserve">   Allemagne</v>
      </c>
      <c r="C9992">
        <v>6703492</v>
      </c>
      <c r="D9992">
        <v>17498</v>
      </c>
    </row>
    <row r="9993" spans="1:4" x14ac:dyDescent="0.25">
      <c r="A9993" t="str">
        <f>T("   FR")</f>
        <v xml:space="preserve">   FR</v>
      </c>
      <c r="B9993" t="str">
        <f>T("   France")</f>
        <v xml:space="preserve">   France</v>
      </c>
      <c r="C9993">
        <v>27108832</v>
      </c>
      <c r="D9993">
        <v>4935</v>
      </c>
    </row>
    <row r="9994" spans="1:4" x14ac:dyDescent="0.25">
      <c r="A9994" t="str">
        <f>T("   IT")</f>
        <v xml:space="preserve">   IT</v>
      </c>
      <c r="B9994" t="str">
        <f>T("   Italie")</f>
        <v xml:space="preserve">   Italie</v>
      </c>
      <c r="C9994">
        <v>2422460</v>
      </c>
      <c r="D9994">
        <v>121</v>
      </c>
    </row>
    <row r="9995" spans="1:4" x14ac:dyDescent="0.25">
      <c r="A9995" t="str">
        <f>T("   US")</f>
        <v xml:space="preserve">   US</v>
      </c>
      <c r="B9995" t="str">
        <f>T("   Etats-Unis")</f>
        <v xml:space="preserve">   Etats-Unis</v>
      </c>
      <c r="C9995">
        <v>2678165</v>
      </c>
      <c r="D9995">
        <v>145</v>
      </c>
    </row>
    <row r="9996" spans="1:4" x14ac:dyDescent="0.25">
      <c r="A9996" t="str">
        <f>T("820810")</f>
        <v>820810</v>
      </c>
      <c r="B9996" t="str">
        <f>T("Couteaux et lames tranchantes, en métaux communs, pour machines ou pour appareils mécaniques, pour le travail des métaux")</f>
        <v>Couteaux et lames tranchantes, en métaux communs, pour machines ou pour appareils mécaniques, pour le travail des métaux</v>
      </c>
    </row>
    <row r="9997" spans="1:4" x14ac:dyDescent="0.25">
      <c r="A9997" t="str">
        <f>T("   ZZZ_Monde")</f>
        <v xml:space="preserve">   ZZZ_Monde</v>
      </c>
      <c r="B9997" t="str">
        <f>T("   ZZZ_Monde")</f>
        <v xml:space="preserve">   ZZZ_Monde</v>
      </c>
      <c r="C9997">
        <v>2198122</v>
      </c>
      <c r="D9997">
        <v>83</v>
      </c>
    </row>
    <row r="9998" spans="1:4" x14ac:dyDescent="0.25">
      <c r="A9998" t="str">
        <f>T("   FR")</f>
        <v xml:space="preserve">   FR</v>
      </c>
      <c r="B9998" t="str">
        <f>T("   France")</f>
        <v xml:space="preserve">   France</v>
      </c>
      <c r="C9998">
        <v>2198122</v>
      </c>
      <c r="D9998">
        <v>83</v>
      </c>
    </row>
    <row r="9999" spans="1:4" x14ac:dyDescent="0.25">
      <c r="A9999" t="str">
        <f>T("820820")</f>
        <v>820820</v>
      </c>
      <c r="B9999" t="str">
        <f>T("Couteaux et lames tranchantes, en métaux communs, pour machines ou pour appareils mécaniques, pour le travail du bois")</f>
        <v>Couteaux et lames tranchantes, en métaux communs, pour machines ou pour appareils mécaniques, pour le travail du bois</v>
      </c>
    </row>
    <row r="10000" spans="1:4" x14ac:dyDescent="0.25">
      <c r="A10000" t="str">
        <f>T("   ZZZ_Monde")</f>
        <v xml:space="preserve">   ZZZ_Monde</v>
      </c>
      <c r="B10000" t="str">
        <f>T("   ZZZ_Monde")</f>
        <v xml:space="preserve">   ZZZ_Monde</v>
      </c>
      <c r="C10000">
        <v>2624854</v>
      </c>
      <c r="D10000">
        <v>5430</v>
      </c>
    </row>
    <row r="10001" spans="1:4" x14ac:dyDescent="0.25">
      <c r="A10001" t="str">
        <f>T("   IN")</f>
        <v xml:space="preserve">   IN</v>
      </c>
      <c r="B10001" t="str">
        <f>T("   Inde")</f>
        <v xml:space="preserve">   Inde</v>
      </c>
      <c r="C10001">
        <v>2624854</v>
      </c>
      <c r="D10001">
        <v>5430</v>
      </c>
    </row>
    <row r="10002" spans="1:4" x14ac:dyDescent="0.25">
      <c r="A10002" t="str">
        <f>T("820840")</f>
        <v>820840</v>
      </c>
      <c r="B10002" t="str">
        <f>T("Couteaux et lames tranchantes, en métaux communs, pour machines agricoles, horticoles ou forestières (sauf pour le travail du bois)")</f>
        <v>Couteaux et lames tranchantes, en métaux communs, pour machines agricoles, horticoles ou forestières (sauf pour le travail du bois)</v>
      </c>
    </row>
    <row r="10003" spans="1:4" x14ac:dyDescent="0.25">
      <c r="A10003" t="str">
        <f>T("   ZZZ_Monde")</f>
        <v xml:space="preserve">   ZZZ_Monde</v>
      </c>
      <c r="B10003" t="str">
        <f>T("   ZZZ_Monde")</f>
        <v xml:space="preserve">   ZZZ_Monde</v>
      </c>
      <c r="C10003">
        <v>171436</v>
      </c>
      <c r="D10003">
        <v>5</v>
      </c>
    </row>
    <row r="10004" spans="1:4" x14ac:dyDescent="0.25">
      <c r="A10004" t="str">
        <f>T("   FR")</f>
        <v xml:space="preserve">   FR</v>
      </c>
      <c r="B10004" t="str">
        <f>T("   France")</f>
        <v xml:space="preserve">   France</v>
      </c>
      <c r="C10004">
        <v>171436</v>
      </c>
      <c r="D10004">
        <v>5</v>
      </c>
    </row>
    <row r="10005" spans="1:4" x14ac:dyDescent="0.25">
      <c r="A10005" t="str">
        <f>T("820890")</f>
        <v>820890</v>
      </c>
      <c r="B10005" t="str">
        <f>T("Couteaux et lames tranchantes, en métaux communs, pour machines ou appareils mécaniques (sauf pour le travail du métal ou du bois, sauf pour appareils de cuisine ou pour machines de l'industrie alimentaire, et sauf pour machines agricoles, horticoles ou f")</f>
        <v>Couteaux et lames tranchantes, en métaux communs, pour machines ou appareils mécaniques (sauf pour le travail du métal ou du bois, sauf pour appareils de cuisine ou pour machines de l'industrie alimentaire, et sauf pour machines agricoles, horticoles ou f</v>
      </c>
    </row>
    <row r="10006" spans="1:4" x14ac:dyDescent="0.25">
      <c r="A10006" t="str">
        <f>T("   ZZZ_Monde")</f>
        <v xml:space="preserve">   ZZZ_Monde</v>
      </c>
      <c r="B10006" t="str">
        <f>T("   ZZZ_Monde")</f>
        <v xml:space="preserve">   ZZZ_Monde</v>
      </c>
      <c r="C10006">
        <v>11212715</v>
      </c>
      <c r="D10006">
        <v>9677</v>
      </c>
    </row>
    <row r="10007" spans="1:4" x14ac:dyDescent="0.25">
      <c r="A10007" t="str">
        <f>T("   AN")</f>
        <v xml:space="preserve">   AN</v>
      </c>
      <c r="B10007" t="str">
        <f>T("   Antilles Néerlandaises")</f>
        <v xml:space="preserve">   Antilles Néerlandaises</v>
      </c>
      <c r="C10007">
        <v>1926555</v>
      </c>
      <c r="D10007">
        <v>20</v>
      </c>
    </row>
    <row r="10008" spans="1:4" x14ac:dyDescent="0.25">
      <c r="A10008" t="str">
        <f>T("   CN")</f>
        <v xml:space="preserve">   CN</v>
      </c>
      <c r="B10008" t="str">
        <f>T("   Chine")</f>
        <v xml:space="preserve">   Chine</v>
      </c>
      <c r="C10008">
        <v>6206946</v>
      </c>
      <c r="D10008">
        <v>9505</v>
      </c>
    </row>
    <row r="10009" spans="1:4" x14ac:dyDescent="0.25">
      <c r="A10009" t="str">
        <f>T("   FR")</f>
        <v xml:space="preserve">   FR</v>
      </c>
      <c r="B10009" t="str">
        <f>T("   France")</f>
        <v xml:space="preserve">   France</v>
      </c>
      <c r="C10009">
        <v>1576062</v>
      </c>
      <c r="D10009">
        <v>69</v>
      </c>
    </row>
    <row r="10010" spans="1:4" x14ac:dyDescent="0.25">
      <c r="A10010" t="str">
        <f>T("   IT")</f>
        <v xml:space="preserve">   IT</v>
      </c>
      <c r="B10010" t="str">
        <f>T("   Italie")</f>
        <v xml:space="preserve">   Italie</v>
      </c>
      <c r="C10010">
        <v>1042976</v>
      </c>
      <c r="D10010">
        <v>72</v>
      </c>
    </row>
    <row r="10011" spans="1:4" x14ac:dyDescent="0.25">
      <c r="A10011" t="str">
        <f>T("   LB")</f>
        <v xml:space="preserve">   LB</v>
      </c>
      <c r="B10011" t="str">
        <f>T("   Liban")</f>
        <v xml:space="preserve">   Liban</v>
      </c>
      <c r="C10011">
        <v>460176</v>
      </c>
      <c r="D10011">
        <v>11</v>
      </c>
    </row>
    <row r="10012" spans="1:4" x14ac:dyDescent="0.25">
      <c r="A10012" t="str">
        <f>T("820900")</f>
        <v>820900</v>
      </c>
      <c r="B10012" t="str">
        <f>T("PLAQUETTES, BAGUETTES, POINTES ET OBJETS SIMIL. POUR OUTILS, NON-MONTÉS, CONSTITUÉS PAR DES CARBURES MÉTALLIQUES FRITTÉS OU DES CERMETS")</f>
        <v>PLAQUETTES, BAGUETTES, POINTES ET OBJETS SIMIL. POUR OUTILS, NON-MONTÉS, CONSTITUÉS PAR DES CARBURES MÉTALLIQUES FRITTÉS OU DES CERMETS</v>
      </c>
    </row>
    <row r="10013" spans="1:4" x14ac:dyDescent="0.25">
      <c r="A10013" t="str">
        <f>T("   ZZZ_Monde")</f>
        <v xml:space="preserve">   ZZZ_Monde</v>
      </c>
      <c r="B10013" t="str">
        <f>T("   ZZZ_Monde")</f>
        <v xml:space="preserve">   ZZZ_Monde</v>
      </c>
      <c r="C10013">
        <v>1559892</v>
      </c>
      <c r="D10013">
        <v>183.5</v>
      </c>
    </row>
    <row r="10014" spans="1:4" x14ac:dyDescent="0.25">
      <c r="A10014" t="str">
        <f>T("   FR")</f>
        <v xml:space="preserve">   FR</v>
      </c>
      <c r="B10014" t="str">
        <f>T("   France")</f>
        <v xml:space="preserve">   France</v>
      </c>
      <c r="C10014">
        <v>1559892</v>
      </c>
      <c r="D10014">
        <v>183.5</v>
      </c>
    </row>
    <row r="10015" spans="1:4" x14ac:dyDescent="0.25">
      <c r="A10015" t="str">
        <f>T("821000")</f>
        <v>821000</v>
      </c>
      <c r="B10015" t="str">
        <f>T("APPAREILS MÉCANIQUES ACTIONNÉS À LA MAIN, EN MÉTAUX COMMUNS, D'UN POIDS &lt;= 10 KG, UTILISÉS POUR PRÉPARER, CONDITIONNER OU SERVIR LES ALIMENTS OU LES BOISSONS [01/01/1988-31/12/1994: APPAREILS MECANIQUES ACTIONNES A LA MAIN, EN METAUX COMMUNS, D'UN POIDS =")</f>
        <v>APPAREILS MÉCANIQUES ACTIONNÉS À LA MAIN, EN MÉTAUX COMMUNS, D'UN POIDS &lt;= 10 KG, UTILISÉS POUR PRÉPARER, CONDITIONNER OU SERVIR LES ALIMENTS OU LES BOISSONS [01/01/1988-31/12/1994: APPAREILS MECANIQUES ACTIONNES A LA MAIN, EN METAUX COMMUNS, D'UN POIDS =</v>
      </c>
    </row>
    <row r="10016" spans="1:4" x14ac:dyDescent="0.25">
      <c r="A10016" t="str">
        <f>T("   ZZZ_Monde")</f>
        <v xml:space="preserve">   ZZZ_Monde</v>
      </c>
      <c r="B10016" t="str">
        <f>T("   ZZZ_Monde")</f>
        <v xml:space="preserve">   ZZZ_Monde</v>
      </c>
      <c r="C10016">
        <v>3717951</v>
      </c>
      <c r="D10016">
        <v>5658</v>
      </c>
    </row>
    <row r="10017" spans="1:4" x14ac:dyDescent="0.25">
      <c r="A10017" t="str">
        <f>T("   CN")</f>
        <v xml:space="preserve">   CN</v>
      </c>
      <c r="B10017" t="str">
        <f>T("   Chine")</f>
        <v xml:space="preserve">   Chine</v>
      </c>
      <c r="C10017">
        <v>608775</v>
      </c>
      <c r="D10017">
        <v>5000</v>
      </c>
    </row>
    <row r="10018" spans="1:4" x14ac:dyDescent="0.25">
      <c r="A10018" t="str">
        <f>T("   FR")</f>
        <v xml:space="preserve">   FR</v>
      </c>
      <c r="B10018" t="str">
        <f>T("   France")</f>
        <v xml:space="preserve">   France</v>
      </c>
      <c r="C10018">
        <v>2987900</v>
      </c>
      <c r="D10018">
        <v>303</v>
      </c>
    </row>
    <row r="10019" spans="1:4" x14ac:dyDescent="0.25">
      <c r="A10019" t="str">
        <f>T("   LB")</f>
        <v xml:space="preserve">   LB</v>
      </c>
      <c r="B10019" t="str">
        <f>T("   Liban")</f>
        <v xml:space="preserve">   Liban</v>
      </c>
      <c r="C10019">
        <v>121276</v>
      </c>
      <c r="D10019">
        <v>355</v>
      </c>
    </row>
    <row r="10020" spans="1:4" x14ac:dyDescent="0.25">
      <c r="A10020" t="str">
        <f>T("821110")</f>
        <v>821110</v>
      </c>
      <c r="B10020" t="str">
        <f>T("Assortiments de couteaux du n° 8211; assortiments dans lesquels les couteaux du n° 8211 sont plus nombreux que d'autres articles")</f>
        <v>Assortiments de couteaux du n° 8211; assortiments dans lesquels les couteaux du n° 8211 sont plus nombreux que d'autres articles</v>
      </c>
    </row>
    <row r="10021" spans="1:4" x14ac:dyDescent="0.25">
      <c r="A10021" t="str">
        <f>T("   ZZZ_Monde")</f>
        <v xml:space="preserve">   ZZZ_Monde</v>
      </c>
      <c r="B10021" t="str">
        <f>T("   ZZZ_Monde")</f>
        <v xml:space="preserve">   ZZZ_Monde</v>
      </c>
      <c r="C10021">
        <v>290597</v>
      </c>
      <c r="D10021">
        <v>252</v>
      </c>
    </row>
    <row r="10022" spans="1:4" x14ac:dyDescent="0.25">
      <c r="A10022" t="str">
        <f>T("   CN")</f>
        <v xml:space="preserve">   CN</v>
      </c>
      <c r="B10022" t="str">
        <f>T("   Chine")</f>
        <v xml:space="preserve">   Chine</v>
      </c>
      <c r="C10022">
        <v>90597</v>
      </c>
      <c r="D10022">
        <v>152</v>
      </c>
    </row>
    <row r="10023" spans="1:4" x14ac:dyDescent="0.25">
      <c r="A10023" t="str">
        <f>T("   KI")</f>
        <v xml:space="preserve">   KI</v>
      </c>
      <c r="B10023" t="str">
        <f>T("   Kiribati")</f>
        <v xml:space="preserve">   Kiribati</v>
      </c>
      <c r="C10023">
        <v>200000</v>
      </c>
      <c r="D10023">
        <v>100</v>
      </c>
    </row>
    <row r="10024" spans="1:4" x14ac:dyDescent="0.25">
      <c r="A10024" t="str">
        <f>T("821191")</f>
        <v>821191</v>
      </c>
      <c r="B10024" t="str">
        <f>T("Couteaux de table à lame fixe, en métaux communs, y.c. les manches (sauf couteaux à beurre et couteaux à poisson)")</f>
        <v>Couteaux de table à lame fixe, en métaux communs, y.c. les manches (sauf couteaux à beurre et couteaux à poisson)</v>
      </c>
    </row>
    <row r="10025" spans="1:4" x14ac:dyDescent="0.25">
      <c r="A10025" t="str">
        <f>T("   ZZZ_Monde")</f>
        <v xml:space="preserve">   ZZZ_Monde</v>
      </c>
      <c r="B10025" t="str">
        <f>T("   ZZZ_Monde")</f>
        <v xml:space="preserve">   ZZZ_Monde</v>
      </c>
      <c r="C10025">
        <v>11727715</v>
      </c>
      <c r="D10025">
        <v>18844</v>
      </c>
    </row>
    <row r="10026" spans="1:4" x14ac:dyDescent="0.25">
      <c r="A10026" t="str">
        <f>T("   CN")</f>
        <v xml:space="preserve">   CN</v>
      </c>
      <c r="B10026" t="str">
        <f>T("   Chine")</f>
        <v xml:space="preserve">   Chine</v>
      </c>
      <c r="C10026">
        <v>5332212</v>
      </c>
      <c r="D10026">
        <v>15474</v>
      </c>
    </row>
    <row r="10027" spans="1:4" x14ac:dyDescent="0.25">
      <c r="A10027" t="str">
        <f>T("   FR")</f>
        <v xml:space="preserve">   FR</v>
      </c>
      <c r="B10027" t="str">
        <f>T("   France")</f>
        <v xml:space="preserve">   France</v>
      </c>
      <c r="C10027">
        <v>3245689</v>
      </c>
      <c r="D10027">
        <v>2743</v>
      </c>
    </row>
    <row r="10028" spans="1:4" x14ac:dyDescent="0.25">
      <c r="A10028" t="str">
        <f>T("   ZA")</f>
        <v xml:space="preserve">   ZA</v>
      </c>
      <c r="B10028" t="str">
        <f>T("   Afrique du Sud")</f>
        <v xml:space="preserve">   Afrique du Sud</v>
      </c>
      <c r="C10028">
        <v>3149814</v>
      </c>
      <c r="D10028">
        <v>627</v>
      </c>
    </row>
    <row r="10029" spans="1:4" x14ac:dyDescent="0.25">
      <c r="A10029" t="str">
        <f>T("821192")</f>
        <v>821192</v>
      </c>
      <c r="B10029" t="str">
        <f>T("Couteaux à lame fixe en métaux communs (sauf couteaux à foin et à paille, coutelas et machettes, couteaux et lames tranchantes pour machines ou appareils mécaniques, couteaux à poisson, couteaux à beurre, petites et grandes lames de rasoirs et autres cout")</f>
        <v>Couteaux à lame fixe en métaux communs (sauf couteaux à foin et à paille, coutelas et machettes, couteaux et lames tranchantes pour machines ou appareils mécaniques, couteaux à poisson, couteaux à beurre, petites et grandes lames de rasoirs et autres cout</v>
      </c>
    </row>
    <row r="10030" spans="1:4" x14ac:dyDescent="0.25">
      <c r="A10030" t="str">
        <f>T("   ZZZ_Monde")</f>
        <v xml:space="preserve">   ZZZ_Monde</v>
      </c>
      <c r="B10030" t="str">
        <f>T("   ZZZ_Monde")</f>
        <v xml:space="preserve">   ZZZ_Monde</v>
      </c>
      <c r="C10030">
        <v>9735580</v>
      </c>
      <c r="D10030">
        <v>43834</v>
      </c>
    </row>
    <row r="10031" spans="1:4" x14ac:dyDescent="0.25">
      <c r="A10031" t="str">
        <f>T("   CN")</f>
        <v xml:space="preserve">   CN</v>
      </c>
      <c r="B10031" t="str">
        <f>T("   Chine")</f>
        <v xml:space="preserve">   Chine</v>
      </c>
      <c r="C10031">
        <v>9735580</v>
      </c>
      <c r="D10031">
        <v>43834</v>
      </c>
    </row>
    <row r="10032" spans="1:4" x14ac:dyDescent="0.25">
      <c r="A10032" t="str">
        <f>T("821193")</f>
        <v>821193</v>
      </c>
      <c r="B10032" t="str">
        <f>T("Couteaux à lame non fixe, y.c. les serpettes fermantes, en métaux communs (sauf rasoirs à lame)")</f>
        <v>Couteaux à lame non fixe, y.c. les serpettes fermantes, en métaux communs (sauf rasoirs à lame)</v>
      </c>
    </row>
    <row r="10033" spans="1:4" x14ac:dyDescent="0.25">
      <c r="A10033" t="str">
        <f>T("   ZZZ_Monde")</f>
        <v xml:space="preserve">   ZZZ_Monde</v>
      </c>
      <c r="B10033" t="str">
        <f>T("   ZZZ_Monde")</f>
        <v xml:space="preserve">   ZZZ_Monde</v>
      </c>
      <c r="C10033">
        <v>41325</v>
      </c>
      <c r="D10033">
        <v>19</v>
      </c>
    </row>
    <row r="10034" spans="1:4" x14ac:dyDescent="0.25">
      <c r="A10034" t="str">
        <f>T("   FR")</f>
        <v xml:space="preserve">   FR</v>
      </c>
      <c r="B10034" t="str">
        <f>T("   France")</f>
        <v xml:space="preserve">   France</v>
      </c>
      <c r="C10034">
        <v>41325</v>
      </c>
      <c r="D10034">
        <v>19</v>
      </c>
    </row>
    <row r="10035" spans="1:4" x14ac:dyDescent="0.25">
      <c r="A10035" t="str">
        <f>T("821210")</f>
        <v>821210</v>
      </c>
      <c r="B10035" t="str">
        <f>T("Rasoirs et rasoirs de sûreté non-électriques, en métaux communs")</f>
        <v>Rasoirs et rasoirs de sûreté non-électriques, en métaux communs</v>
      </c>
    </row>
    <row r="10036" spans="1:4" x14ac:dyDescent="0.25">
      <c r="A10036" t="str">
        <f>T("   ZZZ_Monde")</f>
        <v xml:space="preserve">   ZZZ_Monde</v>
      </c>
      <c r="B10036" t="str">
        <f>T("   ZZZ_Monde")</f>
        <v xml:space="preserve">   ZZZ_Monde</v>
      </c>
      <c r="C10036">
        <v>17258856</v>
      </c>
      <c r="D10036">
        <v>22715</v>
      </c>
    </row>
    <row r="10037" spans="1:4" x14ac:dyDescent="0.25">
      <c r="A10037" t="str">
        <f>T("   AE")</f>
        <v xml:space="preserve">   AE</v>
      </c>
      <c r="B10037" t="str">
        <f>T("   Emirats Arabes Unis")</f>
        <v xml:space="preserve">   Emirats Arabes Unis</v>
      </c>
      <c r="C10037">
        <v>1487423</v>
      </c>
      <c r="D10037">
        <v>1898</v>
      </c>
    </row>
    <row r="10038" spans="1:4" x14ac:dyDescent="0.25">
      <c r="A10038" t="str">
        <f>T("   FR")</f>
        <v xml:space="preserve">   FR</v>
      </c>
      <c r="B10038" t="str">
        <f>T("   France")</f>
        <v xml:space="preserve">   France</v>
      </c>
      <c r="C10038">
        <v>8497468</v>
      </c>
      <c r="D10038">
        <v>1157</v>
      </c>
    </row>
    <row r="10039" spans="1:4" x14ac:dyDescent="0.25">
      <c r="A10039" t="str">
        <f>T("   GB")</f>
        <v xml:space="preserve">   GB</v>
      </c>
      <c r="B10039" t="str">
        <f>T("   Royaume-Uni")</f>
        <v xml:space="preserve">   Royaume-Uni</v>
      </c>
      <c r="C10039">
        <v>4021</v>
      </c>
      <c r="D10039">
        <v>2</v>
      </c>
    </row>
    <row r="10040" spans="1:4" x14ac:dyDescent="0.25">
      <c r="A10040" t="str">
        <f>T("   GH")</f>
        <v xml:space="preserve">   GH</v>
      </c>
      <c r="B10040" t="str">
        <f>T("   Ghana")</f>
        <v xml:space="preserve">   Ghana</v>
      </c>
      <c r="C10040">
        <v>50000</v>
      </c>
      <c r="D10040">
        <v>800</v>
      </c>
    </row>
    <row r="10041" spans="1:4" x14ac:dyDescent="0.25">
      <c r="A10041" t="str">
        <f>T("   GM")</f>
        <v xml:space="preserve">   GM</v>
      </c>
      <c r="B10041" t="str">
        <f>T("   Gambie")</f>
        <v xml:space="preserve">   Gambie</v>
      </c>
      <c r="C10041">
        <v>224336</v>
      </c>
      <c r="D10041">
        <v>48</v>
      </c>
    </row>
    <row r="10042" spans="1:4" x14ac:dyDescent="0.25">
      <c r="A10042" t="str">
        <f>T("   NG")</f>
        <v xml:space="preserve">   NG</v>
      </c>
      <c r="B10042" t="str">
        <f>T("   Nigéria")</f>
        <v xml:space="preserve">   Nigéria</v>
      </c>
      <c r="C10042">
        <v>180268</v>
      </c>
      <c r="D10042">
        <v>76</v>
      </c>
    </row>
    <row r="10043" spans="1:4" x14ac:dyDescent="0.25">
      <c r="A10043" t="str">
        <f>T("   TG")</f>
        <v xml:space="preserve">   TG</v>
      </c>
      <c r="B10043" t="str">
        <f>T("   Togo")</f>
        <v xml:space="preserve">   Togo</v>
      </c>
      <c r="C10043">
        <v>6815340</v>
      </c>
      <c r="D10043">
        <v>18734</v>
      </c>
    </row>
    <row r="10044" spans="1:4" x14ac:dyDescent="0.25">
      <c r="A10044" t="str">
        <f>T("821220")</f>
        <v>821220</v>
      </c>
      <c r="B10044" t="str">
        <f>T("LAMES DE RASOIRS DE S¹RETÉ, EN MÉTAUX COMMUNS, Y.C. LES ÉBAUCHES EN BANDES")</f>
        <v>LAMES DE RASOIRS DE S¹RETÉ, EN MÉTAUX COMMUNS, Y.C. LES ÉBAUCHES EN BANDES</v>
      </c>
    </row>
    <row r="10045" spans="1:4" x14ac:dyDescent="0.25">
      <c r="A10045" t="str">
        <f>T("   ZZZ_Monde")</f>
        <v xml:space="preserve">   ZZZ_Monde</v>
      </c>
      <c r="B10045" t="str">
        <f>T("   ZZZ_Monde")</f>
        <v xml:space="preserve">   ZZZ_Monde</v>
      </c>
      <c r="C10045">
        <v>190302</v>
      </c>
      <c r="D10045">
        <v>459</v>
      </c>
    </row>
    <row r="10046" spans="1:4" x14ac:dyDescent="0.25">
      <c r="A10046" t="str">
        <f>T("   TR")</f>
        <v xml:space="preserve">   TR</v>
      </c>
      <c r="B10046" t="str">
        <f>T("   Turquie")</f>
        <v xml:space="preserve">   Turquie</v>
      </c>
      <c r="C10046">
        <v>190302</v>
      </c>
      <c r="D10046">
        <v>459</v>
      </c>
    </row>
    <row r="10047" spans="1:4" x14ac:dyDescent="0.25">
      <c r="A10047" t="str">
        <f>T("821300")</f>
        <v>821300</v>
      </c>
      <c r="B10047" t="str">
        <f>T("Ciseaux à doubles branches et leurs lames, en métaux communs (sauf taille-haies, cisailles et articles simil. actionnés des deux mains, sécateurs et articles simil. actionnés d'une main et sauf ciseaux spéciaux de maréchal-ferrant)")</f>
        <v>Ciseaux à doubles branches et leurs lames, en métaux communs (sauf taille-haies, cisailles et articles simil. actionnés des deux mains, sécateurs et articles simil. actionnés d'une main et sauf ciseaux spéciaux de maréchal-ferrant)</v>
      </c>
    </row>
    <row r="10048" spans="1:4" x14ac:dyDescent="0.25">
      <c r="A10048" t="str">
        <f>T("   ZZZ_Monde")</f>
        <v xml:space="preserve">   ZZZ_Monde</v>
      </c>
      <c r="B10048" t="str">
        <f>T("   ZZZ_Monde")</f>
        <v xml:space="preserve">   ZZZ_Monde</v>
      </c>
      <c r="C10048">
        <v>4548261</v>
      </c>
      <c r="D10048">
        <v>4008.6</v>
      </c>
    </row>
    <row r="10049" spans="1:4" x14ac:dyDescent="0.25">
      <c r="A10049" t="str">
        <f>T("   CN")</f>
        <v xml:space="preserve">   CN</v>
      </c>
      <c r="B10049" t="str">
        <f>T("   Chine")</f>
        <v xml:space="preserve">   Chine</v>
      </c>
      <c r="C10049">
        <v>4146421</v>
      </c>
      <c r="D10049">
        <v>3983</v>
      </c>
    </row>
    <row r="10050" spans="1:4" x14ac:dyDescent="0.25">
      <c r="A10050" t="str">
        <f>T("   FR")</f>
        <v xml:space="preserve">   FR</v>
      </c>
      <c r="B10050" t="str">
        <f>T("   France")</f>
        <v xml:space="preserve">   France</v>
      </c>
      <c r="C10050">
        <v>401840</v>
      </c>
      <c r="D10050">
        <v>25.6</v>
      </c>
    </row>
    <row r="10051" spans="1:4" x14ac:dyDescent="0.25">
      <c r="A10051" t="str">
        <f>T("821410")</f>
        <v>821410</v>
      </c>
      <c r="B10051" t="str">
        <f>T("Coupe-papier, ouvre-lettres, grattoirs, taille-crayons et leurs lames, en métaux communs (sauf machines, appareils et instruments à usage similaire du chapitre 84)")</f>
        <v>Coupe-papier, ouvre-lettres, grattoirs, taille-crayons et leurs lames, en métaux communs (sauf machines, appareils et instruments à usage similaire du chapitre 84)</v>
      </c>
    </row>
    <row r="10052" spans="1:4" x14ac:dyDescent="0.25">
      <c r="A10052" t="str">
        <f>T("   ZZZ_Monde")</f>
        <v xml:space="preserve">   ZZZ_Monde</v>
      </c>
      <c r="B10052" t="str">
        <f>T("   ZZZ_Monde")</f>
        <v xml:space="preserve">   ZZZ_Monde</v>
      </c>
      <c r="C10052">
        <v>2469514</v>
      </c>
      <c r="D10052">
        <v>3735</v>
      </c>
    </row>
    <row r="10053" spans="1:4" x14ac:dyDescent="0.25">
      <c r="A10053" t="str">
        <f>T("   CN")</f>
        <v xml:space="preserve">   CN</v>
      </c>
      <c r="B10053" t="str">
        <f>T("   Chine")</f>
        <v xml:space="preserve">   Chine</v>
      </c>
      <c r="C10053">
        <v>482960</v>
      </c>
      <c r="D10053">
        <v>1000</v>
      </c>
    </row>
    <row r="10054" spans="1:4" x14ac:dyDescent="0.25">
      <c r="A10054" t="str">
        <f>T("   FR")</f>
        <v xml:space="preserve">   FR</v>
      </c>
      <c r="B10054" t="str">
        <f>T("   France")</f>
        <v xml:space="preserve">   France</v>
      </c>
      <c r="C10054">
        <v>964498</v>
      </c>
      <c r="D10054">
        <v>1225</v>
      </c>
    </row>
    <row r="10055" spans="1:4" x14ac:dyDescent="0.25">
      <c r="A10055" t="str">
        <f>T("   SG")</f>
        <v xml:space="preserve">   SG</v>
      </c>
      <c r="B10055" t="str">
        <f>T("   Singapour")</f>
        <v xml:space="preserve">   Singapour</v>
      </c>
      <c r="C10055">
        <v>1022056</v>
      </c>
      <c r="D10055">
        <v>1510</v>
      </c>
    </row>
    <row r="10056" spans="1:4" x14ac:dyDescent="0.25">
      <c r="A10056" t="str">
        <f>T("821420")</f>
        <v>821420</v>
      </c>
      <c r="B10056" t="str">
        <f>T("Outils et assortiments d'outils de manucure ou de pédicure, y.c. -les limes à ongles-, en métaux communs (sauf ciseaux ordinaires)")</f>
        <v>Outils et assortiments d'outils de manucure ou de pédicure, y.c. -les limes à ongles-, en métaux communs (sauf ciseaux ordinaires)</v>
      </c>
    </row>
    <row r="10057" spans="1:4" x14ac:dyDescent="0.25">
      <c r="A10057" t="str">
        <f>T("   ZZZ_Monde")</f>
        <v xml:space="preserve">   ZZZ_Monde</v>
      </c>
      <c r="B10057" t="str">
        <f>T("   ZZZ_Monde")</f>
        <v xml:space="preserve">   ZZZ_Monde</v>
      </c>
      <c r="C10057">
        <v>8491657</v>
      </c>
      <c r="D10057">
        <v>1743</v>
      </c>
    </row>
    <row r="10058" spans="1:4" x14ac:dyDescent="0.25">
      <c r="A10058" t="str">
        <f>T("   CN")</f>
        <v xml:space="preserve">   CN</v>
      </c>
      <c r="B10058" t="str">
        <f>T("   Chine")</f>
        <v xml:space="preserve">   Chine</v>
      </c>
      <c r="C10058">
        <v>233869</v>
      </c>
      <c r="D10058">
        <v>850</v>
      </c>
    </row>
    <row r="10059" spans="1:4" x14ac:dyDescent="0.25">
      <c r="A10059" t="str">
        <f>T("   FR")</f>
        <v xml:space="preserve">   FR</v>
      </c>
      <c r="B10059" t="str">
        <f>T("   France")</f>
        <v xml:space="preserve">   France</v>
      </c>
      <c r="C10059">
        <v>8257788</v>
      </c>
      <c r="D10059">
        <v>893</v>
      </c>
    </row>
    <row r="10060" spans="1:4" x14ac:dyDescent="0.25">
      <c r="A10060" t="str">
        <f>T("821490")</f>
        <v>821490</v>
      </c>
      <c r="B10060" t="str">
        <f>T("Tondeuses de coiffeur et autres articles à couper, n.d.a., en métaux communs")</f>
        <v>Tondeuses de coiffeur et autres articles à couper, n.d.a., en métaux communs</v>
      </c>
    </row>
    <row r="10061" spans="1:4" x14ac:dyDescent="0.25">
      <c r="A10061" t="str">
        <f>T("   ZZZ_Monde")</f>
        <v xml:space="preserve">   ZZZ_Monde</v>
      </c>
      <c r="B10061" t="str">
        <f>T("   ZZZ_Monde")</f>
        <v xml:space="preserve">   ZZZ_Monde</v>
      </c>
      <c r="C10061">
        <v>9213913</v>
      </c>
      <c r="D10061">
        <v>26342</v>
      </c>
    </row>
    <row r="10062" spans="1:4" x14ac:dyDescent="0.25">
      <c r="A10062" t="str">
        <f>T("   CN")</f>
        <v xml:space="preserve">   CN</v>
      </c>
      <c r="B10062" t="str">
        <f>T("   Chine")</f>
        <v xml:space="preserve">   Chine</v>
      </c>
      <c r="C10062">
        <v>9144642</v>
      </c>
      <c r="D10062">
        <v>26000</v>
      </c>
    </row>
    <row r="10063" spans="1:4" x14ac:dyDescent="0.25">
      <c r="A10063" t="str">
        <f>T("   FR")</f>
        <v xml:space="preserve">   FR</v>
      </c>
      <c r="B10063" t="str">
        <f>T("   France")</f>
        <v xml:space="preserve">   France</v>
      </c>
      <c r="C10063">
        <v>24271</v>
      </c>
      <c r="D10063">
        <v>42</v>
      </c>
    </row>
    <row r="10064" spans="1:4" x14ac:dyDescent="0.25">
      <c r="A10064" t="str">
        <f>T("   GB")</f>
        <v xml:space="preserve">   GB</v>
      </c>
      <c r="B10064" t="str">
        <f>T("   Royaume-Uni")</f>
        <v xml:space="preserve">   Royaume-Uni</v>
      </c>
      <c r="C10064">
        <v>45000</v>
      </c>
      <c r="D10064">
        <v>300</v>
      </c>
    </row>
    <row r="10065" spans="1:4" x14ac:dyDescent="0.25">
      <c r="A10065" t="str">
        <f>T("821510")</f>
        <v>821510</v>
      </c>
      <c r="B10065" t="str">
        <f>T("Assortiments de cuillers, fourchettes et autres articles du n° n° 8215, même avec couteaux jusqu'à un nombre égal, en métaux communs, comprenant au moins une partie argentée, dorée ou platinée")</f>
        <v>Assortiments de cuillers, fourchettes et autres articles du n° n° 8215, même avec couteaux jusqu'à un nombre égal, en métaux communs, comprenant au moins une partie argentée, dorée ou platinée</v>
      </c>
    </row>
    <row r="10066" spans="1:4" x14ac:dyDescent="0.25">
      <c r="A10066" t="str">
        <f>T("   ZZZ_Monde")</f>
        <v xml:space="preserve">   ZZZ_Monde</v>
      </c>
      <c r="B10066" t="str">
        <f>T("   ZZZ_Monde")</f>
        <v xml:space="preserve">   ZZZ_Monde</v>
      </c>
      <c r="C10066">
        <v>650003</v>
      </c>
      <c r="D10066">
        <v>1100</v>
      </c>
    </row>
    <row r="10067" spans="1:4" x14ac:dyDescent="0.25">
      <c r="A10067" t="str">
        <f>T("   CN")</f>
        <v xml:space="preserve">   CN</v>
      </c>
      <c r="B10067" t="str">
        <f>T("   Chine")</f>
        <v xml:space="preserve">   Chine</v>
      </c>
      <c r="C10067">
        <v>650003</v>
      </c>
      <c r="D10067">
        <v>1100</v>
      </c>
    </row>
    <row r="10068" spans="1:4" x14ac:dyDescent="0.25">
      <c r="A10068" t="str">
        <f>T("821520")</f>
        <v>821520</v>
      </c>
      <c r="B10068" t="str">
        <f>T("ASSORTIMENTS COMPOSÉS D'UN OU PLUSIEURS COUTEAUX DU N° 8211 ET D'UN NOMBRE AU MOINS ÉGAL DE CUILLERS, FOURCHETTES OU AUTRES ARTICLES DU N° N° 8215, EN MÉTAUX COMMUNS, NE COMPRENANT AUCUNE PARTIE ARGENTÉE, DORÉE OU PLATINÉE")</f>
        <v>ASSORTIMENTS COMPOSÉS D'UN OU PLUSIEURS COUTEAUX DU N° 8211 ET D'UN NOMBRE AU MOINS ÉGAL DE CUILLERS, FOURCHETTES OU AUTRES ARTICLES DU N° N° 8215, EN MÉTAUX COMMUNS, NE COMPRENANT AUCUNE PARTIE ARGENTÉE, DORÉE OU PLATINÉE</v>
      </c>
    </row>
    <row r="10069" spans="1:4" x14ac:dyDescent="0.25">
      <c r="A10069" t="str">
        <f>T("   ZZZ_Monde")</f>
        <v xml:space="preserve">   ZZZ_Monde</v>
      </c>
      <c r="B10069" t="str">
        <f>T("   ZZZ_Monde")</f>
        <v xml:space="preserve">   ZZZ_Monde</v>
      </c>
      <c r="C10069">
        <v>5206807</v>
      </c>
      <c r="D10069">
        <v>3178</v>
      </c>
    </row>
    <row r="10070" spans="1:4" x14ac:dyDescent="0.25">
      <c r="A10070" t="str">
        <f>T("   AE")</f>
        <v xml:space="preserve">   AE</v>
      </c>
      <c r="B10070" t="str">
        <f>T("   Emirats Arabes Unis")</f>
        <v xml:space="preserve">   Emirats Arabes Unis</v>
      </c>
      <c r="C10070">
        <v>214749</v>
      </c>
      <c r="D10070">
        <v>135</v>
      </c>
    </row>
    <row r="10071" spans="1:4" x14ac:dyDescent="0.25">
      <c r="A10071" t="str">
        <f>T("   CN")</f>
        <v xml:space="preserve">   CN</v>
      </c>
      <c r="B10071" t="str">
        <f>T("   Chine")</f>
        <v xml:space="preserve">   Chine</v>
      </c>
      <c r="C10071">
        <v>1603113</v>
      </c>
      <c r="D10071">
        <v>1685</v>
      </c>
    </row>
    <row r="10072" spans="1:4" x14ac:dyDescent="0.25">
      <c r="A10072" t="str">
        <f>T("   FR")</f>
        <v xml:space="preserve">   FR</v>
      </c>
      <c r="B10072" t="str">
        <f>T("   France")</f>
        <v xml:space="preserve">   France</v>
      </c>
      <c r="C10072">
        <v>3388945</v>
      </c>
      <c r="D10072">
        <v>1358</v>
      </c>
    </row>
    <row r="10073" spans="1:4" x14ac:dyDescent="0.25">
      <c r="A10073" t="str">
        <f>T("821599")</f>
        <v>821599</v>
      </c>
      <c r="B10073" t="str">
        <f>T("Cuillers, fourchettes, louches, écumoires, pelles à tartes, couteaux spéciaux à poisson ou à beurre, pinces à sucre et articles simil., en métaux communs, ni argentés, ni dorés, ni platinés (sauf en assortiments et sauf cisailles à volaille et à homards)")</f>
        <v>Cuillers, fourchettes, louches, écumoires, pelles à tartes, couteaux spéciaux à poisson ou à beurre, pinces à sucre et articles simil., en métaux communs, ni argentés, ni dorés, ni platinés (sauf en assortiments et sauf cisailles à volaille et à homards)</v>
      </c>
    </row>
    <row r="10074" spans="1:4" x14ac:dyDescent="0.25">
      <c r="A10074" t="str">
        <f>T("   ZZZ_Monde")</f>
        <v xml:space="preserve">   ZZZ_Monde</v>
      </c>
      <c r="B10074" t="str">
        <f>T("   ZZZ_Monde")</f>
        <v xml:space="preserve">   ZZZ_Monde</v>
      </c>
      <c r="C10074">
        <v>131292956</v>
      </c>
      <c r="D10074">
        <v>384690.61</v>
      </c>
    </row>
    <row r="10075" spans="1:4" x14ac:dyDescent="0.25">
      <c r="A10075" t="str">
        <f>T("   BE")</f>
        <v xml:space="preserve">   BE</v>
      </c>
      <c r="B10075" t="str">
        <f>T("   Belgique")</f>
        <v xml:space="preserve">   Belgique</v>
      </c>
      <c r="C10075">
        <v>446582</v>
      </c>
      <c r="D10075">
        <v>550</v>
      </c>
    </row>
    <row r="10076" spans="1:4" x14ac:dyDescent="0.25">
      <c r="A10076" t="str">
        <f>T("   CN")</f>
        <v xml:space="preserve">   CN</v>
      </c>
      <c r="B10076" t="str">
        <f>T("   Chine")</f>
        <v xml:space="preserve">   Chine</v>
      </c>
      <c r="C10076">
        <v>35959156</v>
      </c>
      <c r="D10076">
        <v>142821</v>
      </c>
    </row>
    <row r="10077" spans="1:4" x14ac:dyDescent="0.25">
      <c r="A10077" t="str">
        <f>T("   DK")</f>
        <v xml:space="preserve">   DK</v>
      </c>
      <c r="B10077" t="str">
        <f>T("   Danemark")</f>
        <v xml:space="preserve">   Danemark</v>
      </c>
      <c r="C10077">
        <v>5157054</v>
      </c>
      <c r="D10077">
        <v>4200</v>
      </c>
    </row>
    <row r="10078" spans="1:4" x14ac:dyDescent="0.25">
      <c r="A10078" t="str">
        <f>T("   FR")</f>
        <v xml:space="preserve">   FR</v>
      </c>
      <c r="B10078" t="str">
        <f>T("   France")</f>
        <v xml:space="preserve">   France</v>
      </c>
      <c r="C10078">
        <v>3533282</v>
      </c>
      <c r="D10078">
        <v>687</v>
      </c>
    </row>
    <row r="10079" spans="1:4" x14ac:dyDescent="0.25">
      <c r="A10079" t="str">
        <f>T("   NG")</f>
        <v xml:space="preserve">   NG</v>
      </c>
      <c r="B10079" t="str">
        <f>T("   Nigéria")</f>
        <v xml:space="preserve">   Nigéria</v>
      </c>
      <c r="C10079">
        <v>82744400</v>
      </c>
      <c r="D10079">
        <v>235110</v>
      </c>
    </row>
    <row r="10080" spans="1:4" x14ac:dyDescent="0.25">
      <c r="A10080" t="str">
        <f>T("   TG")</f>
        <v xml:space="preserve">   TG</v>
      </c>
      <c r="B10080" t="str">
        <f>T("   Togo")</f>
        <v xml:space="preserve">   Togo</v>
      </c>
      <c r="C10080">
        <v>254264</v>
      </c>
      <c r="D10080">
        <v>1048</v>
      </c>
    </row>
    <row r="10081" spans="1:4" x14ac:dyDescent="0.25">
      <c r="A10081" t="str">
        <f>T("   US")</f>
        <v xml:space="preserve">   US</v>
      </c>
      <c r="B10081" t="str">
        <f>T("   Etats-Unis")</f>
        <v xml:space="preserve">   Etats-Unis</v>
      </c>
      <c r="C10081">
        <v>3030283</v>
      </c>
      <c r="D10081">
        <v>178</v>
      </c>
    </row>
    <row r="10082" spans="1:4" x14ac:dyDescent="0.25">
      <c r="A10082" t="str">
        <f>T("   ZA")</f>
        <v xml:space="preserve">   ZA</v>
      </c>
      <c r="B10082" t="str">
        <f>T("   Afrique du Sud")</f>
        <v xml:space="preserve">   Afrique du Sud</v>
      </c>
      <c r="C10082">
        <v>167935</v>
      </c>
      <c r="D10082">
        <v>96.61</v>
      </c>
    </row>
    <row r="10083" spans="1:4" x14ac:dyDescent="0.25">
      <c r="A10083" t="str">
        <f>T("830110")</f>
        <v>830110</v>
      </c>
      <c r="B10083" t="str">
        <f>T("Cadenas, en métaux communs")</f>
        <v>Cadenas, en métaux communs</v>
      </c>
    </row>
    <row r="10084" spans="1:4" x14ac:dyDescent="0.25">
      <c r="A10084" t="str">
        <f>T("   ZZZ_Monde")</f>
        <v xml:space="preserve">   ZZZ_Monde</v>
      </c>
      <c r="B10084" t="str">
        <f>T("   ZZZ_Monde")</f>
        <v xml:space="preserve">   ZZZ_Monde</v>
      </c>
      <c r="C10084">
        <v>76689582</v>
      </c>
      <c r="D10084">
        <v>44618</v>
      </c>
    </row>
    <row r="10085" spans="1:4" x14ac:dyDescent="0.25">
      <c r="A10085" t="str">
        <f>T("   CN")</f>
        <v xml:space="preserve">   CN</v>
      </c>
      <c r="B10085" t="str">
        <f>T("   Chine")</f>
        <v xml:space="preserve">   Chine</v>
      </c>
      <c r="C10085">
        <v>9983070</v>
      </c>
      <c r="D10085">
        <v>37673</v>
      </c>
    </row>
    <row r="10086" spans="1:4" x14ac:dyDescent="0.25">
      <c r="A10086" t="str">
        <f>T("   FR")</f>
        <v xml:space="preserve">   FR</v>
      </c>
      <c r="B10086" t="str">
        <f>T("   France")</f>
        <v xml:space="preserve">   France</v>
      </c>
      <c r="C10086">
        <v>66706512</v>
      </c>
      <c r="D10086">
        <v>6945</v>
      </c>
    </row>
    <row r="10087" spans="1:4" x14ac:dyDescent="0.25">
      <c r="A10087" t="str">
        <f>T("830120")</f>
        <v>830120</v>
      </c>
      <c r="B10087" t="str">
        <f>T("Serrures des types utilisés pour véhicules automobiles, en métaux communs")</f>
        <v>Serrures des types utilisés pour véhicules automobiles, en métaux communs</v>
      </c>
    </row>
    <row r="10088" spans="1:4" x14ac:dyDescent="0.25">
      <c r="A10088" t="str">
        <f>T("   ZZZ_Monde")</f>
        <v xml:space="preserve">   ZZZ_Monde</v>
      </c>
      <c r="B10088" t="str">
        <f>T("   ZZZ_Monde")</f>
        <v xml:space="preserve">   ZZZ_Monde</v>
      </c>
      <c r="C10088">
        <v>5160957</v>
      </c>
      <c r="D10088">
        <v>2508.75</v>
      </c>
    </row>
    <row r="10089" spans="1:4" x14ac:dyDescent="0.25">
      <c r="A10089" t="str">
        <f>T("   CN")</f>
        <v xml:space="preserve">   CN</v>
      </c>
      <c r="B10089" t="str">
        <f>T("   Chine")</f>
        <v xml:space="preserve">   Chine</v>
      </c>
      <c r="C10089">
        <v>100810</v>
      </c>
      <c r="D10089">
        <v>2400</v>
      </c>
    </row>
    <row r="10090" spans="1:4" x14ac:dyDescent="0.25">
      <c r="A10090" t="str">
        <f>T("   FR")</f>
        <v xml:space="preserve">   FR</v>
      </c>
      <c r="B10090" t="str">
        <f>T("   France")</f>
        <v xml:space="preserve">   France</v>
      </c>
      <c r="C10090">
        <v>4942245</v>
      </c>
      <c r="D10090">
        <v>108</v>
      </c>
    </row>
    <row r="10091" spans="1:4" x14ac:dyDescent="0.25">
      <c r="A10091" t="str">
        <f>T("   JP")</f>
        <v xml:space="preserve">   JP</v>
      </c>
      <c r="B10091" t="str">
        <f>T("   Japon")</f>
        <v xml:space="preserve">   Japon</v>
      </c>
      <c r="C10091">
        <v>117902</v>
      </c>
      <c r="D10091">
        <v>0.75</v>
      </c>
    </row>
    <row r="10092" spans="1:4" x14ac:dyDescent="0.25">
      <c r="A10092" t="str">
        <f>T("830130")</f>
        <v>830130</v>
      </c>
      <c r="B10092" t="str">
        <f>T("Serrures des types utilisés pour meubles, en métaux communs")</f>
        <v>Serrures des types utilisés pour meubles, en métaux communs</v>
      </c>
    </row>
    <row r="10093" spans="1:4" x14ac:dyDescent="0.25">
      <c r="A10093" t="str">
        <f>T("   ZZZ_Monde")</f>
        <v xml:space="preserve">   ZZZ_Monde</v>
      </c>
      <c r="B10093" t="str">
        <f>T("   ZZZ_Monde")</f>
        <v xml:space="preserve">   ZZZ_Monde</v>
      </c>
      <c r="C10093">
        <v>8801002</v>
      </c>
      <c r="D10093">
        <v>5762</v>
      </c>
    </row>
    <row r="10094" spans="1:4" x14ac:dyDescent="0.25">
      <c r="A10094" t="str">
        <f>T("   CN")</f>
        <v xml:space="preserve">   CN</v>
      </c>
      <c r="B10094" t="str">
        <f>T("   Chine")</f>
        <v xml:space="preserve">   Chine</v>
      </c>
      <c r="C10094">
        <v>3377951</v>
      </c>
      <c r="D10094">
        <v>4490</v>
      </c>
    </row>
    <row r="10095" spans="1:4" x14ac:dyDescent="0.25">
      <c r="A10095" t="str">
        <f>T("   ES")</f>
        <v xml:space="preserve">   ES</v>
      </c>
      <c r="B10095" t="str">
        <f>T("   Espagne")</f>
        <v xml:space="preserve">   Espagne</v>
      </c>
      <c r="C10095">
        <v>511648</v>
      </c>
      <c r="D10095">
        <v>660</v>
      </c>
    </row>
    <row r="10096" spans="1:4" x14ac:dyDescent="0.25">
      <c r="A10096" t="str">
        <f>T("   FR")</f>
        <v xml:space="preserve">   FR</v>
      </c>
      <c r="B10096" t="str">
        <f>T("   France")</f>
        <v xml:space="preserve">   France</v>
      </c>
      <c r="C10096">
        <v>740579</v>
      </c>
      <c r="D10096">
        <v>300</v>
      </c>
    </row>
    <row r="10097" spans="1:4" x14ac:dyDescent="0.25">
      <c r="A10097" t="str">
        <f>T("   IT")</f>
        <v xml:space="preserve">   IT</v>
      </c>
      <c r="B10097" t="str">
        <f>T("   Italie")</f>
        <v xml:space="preserve">   Italie</v>
      </c>
      <c r="C10097">
        <v>4170824</v>
      </c>
      <c r="D10097">
        <v>312</v>
      </c>
    </row>
    <row r="10098" spans="1:4" x14ac:dyDescent="0.25">
      <c r="A10098" t="str">
        <f>T("830140")</f>
        <v>830140</v>
      </c>
      <c r="B10098" t="str">
        <f>T("Serrures et verrous, en métaux communs (autres que cadenas et serrures des types utilisés pour véhicules automobiles ou meubles)")</f>
        <v>Serrures et verrous, en métaux communs (autres que cadenas et serrures des types utilisés pour véhicules automobiles ou meubles)</v>
      </c>
    </row>
    <row r="10099" spans="1:4" x14ac:dyDescent="0.25">
      <c r="A10099" t="str">
        <f>T("   ZZZ_Monde")</f>
        <v xml:space="preserve">   ZZZ_Monde</v>
      </c>
      <c r="B10099" t="str">
        <f>T("   ZZZ_Monde")</f>
        <v xml:space="preserve">   ZZZ_Monde</v>
      </c>
      <c r="C10099">
        <v>335587346</v>
      </c>
      <c r="D10099">
        <v>781381</v>
      </c>
    </row>
    <row r="10100" spans="1:4" x14ac:dyDescent="0.25">
      <c r="A10100" t="str">
        <f>T("   BE")</f>
        <v xml:space="preserve">   BE</v>
      </c>
      <c r="B10100" t="str">
        <f>T("   Belgique")</f>
        <v xml:space="preserve">   Belgique</v>
      </c>
      <c r="C10100">
        <v>135784</v>
      </c>
      <c r="D10100">
        <v>79</v>
      </c>
    </row>
    <row r="10101" spans="1:4" x14ac:dyDescent="0.25">
      <c r="A10101" t="str">
        <f>T("   CA")</f>
        <v xml:space="preserve">   CA</v>
      </c>
      <c r="B10101" t="str">
        <f>T("   Canada")</f>
        <v xml:space="preserve">   Canada</v>
      </c>
      <c r="C10101">
        <v>9739716</v>
      </c>
      <c r="D10101">
        <v>122</v>
      </c>
    </row>
    <row r="10102" spans="1:4" x14ac:dyDescent="0.25">
      <c r="A10102" t="str">
        <f>T("   CN")</f>
        <v xml:space="preserve">   CN</v>
      </c>
      <c r="B10102" t="str">
        <f>T("   Chine")</f>
        <v xml:space="preserve">   Chine</v>
      </c>
      <c r="C10102">
        <v>213468346</v>
      </c>
      <c r="D10102">
        <v>672080</v>
      </c>
    </row>
    <row r="10103" spans="1:4" x14ac:dyDescent="0.25">
      <c r="A10103" t="str">
        <f>T("   ES")</f>
        <v xml:space="preserve">   ES</v>
      </c>
      <c r="B10103" t="str">
        <f>T("   Espagne")</f>
        <v xml:space="preserve">   Espagne</v>
      </c>
      <c r="C10103">
        <v>2838995</v>
      </c>
      <c r="D10103">
        <v>535</v>
      </c>
    </row>
    <row r="10104" spans="1:4" x14ac:dyDescent="0.25">
      <c r="A10104" t="str">
        <f>T("   FR")</f>
        <v xml:space="preserve">   FR</v>
      </c>
      <c r="B10104" t="str">
        <f>T("   France")</f>
        <v xml:space="preserve">   France</v>
      </c>
      <c r="C10104">
        <v>91211969</v>
      </c>
      <c r="D10104">
        <v>13214</v>
      </c>
    </row>
    <row r="10105" spans="1:4" x14ac:dyDescent="0.25">
      <c r="A10105" t="str">
        <f>T("   GH")</f>
        <v xml:space="preserve">   GH</v>
      </c>
      <c r="B10105" t="str">
        <f>T("   Ghana")</f>
        <v xml:space="preserve">   Ghana</v>
      </c>
      <c r="C10105">
        <v>3000000</v>
      </c>
      <c r="D10105">
        <v>16000</v>
      </c>
    </row>
    <row r="10106" spans="1:4" x14ac:dyDescent="0.25">
      <c r="A10106" t="str">
        <f>T("   HK")</f>
        <v xml:space="preserve">   HK</v>
      </c>
      <c r="B10106" t="str">
        <f>T("   Hong-Kong")</f>
        <v xml:space="preserve">   Hong-Kong</v>
      </c>
      <c r="C10106">
        <v>104420</v>
      </c>
      <c r="D10106">
        <v>20</v>
      </c>
    </row>
    <row r="10107" spans="1:4" x14ac:dyDescent="0.25">
      <c r="A10107" t="str">
        <f>T("   LB")</f>
        <v xml:space="preserve">   LB</v>
      </c>
      <c r="B10107" t="str">
        <f>T("   Liban")</f>
        <v xml:space="preserve">   Liban</v>
      </c>
      <c r="C10107">
        <v>111152</v>
      </c>
      <c r="D10107">
        <v>528</v>
      </c>
    </row>
    <row r="10108" spans="1:4" x14ac:dyDescent="0.25">
      <c r="A10108" t="str">
        <f>T("   NL")</f>
        <v xml:space="preserve">   NL</v>
      </c>
      <c r="B10108" t="str">
        <f>T("   Pays-bas")</f>
        <v xml:space="preserve">   Pays-bas</v>
      </c>
      <c r="C10108">
        <v>64730</v>
      </c>
      <c r="D10108">
        <v>31</v>
      </c>
    </row>
    <row r="10109" spans="1:4" x14ac:dyDescent="0.25">
      <c r="A10109" t="str">
        <f>T("   TG")</f>
        <v xml:space="preserve">   TG</v>
      </c>
      <c r="B10109" t="str">
        <f>T("   Togo")</f>
        <v xml:space="preserve">   Togo</v>
      </c>
      <c r="C10109">
        <v>11255928</v>
      </c>
      <c r="D10109">
        <v>77530</v>
      </c>
    </row>
    <row r="10110" spans="1:4" x14ac:dyDescent="0.25">
      <c r="A10110" t="str">
        <f>T("   US")</f>
        <v xml:space="preserve">   US</v>
      </c>
      <c r="B10110" t="str">
        <f>T("   Etats-Unis")</f>
        <v xml:space="preserve">   Etats-Unis</v>
      </c>
      <c r="C10110">
        <v>1598568</v>
      </c>
      <c r="D10110">
        <v>1200</v>
      </c>
    </row>
    <row r="10111" spans="1:4" x14ac:dyDescent="0.25">
      <c r="A10111" t="str">
        <f>T("   ZA")</f>
        <v xml:space="preserve">   ZA</v>
      </c>
      <c r="B10111" t="str">
        <f>T("   Afrique du Sud")</f>
        <v xml:space="preserve">   Afrique du Sud</v>
      </c>
      <c r="C10111">
        <v>2057738</v>
      </c>
      <c r="D10111">
        <v>42</v>
      </c>
    </row>
    <row r="10112" spans="1:4" x14ac:dyDescent="0.25">
      <c r="A10112" t="str">
        <f>T("830160")</f>
        <v>830160</v>
      </c>
      <c r="B10112" t="str">
        <f>T("Parties des cadenas, serrures et verrous, ainsi que des fermoirs et montures-fermoirs, avec serrure, en métaux communs, n.d.a.")</f>
        <v>Parties des cadenas, serrures et verrous, ainsi que des fermoirs et montures-fermoirs, avec serrure, en métaux communs, n.d.a.</v>
      </c>
    </row>
    <row r="10113" spans="1:4" x14ac:dyDescent="0.25">
      <c r="A10113" t="str">
        <f>T("   ZZZ_Monde")</f>
        <v xml:space="preserve">   ZZZ_Monde</v>
      </c>
      <c r="B10113" t="str">
        <f>T("   ZZZ_Monde")</f>
        <v xml:space="preserve">   ZZZ_Monde</v>
      </c>
      <c r="C10113">
        <v>84879945</v>
      </c>
      <c r="D10113">
        <v>21156</v>
      </c>
    </row>
    <row r="10114" spans="1:4" x14ac:dyDescent="0.25">
      <c r="A10114" t="str">
        <f>T("   CN")</f>
        <v xml:space="preserve">   CN</v>
      </c>
      <c r="B10114" t="str">
        <f>T("   Chine")</f>
        <v xml:space="preserve">   Chine</v>
      </c>
      <c r="C10114">
        <v>3658322</v>
      </c>
      <c r="D10114">
        <v>15628</v>
      </c>
    </row>
    <row r="10115" spans="1:4" x14ac:dyDescent="0.25">
      <c r="A10115" t="str">
        <f>T("   FI")</f>
        <v xml:space="preserve">   FI</v>
      </c>
      <c r="B10115" t="str">
        <f>T("   Finlande")</f>
        <v xml:space="preserve">   Finlande</v>
      </c>
      <c r="C10115">
        <v>5340170</v>
      </c>
      <c r="D10115">
        <v>13</v>
      </c>
    </row>
    <row r="10116" spans="1:4" x14ac:dyDescent="0.25">
      <c r="A10116" t="str">
        <f>T("   FR")</f>
        <v xml:space="preserve">   FR</v>
      </c>
      <c r="B10116" t="str">
        <f>T("   France")</f>
        <v xml:space="preserve">   France</v>
      </c>
      <c r="C10116">
        <v>75881453</v>
      </c>
      <c r="D10116">
        <v>5515</v>
      </c>
    </row>
    <row r="10117" spans="1:4" x14ac:dyDescent="0.25">
      <c r="A10117" t="str">
        <f>T("830170")</f>
        <v>830170</v>
      </c>
      <c r="B10117" t="str">
        <f>T("Clefs présentées isolément, pour cadenas, serrures et verrous, ainsi que pour fermoirs et montures-fermoirs avec serrure, en métaux communs")</f>
        <v>Clefs présentées isolément, pour cadenas, serrures et verrous, ainsi que pour fermoirs et montures-fermoirs avec serrure, en métaux communs</v>
      </c>
    </row>
    <row r="10118" spans="1:4" x14ac:dyDescent="0.25">
      <c r="A10118" t="str">
        <f>T("   ZZZ_Monde")</f>
        <v xml:space="preserve">   ZZZ_Monde</v>
      </c>
      <c r="B10118" t="str">
        <f>T("   ZZZ_Monde")</f>
        <v xml:space="preserve">   ZZZ_Monde</v>
      </c>
      <c r="C10118">
        <v>3827665</v>
      </c>
      <c r="D10118">
        <v>1475.25</v>
      </c>
    </row>
    <row r="10119" spans="1:4" x14ac:dyDescent="0.25">
      <c r="A10119" t="str">
        <f>T("   BE")</f>
        <v xml:space="preserve">   BE</v>
      </c>
      <c r="B10119" t="str">
        <f>T("   Belgique")</f>
        <v xml:space="preserve">   Belgique</v>
      </c>
      <c r="C10119">
        <v>133160</v>
      </c>
      <c r="D10119">
        <v>0.25</v>
      </c>
    </row>
    <row r="10120" spans="1:4" x14ac:dyDescent="0.25">
      <c r="A10120" t="str">
        <f>T("   CN")</f>
        <v xml:space="preserve">   CN</v>
      </c>
      <c r="B10120" t="str">
        <f>T("   Chine")</f>
        <v xml:space="preserve">   Chine</v>
      </c>
      <c r="C10120">
        <v>780075</v>
      </c>
      <c r="D10120">
        <v>1425</v>
      </c>
    </row>
    <row r="10121" spans="1:4" x14ac:dyDescent="0.25">
      <c r="A10121" t="str">
        <f>T("   FI")</f>
        <v xml:space="preserve">   FI</v>
      </c>
      <c r="B10121" t="str">
        <f>T("   Finlande")</f>
        <v xml:space="preserve">   Finlande</v>
      </c>
      <c r="C10121">
        <v>2062994</v>
      </c>
      <c r="D10121">
        <v>6</v>
      </c>
    </row>
    <row r="10122" spans="1:4" x14ac:dyDescent="0.25">
      <c r="A10122" t="str">
        <f>T("   FR")</f>
        <v xml:space="preserve">   FR</v>
      </c>
      <c r="B10122" t="str">
        <f>T("   France")</f>
        <v xml:space="preserve">   France</v>
      </c>
      <c r="C10122">
        <v>851436</v>
      </c>
      <c r="D10122">
        <v>44</v>
      </c>
    </row>
    <row r="10123" spans="1:4" x14ac:dyDescent="0.25">
      <c r="A10123" t="str">
        <f>T("830210")</f>
        <v>830210</v>
      </c>
      <c r="B10123" t="str">
        <f>T("Charnières de tous genres, y.c. les paumelles et pentures, en métaux communs")</f>
        <v>Charnières de tous genres, y.c. les paumelles et pentures, en métaux communs</v>
      </c>
    </row>
    <row r="10124" spans="1:4" x14ac:dyDescent="0.25">
      <c r="A10124" t="str">
        <f>T("   ZZZ_Monde")</f>
        <v xml:space="preserve">   ZZZ_Monde</v>
      </c>
      <c r="B10124" t="str">
        <f>T("   ZZZ_Monde")</f>
        <v xml:space="preserve">   ZZZ_Monde</v>
      </c>
      <c r="C10124">
        <v>34226807</v>
      </c>
      <c r="D10124">
        <v>46082.8</v>
      </c>
    </row>
    <row r="10125" spans="1:4" x14ac:dyDescent="0.25">
      <c r="A10125" t="str">
        <f>T("   AT")</f>
        <v xml:space="preserve">   AT</v>
      </c>
      <c r="B10125" t="str">
        <f>T("   Autriche")</f>
        <v xml:space="preserve">   Autriche</v>
      </c>
      <c r="C10125">
        <v>1714194</v>
      </c>
      <c r="D10125">
        <v>59.8</v>
      </c>
    </row>
    <row r="10126" spans="1:4" x14ac:dyDescent="0.25">
      <c r="A10126" t="str">
        <f>T("   CN")</f>
        <v xml:space="preserve">   CN</v>
      </c>
      <c r="B10126" t="str">
        <f>T("   Chine")</f>
        <v xml:space="preserve">   Chine</v>
      </c>
      <c r="C10126">
        <v>10692306</v>
      </c>
      <c r="D10126">
        <v>22649</v>
      </c>
    </row>
    <row r="10127" spans="1:4" x14ac:dyDescent="0.25">
      <c r="A10127" t="str">
        <f>T("   ES")</f>
        <v xml:space="preserve">   ES</v>
      </c>
      <c r="B10127" t="str">
        <f>T("   Espagne")</f>
        <v xml:space="preserve">   Espagne</v>
      </c>
      <c r="C10127">
        <v>3286360</v>
      </c>
      <c r="D10127">
        <v>619</v>
      </c>
    </row>
    <row r="10128" spans="1:4" x14ac:dyDescent="0.25">
      <c r="A10128" t="str">
        <f>T("   FR")</f>
        <v xml:space="preserve">   FR</v>
      </c>
      <c r="B10128" t="str">
        <f>T("   France")</f>
        <v xml:space="preserve">   France</v>
      </c>
      <c r="C10128">
        <v>12139909</v>
      </c>
      <c r="D10128">
        <v>1969</v>
      </c>
    </row>
    <row r="10129" spans="1:4" x14ac:dyDescent="0.25">
      <c r="A10129" t="str">
        <f>T("   LB")</f>
        <v xml:space="preserve">   LB</v>
      </c>
      <c r="B10129" t="str">
        <f>T("   Liban")</f>
        <v xml:space="preserve">   Liban</v>
      </c>
      <c r="C10129">
        <v>744430</v>
      </c>
      <c r="D10129">
        <v>1549</v>
      </c>
    </row>
    <row r="10130" spans="1:4" x14ac:dyDescent="0.25">
      <c r="A10130" t="str">
        <f>T("   NL")</f>
        <v xml:space="preserve">   NL</v>
      </c>
      <c r="B10130" t="str">
        <f>T("   Pays-bas")</f>
        <v xml:space="preserve">   Pays-bas</v>
      </c>
      <c r="C10130">
        <v>82159</v>
      </c>
      <c r="D10130">
        <v>39</v>
      </c>
    </row>
    <row r="10131" spans="1:4" x14ac:dyDescent="0.25">
      <c r="A10131" t="str">
        <f>T("   TG")</f>
        <v xml:space="preserve">   TG</v>
      </c>
      <c r="B10131" t="str">
        <f>T("   Togo")</f>
        <v xml:space="preserve">   Togo</v>
      </c>
      <c r="C10131">
        <v>135445</v>
      </c>
      <c r="D10131">
        <v>2745</v>
      </c>
    </row>
    <row r="10132" spans="1:4" x14ac:dyDescent="0.25">
      <c r="A10132" t="str">
        <f>T("   TN")</f>
        <v xml:space="preserve">   TN</v>
      </c>
      <c r="B10132" t="str">
        <f>T("   Tunisie")</f>
        <v xml:space="preserve">   Tunisie</v>
      </c>
      <c r="C10132">
        <v>5432004</v>
      </c>
      <c r="D10132">
        <v>16453</v>
      </c>
    </row>
    <row r="10133" spans="1:4" x14ac:dyDescent="0.25">
      <c r="A10133" t="str">
        <f>T("830220")</f>
        <v>830220</v>
      </c>
      <c r="B10133" t="str">
        <f>T("Roulettes avec monture en métaux communs")</f>
        <v>Roulettes avec monture en métaux communs</v>
      </c>
    </row>
    <row r="10134" spans="1:4" x14ac:dyDescent="0.25">
      <c r="A10134" t="str">
        <f>T("   ZZZ_Monde")</f>
        <v xml:space="preserve">   ZZZ_Monde</v>
      </c>
      <c r="B10134" t="str">
        <f>T("   ZZZ_Monde")</f>
        <v xml:space="preserve">   ZZZ_Monde</v>
      </c>
      <c r="C10134">
        <v>7372716</v>
      </c>
      <c r="D10134">
        <v>8961</v>
      </c>
    </row>
    <row r="10135" spans="1:4" x14ac:dyDescent="0.25">
      <c r="A10135" t="str">
        <f>T("   CN")</f>
        <v xml:space="preserve">   CN</v>
      </c>
      <c r="B10135" t="str">
        <f>T("   Chine")</f>
        <v xml:space="preserve">   Chine</v>
      </c>
      <c r="C10135">
        <v>977395</v>
      </c>
      <c r="D10135">
        <v>8102</v>
      </c>
    </row>
    <row r="10136" spans="1:4" x14ac:dyDescent="0.25">
      <c r="A10136" t="str">
        <f>T("   FR")</f>
        <v xml:space="preserve">   FR</v>
      </c>
      <c r="B10136" t="str">
        <f>T("   France")</f>
        <v xml:space="preserve">   France</v>
      </c>
      <c r="C10136">
        <v>6395321</v>
      </c>
      <c r="D10136">
        <v>859</v>
      </c>
    </row>
    <row r="10137" spans="1:4" x14ac:dyDescent="0.25">
      <c r="A10137" t="str">
        <f>T("830230")</f>
        <v>830230</v>
      </c>
      <c r="B10137" t="str">
        <f>T("Garnitures, ferrures et simil. en métaux communs, pour véhicules automobiles (sauf charnières et serrures)")</f>
        <v>Garnitures, ferrures et simil. en métaux communs, pour véhicules automobiles (sauf charnières et serrures)</v>
      </c>
    </row>
    <row r="10138" spans="1:4" x14ac:dyDescent="0.25">
      <c r="A10138" t="str">
        <f>T("   ZZZ_Monde")</f>
        <v xml:space="preserve">   ZZZ_Monde</v>
      </c>
      <c r="B10138" t="str">
        <f>T("   ZZZ_Monde")</f>
        <v xml:space="preserve">   ZZZ_Monde</v>
      </c>
      <c r="C10138">
        <v>581325</v>
      </c>
      <c r="D10138">
        <v>10.25</v>
      </c>
    </row>
    <row r="10139" spans="1:4" x14ac:dyDescent="0.25">
      <c r="A10139" t="str">
        <f>T("   FR")</f>
        <v xml:space="preserve">   FR</v>
      </c>
      <c r="B10139" t="str">
        <f>T("   France")</f>
        <v xml:space="preserve">   France</v>
      </c>
      <c r="C10139">
        <v>565575</v>
      </c>
      <c r="D10139">
        <v>10</v>
      </c>
    </row>
    <row r="10140" spans="1:4" x14ac:dyDescent="0.25">
      <c r="A10140" t="str">
        <f>T("   JP")</f>
        <v xml:space="preserve">   JP</v>
      </c>
      <c r="B10140" t="str">
        <f>T("   Japon")</f>
        <v xml:space="preserve">   Japon</v>
      </c>
      <c r="C10140">
        <v>15750</v>
      </c>
      <c r="D10140">
        <v>0.25</v>
      </c>
    </row>
    <row r="10141" spans="1:4" x14ac:dyDescent="0.25">
      <c r="A10141" t="str">
        <f>T("830241")</f>
        <v>830241</v>
      </c>
      <c r="B10141" t="str">
        <f>T("Garnitures, ferrures et simil., pour bâtiments, en métaux communs (sauf serrures et verrous de sûreté à clef et sauf charnières)")</f>
        <v>Garnitures, ferrures et simil., pour bâtiments, en métaux communs (sauf serrures et verrous de sûreté à clef et sauf charnières)</v>
      </c>
    </row>
    <row r="10142" spans="1:4" x14ac:dyDescent="0.25">
      <c r="A10142" t="str">
        <f>T("   ZZZ_Monde")</f>
        <v xml:space="preserve">   ZZZ_Monde</v>
      </c>
      <c r="B10142" t="str">
        <f>T("   ZZZ_Monde")</f>
        <v xml:space="preserve">   ZZZ_Monde</v>
      </c>
      <c r="C10142">
        <v>48178963</v>
      </c>
      <c r="D10142">
        <v>42875</v>
      </c>
    </row>
    <row r="10143" spans="1:4" x14ac:dyDescent="0.25">
      <c r="A10143" t="str">
        <f>T("   AE")</f>
        <v xml:space="preserve">   AE</v>
      </c>
      <c r="B10143" t="str">
        <f>T("   Emirats Arabes Unis")</f>
        <v xml:space="preserve">   Emirats Arabes Unis</v>
      </c>
      <c r="C10143">
        <v>10546</v>
      </c>
      <c r="D10143">
        <v>16</v>
      </c>
    </row>
    <row r="10144" spans="1:4" x14ac:dyDescent="0.25">
      <c r="A10144" t="str">
        <f>T("   CN")</f>
        <v xml:space="preserve">   CN</v>
      </c>
      <c r="B10144" t="str">
        <f>T("   Chine")</f>
        <v xml:space="preserve">   Chine</v>
      </c>
      <c r="C10144">
        <v>10266666</v>
      </c>
      <c r="D10144">
        <v>40106</v>
      </c>
    </row>
    <row r="10145" spans="1:4" x14ac:dyDescent="0.25">
      <c r="A10145" t="str">
        <f>T("   ES")</f>
        <v xml:space="preserve">   ES</v>
      </c>
      <c r="B10145" t="str">
        <f>T("   Espagne")</f>
        <v xml:space="preserve">   Espagne</v>
      </c>
      <c r="C10145">
        <v>983284</v>
      </c>
      <c r="D10145">
        <v>185</v>
      </c>
    </row>
    <row r="10146" spans="1:4" x14ac:dyDescent="0.25">
      <c r="A10146" t="str">
        <f>T("   FR")</f>
        <v xml:space="preserve">   FR</v>
      </c>
      <c r="B10146" t="str">
        <f>T("   France")</f>
        <v xml:space="preserve">   France</v>
      </c>
      <c r="C10146">
        <v>36918467</v>
      </c>
      <c r="D10146">
        <v>2568</v>
      </c>
    </row>
    <row r="10147" spans="1:4" x14ac:dyDescent="0.25">
      <c r="A10147" t="str">
        <f>T("830242")</f>
        <v>830242</v>
      </c>
      <c r="B10147" t="str">
        <f>T("GARNITURES, FERRURES ET SIMIL., POUR MEUBLES, EN MÉTAUX COMMUNS (SAUF SERRURES ET VERROUS DE S¹RETÉ À CLEF ET SAUF CHARNIÈRES ET ROULETTES)")</f>
        <v>GARNITURES, FERRURES ET SIMIL., POUR MEUBLES, EN MÉTAUX COMMUNS (SAUF SERRURES ET VERROUS DE S¹RETÉ À CLEF ET SAUF CHARNIÈRES ET ROULETTES)</v>
      </c>
    </row>
    <row r="10148" spans="1:4" x14ac:dyDescent="0.25">
      <c r="A10148" t="str">
        <f>T("   ZZZ_Monde")</f>
        <v xml:space="preserve">   ZZZ_Monde</v>
      </c>
      <c r="B10148" t="str">
        <f>T("   ZZZ_Monde")</f>
        <v xml:space="preserve">   ZZZ_Monde</v>
      </c>
      <c r="C10148">
        <v>14746860</v>
      </c>
      <c r="D10148">
        <v>4327</v>
      </c>
    </row>
    <row r="10149" spans="1:4" x14ac:dyDescent="0.25">
      <c r="A10149" t="str">
        <f>T("   BE")</f>
        <v xml:space="preserve">   BE</v>
      </c>
      <c r="B10149" t="str">
        <f>T("   Belgique")</f>
        <v xml:space="preserve">   Belgique</v>
      </c>
      <c r="C10149">
        <v>500000</v>
      </c>
      <c r="D10149">
        <v>200</v>
      </c>
    </row>
    <row r="10150" spans="1:4" x14ac:dyDescent="0.25">
      <c r="A10150" t="str">
        <f>T("   CN")</f>
        <v xml:space="preserve">   CN</v>
      </c>
      <c r="B10150" t="str">
        <f>T("   Chine")</f>
        <v xml:space="preserve">   Chine</v>
      </c>
      <c r="C10150">
        <v>1397305</v>
      </c>
      <c r="D10150">
        <v>2037</v>
      </c>
    </row>
    <row r="10151" spans="1:4" x14ac:dyDescent="0.25">
      <c r="A10151" t="str">
        <f>T("   ES")</f>
        <v xml:space="preserve">   ES</v>
      </c>
      <c r="B10151" t="str">
        <f>T("   Espagne")</f>
        <v xml:space="preserve">   Espagne</v>
      </c>
      <c r="C10151">
        <v>1490997</v>
      </c>
      <c r="D10151">
        <v>281</v>
      </c>
    </row>
    <row r="10152" spans="1:4" x14ac:dyDescent="0.25">
      <c r="A10152" t="str">
        <f>T("   FR")</f>
        <v xml:space="preserve">   FR</v>
      </c>
      <c r="B10152" t="str">
        <f>T("   France")</f>
        <v xml:space="preserve">   France</v>
      </c>
      <c r="C10152">
        <v>11358558</v>
      </c>
      <c r="D10152">
        <v>1809</v>
      </c>
    </row>
    <row r="10153" spans="1:4" x14ac:dyDescent="0.25">
      <c r="A10153" t="str">
        <f>T("830249")</f>
        <v>830249</v>
      </c>
      <c r="B10153" t="str">
        <f>T("GARNITURES, FERRURES ET ARTICLES SIMIL. EN MÉTAUX COMMUNS (SAUF SERRURES ET VERROUS DE S¹RETÉ À CLEF, FERMOIRS ET MONTURES-FERMOIRS À SERRURE, CHARNIÈRES, ROULETTES, GARNITURES, FERRURES ET SIMIL. POUR BÂTIMENTS AINSI QUE GARNITURES, FERRURES ET ARTICLES")</f>
        <v>GARNITURES, FERRURES ET ARTICLES SIMIL. EN MÉTAUX COMMUNS (SAUF SERRURES ET VERROUS DE S¹RETÉ À CLEF, FERMOIRS ET MONTURES-FERMOIRS À SERRURE, CHARNIÈRES, ROULETTES, GARNITURES, FERRURES ET SIMIL. POUR BÂTIMENTS AINSI QUE GARNITURES, FERRURES ET ARTICLES</v>
      </c>
    </row>
    <row r="10154" spans="1:4" x14ac:dyDescent="0.25">
      <c r="A10154" t="str">
        <f>T("   ZZZ_Monde")</f>
        <v xml:space="preserve">   ZZZ_Monde</v>
      </c>
      <c r="B10154" t="str">
        <f>T("   ZZZ_Monde")</f>
        <v xml:space="preserve">   ZZZ_Monde</v>
      </c>
      <c r="C10154">
        <v>51302688</v>
      </c>
      <c r="D10154">
        <v>361399</v>
      </c>
    </row>
    <row r="10155" spans="1:4" x14ac:dyDescent="0.25">
      <c r="A10155" t="str">
        <f>T("   CN")</f>
        <v xml:space="preserve">   CN</v>
      </c>
      <c r="B10155" t="str">
        <f>T("   Chine")</f>
        <v xml:space="preserve">   Chine</v>
      </c>
      <c r="C10155">
        <v>27589349</v>
      </c>
      <c r="D10155">
        <v>189590</v>
      </c>
    </row>
    <row r="10156" spans="1:4" x14ac:dyDescent="0.25">
      <c r="A10156" t="str">
        <f>T("   DE")</f>
        <v xml:space="preserve">   DE</v>
      </c>
      <c r="B10156" t="str">
        <f>T("   Allemagne")</f>
        <v xml:space="preserve">   Allemagne</v>
      </c>
      <c r="C10156">
        <v>400000</v>
      </c>
      <c r="D10156">
        <v>400</v>
      </c>
    </row>
    <row r="10157" spans="1:4" x14ac:dyDescent="0.25">
      <c r="A10157" t="str">
        <f>T("   FR")</f>
        <v xml:space="preserve">   FR</v>
      </c>
      <c r="B10157" t="str">
        <f>T("   France")</f>
        <v xml:space="preserve">   France</v>
      </c>
      <c r="C10157">
        <v>434658</v>
      </c>
      <c r="D10157">
        <v>235</v>
      </c>
    </row>
    <row r="10158" spans="1:4" x14ac:dyDescent="0.25">
      <c r="A10158" t="str">
        <f>T("   IT")</f>
        <v xml:space="preserve">   IT</v>
      </c>
      <c r="B10158" t="str">
        <f>T("   Italie")</f>
        <v xml:space="preserve">   Italie</v>
      </c>
      <c r="C10158">
        <v>5886742</v>
      </c>
      <c r="D10158">
        <v>17915</v>
      </c>
    </row>
    <row r="10159" spans="1:4" x14ac:dyDescent="0.25">
      <c r="A10159" t="str">
        <f>T("   LB")</f>
        <v xml:space="preserve">   LB</v>
      </c>
      <c r="B10159" t="str">
        <f>T("   Liban")</f>
        <v xml:space="preserve">   Liban</v>
      </c>
      <c r="C10159">
        <v>2760205</v>
      </c>
      <c r="D10159">
        <v>7067</v>
      </c>
    </row>
    <row r="10160" spans="1:4" x14ac:dyDescent="0.25">
      <c r="A10160" t="str">
        <f>T("   TG")</f>
        <v xml:space="preserve">   TG</v>
      </c>
      <c r="B10160" t="str">
        <f>T("   Togo")</f>
        <v xml:space="preserve">   Togo</v>
      </c>
      <c r="C10160">
        <v>14133996</v>
      </c>
      <c r="D10160">
        <v>145802</v>
      </c>
    </row>
    <row r="10161" spans="1:4" x14ac:dyDescent="0.25">
      <c r="A10161" t="str">
        <f>T("   TN")</f>
        <v xml:space="preserve">   TN</v>
      </c>
      <c r="B10161" t="str">
        <f>T("   Tunisie")</f>
        <v xml:space="preserve">   Tunisie</v>
      </c>
      <c r="C10161">
        <v>97738</v>
      </c>
      <c r="D10161">
        <v>390</v>
      </c>
    </row>
    <row r="10162" spans="1:4" x14ac:dyDescent="0.25">
      <c r="A10162" t="str">
        <f>T("830250")</f>
        <v>830250</v>
      </c>
      <c r="B10162" t="str">
        <f>T("Patères, porte-chapeaux, supports et articles simil. en métaux communs")</f>
        <v>Patères, porte-chapeaux, supports et articles simil. en métaux communs</v>
      </c>
    </row>
    <row r="10163" spans="1:4" x14ac:dyDescent="0.25">
      <c r="A10163" t="str">
        <f>T("   ZZZ_Monde")</f>
        <v xml:space="preserve">   ZZZ_Monde</v>
      </c>
      <c r="B10163" t="str">
        <f>T("   ZZZ_Monde")</f>
        <v xml:space="preserve">   ZZZ_Monde</v>
      </c>
      <c r="C10163">
        <v>8829694</v>
      </c>
      <c r="D10163">
        <v>6013</v>
      </c>
    </row>
    <row r="10164" spans="1:4" x14ac:dyDescent="0.25">
      <c r="A10164" t="str">
        <f>T("   CN")</f>
        <v xml:space="preserve">   CN</v>
      </c>
      <c r="B10164" t="str">
        <f>T("   Chine")</f>
        <v xml:space="preserve">   Chine</v>
      </c>
      <c r="C10164">
        <v>7858552</v>
      </c>
      <c r="D10164">
        <v>5817</v>
      </c>
    </row>
    <row r="10165" spans="1:4" x14ac:dyDescent="0.25">
      <c r="A10165" t="str">
        <f>T("   FR")</f>
        <v xml:space="preserve">   FR</v>
      </c>
      <c r="B10165" t="str">
        <f>T("   France")</f>
        <v xml:space="preserve">   France</v>
      </c>
      <c r="C10165">
        <v>951142</v>
      </c>
      <c r="D10165">
        <v>186</v>
      </c>
    </row>
    <row r="10166" spans="1:4" x14ac:dyDescent="0.25">
      <c r="A10166" t="str">
        <f>T("   NG")</f>
        <v xml:space="preserve">   NG</v>
      </c>
      <c r="B10166" t="str">
        <f>T("   Nigéria")</f>
        <v xml:space="preserve">   Nigéria</v>
      </c>
      <c r="C10166">
        <v>20000</v>
      </c>
      <c r="D10166">
        <v>10</v>
      </c>
    </row>
    <row r="10167" spans="1:4" x14ac:dyDescent="0.25">
      <c r="A10167" t="str">
        <f>T("830260")</f>
        <v>830260</v>
      </c>
      <c r="B10167" t="str">
        <f>T("Ferme-portes automatiques en métaux communs")</f>
        <v>Ferme-portes automatiques en métaux communs</v>
      </c>
    </row>
    <row r="10168" spans="1:4" x14ac:dyDescent="0.25">
      <c r="A10168" t="str">
        <f>T("   ZZZ_Monde")</f>
        <v xml:space="preserve">   ZZZ_Monde</v>
      </c>
      <c r="B10168" t="str">
        <f>T("   ZZZ_Monde")</f>
        <v xml:space="preserve">   ZZZ_Monde</v>
      </c>
      <c r="C10168">
        <v>1397852</v>
      </c>
      <c r="D10168">
        <v>122</v>
      </c>
    </row>
    <row r="10169" spans="1:4" x14ac:dyDescent="0.25">
      <c r="A10169" t="str">
        <f>T("   FR")</f>
        <v xml:space="preserve">   FR</v>
      </c>
      <c r="B10169" t="str">
        <f>T("   France")</f>
        <v xml:space="preserve">   France</v>
      </c>
      <c r="C10169">
        <v>1397852</v>
      </c>
      <c r="D10169">
        <v>122</v>
      </c>
    </row>
    <row r="10170" spans="1:4" x14ac:dyDescent="0.25">
      <c r="A10170" t="str">
        <f>T("830300")</f>
        <v>830300</v>
      </c>
      <c r="B10170" t="str">
        <f>T("Coffres-forts, portes blindées et compartiments pour chambres fortes, coffres et cassettes de sûreté et articles simil., en métaux communs")</f>
        <v>Coffres-forts, portes blindées et compartiments pour chambres fortes, coffres et cassettes de sûreté et articles simil., en métaux communs</v>
      </c>
    </row>
    <row r="10171" spans="1:4" x14ac:dyDescent="0.25">
      <c r="A10171" t="str">
        <f>T("   ZZZ_Monde")</f>
        <v xml:space="preserve">   ZZZ_Monde</v>
      </c>
      <c r="B10171" t="str">
        <f>T("   ZZZ_Monde")</f>
        <v xml:space="preserve">   ZZZ_Monde</v>
      </c>
      <c r="C10171">
        <v>117269404</v>
      </c>
      <c r="D10171">
        <v>130125</v>
      </c>
    </row>
    <row r="10172" spans="1:4" x14ac:dyDescent="0.25">
      <c r="A10172" t="str">
        <f>T("   AE")</f>
        <v xml:space="preserve">   AE</v>
      </c>
      <c r="B10172" t="str">
        <f>T("   Emirats Arabes Unis")</f>
        <v xml:space="preserve">   Emirats Arabes Unis</v>
      </c>
      <c r="C10172">
        <v>232859</v>
      </c>
      <c r="D10172">
        <v>52</v>
      </c>
    </row>
    <row r="10173" spans="1:4" x14ac:dyDescent="0.25">
      <c r="A10173" t="str">
        <f>T("   CN")</f>
        <v xml:space="preserve">   CN</v>
      </c>
      <c r="B10173" t="str">
        <f>T("   Chine")</f>
        <v xml:space="preserve">   Chine</v>
      </c>
      <c r="C10173">
        <v>9487392</v>
      </c>
      <c r="D10173">
        <v>10241</v>
      </c>
    </row>
    <row r="10174" spans="1:4" x14ac:dyDescent="0.25">
      <c r="A10174" t="str">
        <f>T("   FR")</f>
        <v xml:space="preserve">   FR</v>
      </c>
      <c r="B10174" t="str">
        <f>T("   France")</f>
        <v xml:space="preserve">   France</v>
      </c>
      <c r="C10174">
        <v>35066820</v>
      </c>
      <c r="D10174">
        <v>12502</v>
      </c>
    </row>
    <row r="10175" spans="1:4" x14ac:dyDescent="0.25">
      <c r="A10175" t="str">
        <f>T("   IN")</f>
        <v xml:space="preserve">   IN</v>
      </c>
      <c r="B10175" t="str">
        <f>T("   Inde")</f>
        <v xml:space="preserve">   Inde</v>
      </c>
      <c r="C10175">
        <v>3650000</v>
      </c>
      <c r="D10175">
        <v>6500</v>
      </c>
    </row>
    <row r="10176" spans="1:4" x14ac:dyDescent="0.25">
      <c r="A10176" t="str">
        <f>T("   KR")</f>
        <v xml:space="preserve">   KR</v>
      </c>
      <c r="B10176" t="str">
        <f>T("   Corée, République de")</f>
        <v xml:space="preserve">   Corée, République de</v>
      </c>
      <c r="C10176">
        <v>43594523</v>
      </c>
      <c r="D10176">
        <v>48206</v>
      </c>
    </row>
    <row r="10177" spans="1:4" x14ac:dyDescent="0.25">
      <c r="A10177" t="str">
        <f>T("   NG")</f>
        <v xml:space="preserve">   NG</v>
      </c>
      <c r="B10177" t="str">
        <f>T("   Nigéria")</f>
        <v xml:space="preserve">   Nigéria</v>
      </c>
      <c r="C10177">
        <v>62400</v>
      </c>
      <c r="D10177">
        <v>100</v>
      </c>
    </row>
    <row r="10178" spans="1:4" x14ac:dyDescent="0.25">
      <c r="A10178" t="str">
        <f>T("   NL")</f>
        <v xml:space="preserve">   NL</v>
      </c>
      <c r="B10178" t="str">
        <f>T("   Pays-bas")</f>
        <v xml:space="preserve">   Pays-bas</v>
      </c>
      <c r="C10178">
        <v>10759490</v>
      </c>
      <c r="D10178">
        <v>12120</v>
      </c>
    </row>
    <row r="10179" spans="1:4" x14ac:dyDescent="0.25">
      <c r="A10179" t="str">
        <f>T("   SG")</f>
        <v xml:space="preserve">   SG</v>
      </c>
      <c r="B10179" t="str">
        <f>T("   Singapour")</f>
        <v xml:space="preserve">   Singapour</v>
      </c>
      <c r="C10179">
        <v>6684146</v>
      </c>
      <c r="D10179">
        <v>13520</v>
      </c>
    </row>
    <row r="10180" spans="1:4" x14ac:dyDescent="0.25">
      <c r="A10180" t="str">
        <f>T("   VN")</f>
        <v xml:space="preserve">   VN</v>
      </c>
      <c r="B10180" t="str">
        <f>T("   Vietnam")</f>
        <v xml:space="preserve">   Vietnam</v>
      </c>
      <c r="C10180">
        <v>5461774</v>
      </c>
      <c r="D10180">
        <v>16478</v>
      </c>
    </row>
    <row r="10181" spans="1:4" x14ac:dyDescent="0.25">
      <c r="A10181" t="str">
        <f>T("   Z2")</f>
        <v xml:space="preserve">   Z2</v>
      </c>
      <c r="B10181" t="str">
        <f>T("   Pays non défini")</f>
        <v xml:space="preserve">   Pays non défini</v>
      </c>
      <c r="C10181">
        <v>2270000</v>
      </c>
      <c r="D10181">
        <v>10406</v>
      </c>
    </row>
    <row r="10182" spans="1:4" x14ac:dyDescent="0.25">
      <c r="A10182" t="str">
        <f>T("830400")</f>
        <v>830400</v>
      </c>
      <c r="B10182" t="str">
        <f>T("Classeurs, fichiers, boîtes de classement, porte-copies, plumiers, porte-cachets et matériel et fournitures simil. de bureau, en métaux communs (à l'excl. des meubles de bureau du n° 9403 et des corbeilles à papier)")</f>
        <v>Classeurs, fichiers, boîtes de classement, porte-copies, plumiers, porte-cachets et matériel et fournitures simil. de bureau, en métaux communs (à l'excl. des meubles de bureau du n° 9403 et des corbeilles à papier)</v>
      </c>
    </row>
    <row r="10183" spans="1:4" x14ac:dyDescent="0.25">
      <c r="A10183" t="str">
        <f>T("   ZZZ_Monde")</f>
        <v xml:space="preserve">   ZZZ_Monde</v>
      </c>
      <c r="B10183" t="str">
        <f>T("   ZZZ_Monde")</f>
        <v xml:space="preserve">   ZZZ_Monde</v>
      </c>
      <c r="C10183">
        <v>3589632</v>
      </c>
      <c r="D10183">
        <v>3461</v>
      </c>
    </row>
    <row r="10184" spans="1:4" x14ac:dyDescent="0.25">
      <c r="A10184" t="str">
        <f>T("   CN")</f>
        <v xml:space="preserve">   CN</v>
      </c>
      <c r="B10184" t="str">
        <f>T("   Chine")</f>
        <v xml:space="preserve">   Chine</v>
      </c>
      <c r="C10184">
        <v>3589632</v>
      </c>
      <c r="D10184">
        <v>3461</v>
      </c>
    </row>
    <row r="10185" spans="1:4" x14ac:dyDescent="0.25">
      <c r="A10185" t="str">
        <f>T("830510")</f>
        <v>830510</v>
      </c>
      <c r="B10185" t="str">
        <f>T("Mécanismes pour reliure de feuillets mobiles ou pour classeurs, en métaux communs (sauf fermoirs pour livres et registres)")</f>
        <v>Mécanismes pour reliure de feuillets mobiles ou pour classeurs, en métaux communs (sauf fermoirs pour livres et registres)</v>
      </c>
    </row>
    <row r="10186" spans="1:4" x14ac:dyDescent="0.25">
      <c r="A10186" t="str">
        <f>T("   ZZZ_Monde")</f>
        <v xml:space="preserve">   ZZZ_Monde</v>
      </c>
      <c r="B10186" t="str">
        <f>T("   ZZZ_Monde")</f>
        <v xml:space="preserve">   ZZZ_Monde</v>
      </c>
      <c r="C10186">
        <v>804292</v>
      </c>
      <c r="D10186">
        <v>3000</v>
      </c>
    </row>
    <row r="10187" spans="1:4" x14ac:dyDescent="0.25">
      <c r="A10187" t="str">
        <f>T("   SG")</f>
        <v xml:space="preserve">   SG</v>
      </c>
      <c r="B10187" t="str">
        <f>T("   Singapour")</f>
        <v xml:space="preserve">   Singapour</v>
      </c>
      <c r="C10187">
        <v>804292</v>
      </c>
      <c r="D10187">
        <v>3000</v>
      </c>
    </row>
    <row r="10188" spans="1:4" x14ac:dyDescent="0.25">
      <c r="A10188" t="str">
        <f>T("830520")</f>
        <v>830520</v>
      </c>
      <c r="B10188" t="str">
        <f>T("Agrafes présentées en barrettes, en métaux communs")</f>
        <v>Agrafes présentées en barrettes, en métaux communs</v>
      </c>
    </row>
    <row r="10189" spans="1:4" x14ac:dyDescent="0.25">
      <c r="A10189" t="str">
        <f>T("   ZZZ_Monde")</f>
        <v xml:space="preserve">   ZZZ_Monde</v>
      </c>
      <c r="B10189" t="str">
        <f>T("   ZZZ_Monde")</f>
        <v xml:space="preserve">   ZZZ_Monde</v>
      </c>
      <c r="C10189">
        <v>7294187</v>
      </c>
      <c r="D10189">
        <v>11229</v>
      </c>
    </row>
    <row r="10190" spans="1:4" x14ac:dyDescent="0.25">
      <c r="A10190" t="str">
        <f>T("   CN")</f>
        <v xml:space="preserve">   CN</v>
      </c>
      <c r="B10190" t="str">
        <f>T("   Chine")</f>
        <v xml:space="preserve">   Chine</v>
      </c>
      <c r="C10190">
        <v>3671682</v>
      </c>
      <c r="D10190">
        <v>8400</v>
      </c>
    </row>
    <row r="10191" spans="1:4" x14ac:dyDescent="0.25">
      <c r="A10191" t="str">
        <f>T("   FR")</f>
        <v xml:space="preserve">   FR</v>
      </c>
      <c r="B10191" t="str">
        <f>T("   France")</f>
        <v xml:space="preserve">   France</v>
      </c>
      <c r="C10191">
        <v>2543177</v>
      </c>
      <c r="D10191">
        <v>471</v>
      </c>
    </row>
    <row r="10192" spans="1:4" x14ac:dyDescent="0.25">
      <c r="A10192" t="str">
        <f>T("   LB")</f>
        <v xml:space="preserve">   LB</v>
      </c>
      <c r="B10192" t="str">
        <f>T("   Liban")</f>
        <v xml:space="preserve">   Liban</v>
      </c>
      <c r="C10192">
        <v>1079328</v>
      </c>
      <c r="D10192">
        <v>2358</v>
      </c>
    </row>
    <row r="10193" spans="1:4" x14ac:dyDescent="0.25">
      <c r="A10193" t="str">
        <f>T("830590")</f>
        <v>830590</v>
      </c>
      <c r="B10193" t="str">
        <f>T("Attache-lettres, coins de lettres, trombones, onglets de signalisation, et matériel de bureau similaire en métaux communs, y.c. les parties des articles du n° 8305 (à l'excl. des mécanismes complets pour reliure de feuillets mobiles ou pour classeurs, des")</f>
        <v>Attache-lettres, coins de lettres, trombones, onglets de signalisation, et matériel de bureau similaire en métaux communs, y.c. les parties des articles du n° 8305 (à l'excl. des mécanismes complets pour reliure de feuillets mobiles ou pour classeurs, des</v>
      </c>
    </row>
    <row r="10194" spans="1:4" x14ac:dyDescent="0.25">
      <c r="A10194" t="str">
        <f>T("   ZZZ_Monde")</f>
        <v xml:space="preserve">   ZZZ_Monde</v>
      </c>
      <c r="B10194" t="str">
        <f>T("   ZZZ_Monde")</f>
        <v xml:space="preserve">   ZZZ_Monde</v>
      </c>
      <c r="C10194">
        <v>6579113</v>
      </c>
      <c r="D10194">
        <v>16231</v>
      </c>
    </row>
    <row r="10195" spans="1:4" x14ac:dyDescent="0.25">
      <c r="A10195" t="str">
        <f>T("   CN")</f>
        <v xml:space="preserve">   CN</v>
      </c>
      <c r="B10195" t="str">
        <f>T("   Chine")</f>
        <v xml:space="preserve">   Chine</v>
      </c>
      <c r="C10195">
        <v>1159341</v>
      </c>
      <c r="D10195">
        <v>2200</v>
      </c>
    </row>
    <row r="10196" spans="1:4" x14ac:dyDescent="0.25">
      <c r="A10196" t="str">
        <f>T("   FR")</f>
        <v xml:space="preserve">   FR</v>
      </c>
      <c r="B10196" t="str">
        <f>T("   France")</f>
        <v xml:space="preserve">   France</v>
      </c>
      <c r="C10196">
        <v>3633594</v>
      </c>
      <c r="D10196">
        <v>12363</v>
      </c>
    </row>
    <row r="10197" spans="1:4" x14ac:dyDescent="0.25">
      <c r="A10197" t="str">
        <f>T("   SG")</f>
        <v xml:space="preserve">   SG</v>
      </c>
      <c r="B10197" t="str">
        <f>T("   Singapour")</f>
        <v xml:space="preserve">   Singapour</v>
      </c>
      <c r="C10197">
        <v>1786178</v>
      </c>
      <c r="D10197">
        <v>1668</v>
      </c>
    </row>
    <row r="10198" spans="1:4" x14ac:dyDescent="0.25">
      <c r="A10198" t="str">
        <f>T("830610")</f>
        <v>830610</v>
      </c>
      <c r="B10198" t="str">
        <f>T("Cloches, sonnettes, gongs et articles simil. non-électriques, en métaux communs (sauf instruments de musique)")</f>
        <v>Cloches, sonnettes, gongs et articles simil. non-électriques, en métaux communs (sauf instruments de musique)</v>
      </c>
    </row>
    <row r="10199" spans="1:4" x14ac:dyDescent="0.25">
      <c r="A10199" t="str">
        <f>T("   ZZZ_Monde")</f>
        <v xml:space="preserve">   ZZZ_Monde</v>
      </c>
      <c r="B10199" t="str">
        <f>T("   ZZZ_Monde")</f>
        <v xml:space="preserve">   ZZZ_Monde</v>
      </c>
      <c r="C10199">
        <v>2704067</v>
      </c>
      <c r="D10199">
        <v>1080</v>
      </c>
    </row>
    <row r="10200" spans="1:4" x14ac:dyDescent="0.25">
      <c r="A10200" t="str">
        <f>T("   FR")</f>
        <v xml:space="preserve">   FR</v>
      </c>
      <c r="B10200" t="str">
        <f>T("   France")</f>
        <v xml:space="preserve">   France</v>
      </c>
      <c r="C10200">
        <v>661864</v>
      </c>
      <c r="D10200">
        <v>160</v>
      </c>
    </row>
    <row r="10201" spans="1:4" x14ac:dyDescent="0.25">
      <c r="A10201" t="str">
        <f>T("   IT")</f>
        <v xml:space="preserve">   IT</v>
      </c>
      <c r="B10201" t="str">
        <f>T("   Italie")</f>
        <v xml:space="preserve">   Italie</v>
      </c>
      <c r="C10201">
        <v>2020357</v>
      </c>
      <c r="D10201">
        <v>720</v>
      </c>
    </row>
    <row r="10202" spans="1:4" x14ac:dyDescent="0.25">
      <c r="A10202" t="str">
        <f>T("   TG")</f>
        <v xml:space="preserve">   TG</v>
      </c>
      <c r="B10202" t="str">
        <f>T("   Togo")</f>
        <v xml:space="preserve">   Togo</v>
      </c>
      <c r="C10202">
        <v>21846</v>
      </c>
      <c r="D10202">
        <v>200</v>
      </c>
    </row>
    <row r="10203" spans="1:4" x14ac:dyDescent="0.25">
      <c r="A10203" t="str">
        <f>T("830629")</f>
        <v>830629</v>
      </c>
      <c r="B10203" t="str">
        <f>T("Statuettes et autres objets d'ornement, en métaux communs, ni argentés, ni dorés, ni platinés (sauf objets d'art, pièces de collection et antiquités)")</f>
        <v>Statuettes et autres objets d'ornement, en métaux communs, ni argentés, ni dorés, ni platinés (sauf objets d'art, pièces de collection et antiquités)</v>
      </c>
    </row>
    <row r="10204" spans="1:4" x14ac:dyDescent="0.25">
      <c r="A10204" t="str">
        <f>T("   ZZZ_Monde")</f>
        <v xml:space="preserve">   ZZZ_Monde</v>
      </c>
      <c r="B10204" t="str">
        <f>T("   ZZZ_Monde")</f>
        <v xml:space="preserve">   ZZZ_Monde</v>
      </c>
      <c r="C10204">
        <v>337631</v>
      </c>
      <c r="D10204">
        <v>2829</v>
      </c>
    </row>
    <row r="10205" spans="1:4" x14ac:dyDescent="0.25">
      <c r="A10205" t="str">
        <f>T("   CN")</f>
        <v xml:space="preserve">   CN</v>
      </c>
      <c r="B10205" t="str">
        <f>T("   Chine")</f>
        <v xml:space="preserve">   Chine</v>
      </c>
      <c r="C10205">
        <v>81490</v>
      </c>
      <c r="D10205">
        <v>2000</v>
      </c>
    </row>
    <row r="10206" spans="1:4" x14ac:dyDescent="0.25">
      <c r="A10206" t="str">
        <f>T("   SA")</f>
        <v xml:space="preserve">   SA</v>
      </c>
      <c r="B10206" t="str">
        <f>T("   Arabie Saoudite")</f>
        <v xml:space="preserve">   Arabie Saoudite</v>
      </c>
      <c r="C10206">
        <v>256141</v>
      </c>
      <c r="D10206">
        <v>829</v>
      </c>
    </row>
    <row r="10207" spans="1:4" x14ac:dyDescent="0.25">
      <c r="A10207" t="str">
        <f>T("830630")</f>
        <v>830630</v>
      </c>
      <c r="B10207" t="str">
        <f>T("Cadres pour photographies, gravures ou simil., en métaux communs; miroirs, en métaux communs (sauf éléments optiques)")</f>
        <v>Cadres pour photographies, gravures ou simil., en métaux communs; miroirs, en métaux communs (sauf éléments optiques)</v>
      </c>
    </row>
    <row r="10208" spans="1:4" x14ac:dyDescent="0.25">
      <c r="A10208" t="str">
        <f>T("   ZZZ_Monde")</f>
        <v xml:space="preserve">   ZZZ_Monde</v>
      </c>
      <c r="B10208" t="str">
        <f>T("   ZZZ_Monde")</f>
        <v xml:space="preserve">   ZZZ_Monde</v>
      </c>
      <c r="C10208">
        <v>3198636</v>
      </c>
      <c r="D10208">
        <v>8314</v>
      </c>
    </row>
    <row r="10209" spans="1:4" x14ac:dyDescent="0.25">
      <c r="A10209" t="str">
        <f>T("   CN")</f>
        <v xml:space="preserve">   CN</v>
      </c>
      <c r="B10209" t="str">
        <f>T("   Chine")</f>
        <v xml:space="preserve">   Chine</v>
      </c>
      <c r="C10209">
        <v>2907121</v>
      </c>
      <c r="D10209">
        <v>8044</v>
      </c>
    </row>
    <row r="10210" spans="1:4" x14ac:dyDescent="0.25">
      <c r="A10210" t="str">
        <f>T("   IN")</f>
        <v xml:space="preserve">   IN</v>
      </c>
      <c r="B10210" t="str">
        <f>T("   Inde")</f>
        <v xml:space="preserve">   Inde</v>
      </c>
      <c r="C10210">
        <v>291515</v>
      </c>
      <c r="D10210">
        <v>270</v>
      </c>
    </row>
    <row r="10211" spans="1:4" x14ac:dyDescent="0.25">
      <c r="A10211" t="str">
        <f>T("830710")</f>
        <v>830710</v>
      </c>
      <c r="B10211" t="str">
        <f>T("Tuyaux flexibles en fer ou en acier, même avec accessoires")</f>
        <v>Tuyaux flexibles en fer ou en acier, même avec accessoires</v>
      </c>
    </row>
    <row r="10212" spans="1:4" x14ac:dyDescent="0.25">
      <c r="A10212" t="str">
        <f>T("   ZZZ_Monde")</f>
        <v xml:space="preserve">   ZZZ_Monde</v>
      </c>
      <c r="B10212" t="str">
        <f>T("   ZZZ_Monde")</f>
        <v xml:space="preserve">   ZZZ_Monde</v>
      </c>
      <c r="C10212">
        <v>42350076</v>
      </c>
      <c r="D10212">
        <v>110163</v>
      </c>
    </row>
    <row r="10213" spans="1:4" x14ac:dyDescent="0.25">
      <c r="A10213" t="str">
        <f>T("   BE")</f>
        <v xml:space="preserve">   BE</v>
      </c>
      <c r="B10213" t="str">
        <f>T("   Belgique")</f>
        <v xml:space="preserve">   Belgique</v>
      </c>
      <c r="C10213">
        <v>119384</v>
      </c>
      <c r="D10213">
        <v>8</v>
      </c>
    </row>
    <row r="10214" spans="1:4" x14ac:dyDescent="0.25">
      <c r="A10214" t="str">
        <f>T("   CN")</f>
        <v xml:space="preserve">   CN</v>
      </c>
      <c r="B10214" t="str">
        <f>T("   Chine")</f>
        <v xml:space="preserve">   Chine</v>
      </c>
      <c r="C10214">
        <v>17478710</v>
      </c>
      <c r="D10214">
        <v>108000</v>
      </c>
    </row>
    <row r="10215" spans="1:4" x14ac:dyDescent="0.25">
      <c r="A10215" t="str">
        <f>T("   DE")</f>
        <v xml:space="preserve">   DE</v>
      </c>
      <c r="B10215" t="str">
        <f>T("   Allemagne")</f>
        <v xml:space="preserve">   Allemagne</v>
      </c>
      <c r="C10215">
        <v>2800024</v>
      </c>
      <c r="D10215">
        <v>84</v>
      </c>
    </row>
    <row r="10216" spans="1:4" x14ac:dyDescent="0.25">
      <c r="A10216" t="str">
        <f>T("   FR")</f>
        <v xml:space="preserve">   FR</v>
      </c>
      <c r="B10216" t="str">
        <f>T("   France")</f>
        <v xml:space="preserve">   France</v>
      </c>
      <c r="C10216">
        <v>19993917</v>
      </c>
      <c r="D10216">
        <v>1825</v>
      </c>
    </row>
    <row r="10217" spans="1:4" x14ac:dyDescent="0.25">
      <c r="A10217" t="str">
        <f>T("   NL")</f>
        <v xml:space="preserve">   NL</v>
      </c>
      <c r="B10217" t="str">
        <f>T("   Pays-bas")</f>
        <v xml:space="preserve">   Pays-bas</v>
      </c>
      <c r="C10217">
        <v>1958041</v>
      </c>
      <c r="D10217">
        <v>246</v>
      </c>
    </row>
    <row r="10218" spans="1:4" x14ac:dyDescent="0.25">
      <c r="A10218" t="str">
        <f>T("830790")</f>
        <v>830790</v>
      </c>
      <c r="B10218" t="str">
        <f>T("Tuyaux flexibles en métaux communs autres que le fer ou l'acier, même avec accessoires")</f>
        <v>Tuyaux flexibles en métaux communs autres que le fer ou l'acier, même avec accessoires</v>
      </c>
    </row>
    <row r="10219" spans="1:4" x14ac:dyDescent="0.25">
      <c r="A10219" t="str">
        <f>T("   ZZZ_Monde")</f>
        <v xml:space="preserve">   ZZZ_Monde</v>
      </c>
      <c r="B10219" t="str">
        <f>T("   ZZZ_Monde")</f>
        <v xml:space="preserve">   ZZZ_Monde</v>
      </c>
      <c r="C10219">
        <v>5047260</v>
      </c>
      <c r="D10219">
        <v>509</v>
      </c>
    </row>
    <row r="10220" spans="1:4" x14ac:dyDescent="0.25">
      <c r="A10220" t="str">
        <f>T("   BE")</f>
        <v xml:space="preserve">   BE</v>
      </c>
      <c r="B10220" t="str">
        <f>T("   Belgique")</f>
        <v xml:space="preserve">   Belgique</v>
      </c>
      <c r="C10220">
        <v>188214</v>
      </c>
      <c r="D10220">
        <v>1</v>
      </c>
    </row>
    <row r="10221" spans="1:4" x14ac:dyDescent="0.25">
      <c r="A10221" t="str">
        <f>T("   CN")</f>
        <v xml:space="preserve">   CN</v>
      </c>
      <c r="B10221" t="str">
        <f>T("   Chine")</f>
        <v xml:space="preserve">   Chine</v>
      </c>
      <c r="C10221">
        <v>25406</v>
      </c>
      <c r="D10221">
        <v>38</v>
      </c>
    </row>
    <row r="10222" spans="1:4" x14ac:dyDescent="0.25">
      <c r="A10222" t="str">
        <f>T("   FR")</f>
        <v xml:space="preserve">   FR</v>
      </c>
      <c r="B10222" t="str">
        <f>T("   France")</f>
        <v xml:space="preserve">   France</v>
      </c>
      <c r="C10222">
        <v>3450869</v>
      </c>
      <c r="D10222">
        <v>381</v>
      </c>
    </row>
    <row r="10223" spans="1:4" x14ac:dyDescent="0.25">
      <c r="A10223" t="str">
        <f>T("   NO")</f>
        <v xml:space="preserve">   NO</v>
      </c>
      <c r="B10223" t="str">
        <f>T("   Norvège")</f>
        <v xml:space="preserve">   Norvège</v>
      </c>
      <c r="C10223">
        <v>21483</v>
      </c>
      <c r="D10223">
        <v>1</v>
      </c>
    </row>
    <row r="10224" spans="1:4" x14ac:dyDescent="0.25">
      <c r="A10224" t="str">
        <f>T("   US")</f>
        <v xml:space="preserve">   US</v>
      </c>
      <c r="B10224" t="str">
        <f>T("   Etats-Unis")</f>
        <v xml:space="preserve">   Etats-Unis</v>
      </c>
      <c r="C10224">
        <v>1361288</v>
      </c>
      <c r="D10224">
        <v>88</v>
      </c>
    </row>
    <row r="10225" spans="1:4" x14ac:dyDescent="0.25">
      <c r="A10225" t="str">
        <f>T("830810")</f>
        <v>830810</v>
      </c>
      <c r="B10225" t="str">
        <f>T("Agrafes, crochets et oeillets, en métaux communs, pour vêtements, chaussures, bâches, maroquinerie, ou pour toutes confections ou équipements")</f>
        <v>Agrafes, crochets et oeillets, en métaux communs, pour vêtements, chaussures, bâches, maroquinerie, ou pour toutes confections ou équipements</v>
      </c>
    </row>
    <row r="10226" spans="1:4" x14ac:dyDescent="0.25">
      <c r="A10226" t="str">
        <f>T("   ZZZ_Monde")</f>
        <v xml:space="preserve">   ZZZ_Monde</v>
      </c>
      <c r="B10226" t="str">
        <f>T("   ZZZ_Monde")</f>
        <v xml:space="preserve">   ZZZ_Monde</v>
      </c>
      <c r="C10226">
        <v>664688</v>
      </c>
      <c r="D10226">
        <v>1056</v>
      </c>
    </row>
    <row r="10227" spans="1:4" x14ac:dyDescent="0.25">
      <c r="A10227" t="str">
        <f>T("   CN")</f>
        <v xml:space="preserve">   CN</v>
      </c>
      <c r="B10227" t="str">
        <f>T("   Chine")</f>
        <v xml:space="preserve">   Chine</v>
      </c>
      <c r="C10227">
        <v>588597</v>
      </c>
      <c r="D10227">
        <v>988</v>
      </c>
    </row>
    <row r="10228" spans="1:4" x14ac:dyDescent="0.25">
      <c r="A10228" t="str">
        <f>T("   FR")</f>
        <v xml:space="preserve">   FR</v>
      </c>
      <c r="B10228" t="str">
        <f>T("   France")</f>
        <v xml:space="preserve">   France</v>
      </c>
      <c r="C10228">
        <v>76091</v>
      </c>
      <c r="D10228">
        <v>68</v>
      </c>
    </row>
    <row r="10229" spans="1:4" x14ac:dyDescent="0.25">
      <c r="A10229" t="str">
        <f>T("830820")</f>
        <v>830820</v>
      </c>
      <c r="B10229" t="str">
        <f>T("Rivets tubulaires ou à tige fendue, en métaux communs")</f>
        <v>Rivets tubulaires ou à tige fendue, en métaux communs</v>
      </c>
    </row>
    <row r="10230" spans="1:4" x14ac:dyDescent="0.25">
      <c r="A10230" t="str">
        <f>T("   ZZZ_Monde")</f>
        <v xml:space="preserve">   ZZZ_Monde</v>
      </c>
      <c r="B10230" t="str">
        <f>T("   ZZZ_Monde")</f>
        <v xml:space="preserve">   ZZZ_Monde</v>
      </c>
      <c r="C10230">
        <v>5571964</v>
      </c>
      <c r="D10230">
        <v>5588</v>
      </c>
    </row>
    <row r="10231" spans="1:4" x14ac:dyDescent="0.25">
      <c r="A10231" t="str">
        <f>T("   CN")</f>
        <v xml:space="preserve">   CN</v>
      </c>
      <c r="B10231" t="str">
        <f>T("   Chine")</f>
        <v xml:space="preserve">   Chine</v>
      </c>
      <c r="C10231">
        <v>5571964</v>
      </c>
      <c r="D10231">
        <v>5588</v>
      </c>
    </row>
    <row r="10232" spans="1:4" x14ac:dyDescent="0.25">
      <c r="A10232" t="str">
        <f>T("830890")</f>
        <v>830890</v>
      </c>
      <c r="B10232" t="str">
        <f>T("Fermoirs, montures-fermoirs sans serrure, boucles, boucles-fermoirs et articles simil., en métaux communs, pour vêtements, chaussures, maroquinerie, etc., y.c. les parties des articles du n° 8308, en métaux communs (sauf agrafes, crochets, oeillets, rivet")</f>
        <v>Fermoirs, montures-fermoirs sans serrure, boucles, boucles-fermoirs et articles simil., en métaux communs, pour vêtements, chaussures, maroquinerie, etc., y.c. les parties des articles du n° 8308, en métaux communs (sauf agrafes, crochets, oeillets, rivet</v>
      </c>
    </row>
    <row r="10233" spans="1:4" x14ac:dyDescent="0.25">
      <c r="A10233" t="str">
        <f>T("   ZZZ_Monde")</f>
        <v xml:space="preserve">   ZZZ_Monde</v>
      </c>
      <c r="B10233" t="str">
        <f>T("   ZZZ_Monde")</f>
        <v xml:space="preserve">   ZZZ_Monde</v>
      </c>
      <c r="C10233">
        <v>649039</v>
      </c>
      <c r="D10233">
        <v>2350</v>
      </c>
    </row>
    <row r="10234" spans="1:4" x14ac:dyDescent="0.25">
      <c r="A10234" t="str">
        <f>T("   CN")</f>
        <v xml:space="preserve">   CN</v>
      </c>
      <c r="B10234" t="str">
        <f>T("   Chine")</f>
        <v xml:space="preserve">   Chine</v>
      </c>
      <c r="C10234">
        <v>78354</v>
      </c>
      <c r="D10234">
        <v>350</v>
      </c>
    </row>
    <row r="10235" spans="1:4" x14ac:dyDescent="0.25">
      <c r="A10235" t="str">
        <f>T("   FR")</f>
        <v xml:space="preserve">   FR</v>
      </c>
      <c r="B10235" t="str">
        <f>T("   France")</f>
        <v xml:space="preserve">   France</v>
      </c>
      <c r="C10235">
        <v>570685</v>
      </c>
      <c r="D10235">
        <v>2000</v>
      </c>
    </row>
    <row r="10236" spans="1:4" x14ac:dyDescent="0.25">
      <c r="A10236" t="str">
        <f>T("830910")</f>
        <v>830910</v>
      </c>
      <c r="B10236" t="str">
        <f>T("Bouchons-couronnes en métaux communs")</f>
        <v>Bouchons-couronnes en métaux communs</v>
      </c>
    </row>
    <row r="10237" spans="1:4" x14ac:dyDescent="0.25">
      <c r="A10237" t="str">
        <f>T("   ZZZ_Monde")</f>
        <v xml:space="preserve">   ZZZ_Monde</v>
      </c>
      <c r="B10237" t="str">
        <f>T("   ZZZ_Monde")</f>
        <v xml:space="preserve">   ZZZ_Monde</v>
      </c>
      <c r="C10237">
        <v>898424434</v>
      </c>
      <c r="D10237">
        <v>433644</v>
      </c>
    </row>
    <row r="10238" spans="1:4" x14ac:dyDescent="0.25">
      <c r="A10238" t="str">
        <f>T("   CN")</f>
        <v xml:space="preserve">   CN</v>
      </c>
      <c r="B10238" t="str">
        <f>T("   Chine")</f>
        <v xml:space="preserve">   Chine</v>
      </c>
      <c r="C10238">
        <v>1109480</v>
      </c>
      <c r="D10238">
        <v>500</v>
      </c>
    </row>
    <row r="10239" spans="1:4" x14ac:dyDescent="0.25">
      <c r="A10239" t="str">
        <f>T("   DE")</f>
        <v xml:space="preserve">   DE</v>
      </c>
      <c r="B10239" t="str">
        <f>T("   Allemagne")</f>
        <v xml:space="preserve">   Allemagne</v>
      </c>
      <c r="C10239">
        <v>138788116</v>
      </c>
      <c r="D10239">
        <v>64501</v>
      </c>
    </row>
    <row r="10240" spans="1:4" x14ac:dyDescent="0.25">
      <c r="A10240" t="str">
        <f>T("   ES")</f>
        <v xml:space="preserve">   ES</v>
      </c>
      <c r="B10240" t="str">
        <f>T("   Espagne")</f>
        <v xml:space="preserve">   Espagne</v>
      </c>
      <c r="C10240">
        <v>28043603</v>
      </c>
      <c r="D10240">
        <v>14000</v>
      </c>
    </row>
    <row r="10241" spans="1:4" x14ac:dyDescent="0.25">
      <c r="A10241" t="str">
        <f>T("   FR")</f>
        <v xml:space="preserve">   FR</v>
      </c>
      <c r="B10241" t="str">
        <f>T("   France")</f>
        <v xml:space="preserve">   France</v>
      </c>
      <c r="C10241">
        <v>407523029</v>
      </c>
      <c r="D10241">
        <v>207041</v>
      </c>
    </row>
    <row r="10242" spans="1:4" x14ac:dyDescent="0.25">
      <c r="A10242" t="str">
        <f>T("   IE")</f>
        <v xml:space="preserve">   IE</v>
      </c>
      <c r="B10242" t="str">
        <f>T("   Irlande")</f>
        <v xml:space="preserve">   Irlande</v>
      </c>
      <c r="C10242">
        <v>200811927</v>
      </c>
      <c r="D10242">
        <v>90668</v>
      </c>
    </row>
    <row r="10243" spans="1:4" x14ac:dyDescent="0.25">
      <c r="A10243" t="str">
        <f>T("   IT")</f>
        <v xml:space="preserve">   IT</v>
      </c>
      <c r="B10243" t="str">
        <f>T("   Italie")</f>
        <v xml:space="preserve">   Italie</v>
      </c>
      <c r="C10243">
        <v>122148279</v>
      </c>
      <c r="D10243">
        <v>56934</v>
      </c>
    </row>
    <row r="10244" spans="1:4" x14ac:dyDescent="0.25">
      <c r="A10244" t="str">
        <f>T("830990")</f>
        <v>830990</v>
      </c>
      <c r="B10244" t="str">
        <f>T("Bouchons [y.c. les bouchons à pas de vis et les bouchons-verseurs], couvercles, capsules pour bouteilles, bondes filetées, plaques de bondes, scellés et autres accessoires d'emballage, en métaux communs (à l'excl. des bouchons-couronnes)")</f>
        <v>Bouchons [y.c. les bouchons à pas de vis et les bouchons-verseurs], couvercles, capsules pour bouteilles, bondes filetées, plaques de bondes, scellés et autres accessoires d'emballage, en métaux communs (à l'excl. des bouchons-couronnes)</v>
      </c>
    </row>
    <row r="10245" spans="1:4" x14ac:dyDescent="0.25">
      <c r="A10245" t="str">
        <f>T("   ZZZ_Monde")</f>
        <v xml:space="preserve">   ZZZ_Monde</v>
      </c>
      <c r="B10245" t="str">
        <f>T("   ZZZ_Monde")</f>
        <v xml:space="preserve">   ZZZ_Monde</v>
      </c>
      <c r="C10245">
        <v>13190923</v>
      </c>
      <c r="D10245">
        <v>20732</v>
      </c>
    </row>
    <row r="10246" spans="1:4" x14ac:dyDescent="0.25">
      <c r="A10246" t="str">
        <f>T("   CN")</f>
        <v xml:space="preserve">   CN</v>
      </c>
      <c r="B10246" t="str">
        <f>T("   Chine")</f>
        <v xml:space="preserve">   Chine</v>
      </c>
      <c r="C10246">
        <v>2215551</v>
      </c>
      <c r="D10246">
        <v>3492</v>
      </c>
    </row>
    <row r="10247" spans="1:4" x14ac:dyDescent="0.25">
      <c r="A10247" t="str">
        <f>T("   FR")</f>
        <v xml:space="preserve">   FR</v>
      </c>
      <c r="B10247" t="str">
        <f>T("   France")</f>
        <v xml:space="preserve">   France</v>
      </c>
      <c r="C10247">
        <v>4459970</v>
      </c>
      <c r="D10247">
        <v>12316</v>
      </c>
    </row>
    <row r="10248" spans="1:4" x14ac:dyDescent="0.25">
      <c r="A10248" t="str">
        <f>T("   IN")</f>
        <v xml:space="preserve">   IN</v>
      </c>
      <c r="B10248" t="str">
        <f>T("   Inde")</f>
        <v xml:space="preserve">   Inde</v>
      </c>
      <c r="C10248">
        <v>4474080</v>
      </c>
      <c r="D10248">
        <v>2760</v>
      </c>
    </row>
    <row r="10249" spans="1:4" x14ac:dyDescent="0.25">
      <c r="A10249" t="str">
        <f>T("   MA")</f>
        <v xml:space="preserve">   MA</v>
      </c>
      <c r="B10249" t="str">
        <f>T("   Maroc")</f>
        <v xml:space="preserve">   Maroc</v>
      </c>
      <c r="C10249">
        <v>179077</v>
      </c>
      <c r="D10249">
        <v>280</v>
      </c>
    </row>
    <row r="10250" spans="1:4" x14ac:dyDescent="0.25">
      <c r="A10250" t="str">
        <f>T("   NG")</f>
        <v xml:space="preserve">   NG</v>
      </c>
      <c r="B10250" t="str">
        <f>T("   Nigéria")</f>
        <v xml:space="preserve">   Nigéria</v>
      </c>
      <c r="C10250">
        <v>604200</v>
      </c>
      <c r="D10250">
        <v>1418</v>
      </c>
    </row>
    <row r="10251" spans="1:4" x14ac:dyDescent="0.25">
      <c r="A10251" t="str">
        <f>T("   TG")</f>
        <v xml:space="preserve">   TG</v>
      </c>
      <c r="B10251" t="str">
        <f>T("   Togo")</f>
        <v xml:space="preserve">   Togo</v>
      </c>
      <c r="C10251">
        <v>1236851</v>
      </c>
      <c r="D10251">
        <v>465</v>
      </c>
    </row>
    <row r="10252" spans="1:4" x14ac:dyDescent="0.25">
      <c r="A10252" t="str">
        <f>T("   US")</f>
        <v xml:space="preserve">   US</v>
      </c>
      <c r="B10252" t="str">
        <f>T("   Etats-Unis")</f>
        <v xml:space="preserve">   Etats-Unis</v>
      </c>
      <c r="C10252">
        <v>21194</v>
      </c>
      <c r="D10252">
        <v>1</v>
      </c>
    </row>
    <row r="10253" spans="1:4" x14ac:dyDescent="0.25">
      <c r="A10253" t="str">
        <f>T("831000")</f>
        <v>831000</v>
      </c>
      <c r="B10253" t="str">
        <f>T("Plaques indicatrices, plaques-enseignes, plaques-adresses et plaques simil., chiffres, lettres et enseignes diverses, en métaux communs, y.c. les panneaux de signalisation routière (sauf les enseignes et plaques indicatrices lumineuses du n° 9405, les car")</f>
        <v>Plaques indicatrices, plaques-enseignes, plaques-adresses et plaques simil., chiffres, lettres et enseignes diverses, en métaux communs, y.c. les panneaux de signalisation routière (sauf les enseignes et plaques indicatrices lumineuses du n° 9405, les car</v>
      </c>
    </row>
    <row r="10254" spans="1:4" x14ac:dyDescent="0.25">
      <c r="A10254" t="str">
        <f>T("   ZZZ_Monde")</f>
        <v xml:space="preserve">   ZZZ_Monde</v>
      </c>
      <c r="B10254" t="str">
        <f>T("   ZZZ_Monde")</f>
        <v xml:space="preserve">   ZZZ_Monde</v>
      </c>
      <c r="C10254">
        <v>150248031</v>
      </c>
      <c r="D10254">
        <v>16414</v>
      </c>
    </row>
    <row r="10255" spans="1:4" x14ac:dyDescent="0.25">
      <c r="A10255" t="str">
        <f>T("   CN")</f>
        <v xml:space="preserve">   CN</v>
      </c>
      <c r="B10255" t="str">
        <f>T("   Chine")</f>
        <v xml:space="preserve">   Chine</v>
      </c>
      <c r="C10255">
        <v>429143</v>
      </c>
      <c r="D10255">
        <v>995</v>
      </c>
    </row>
    <row r="10256" spans="1:4" x14ac:dyDescent="0.25">
      <c r="A10256" t="str">
        <f>T("   DE")</f>
        <v xml:space="preserve">   DE</v>
      </c>
      <c r="B10256" t="str">
        <f>T("   Allemagne")</f>
        <v xml:space="preserve">   Allemagne</v>
      </c>
      <c r="C10256">
        <v>94310904</v>
      </c>
      <c r="D10256">
        <v>7652</v>
      </c>
    </row>
    <row r="10257" spans="1:4" x14ac:dyDescent="0.25">
      <c r="A10257" t="str">
        <f>T("   FR")</f>
        <v xml:space="preserve">   FR</v>
      </c>
      <c r="B10257" t="str">
        <f>T("   France")</f>
        <v xml:space="preserve">   France</v>
      </c>
      <c r="C10257">
        <v>55507984</v>
      </c>
      <c r="D10257">
        <v>7767</v>
      </c>
    </row>
    <row r="10258" spans="1:4" x14ac:dyDescent="0.25">
      <c r="A10258" t="str">
        <f>T("831110")</f>
        <v>831110</v>
      </c>
      <c r="B10258" t="str">
        <f>T("ÉLECTRODES ENROBÉES EN MÉTAUX COMMUNS, POUR LE SOUDAGE À L'ARC")</f>
        <v>ÉLECTRODES ENROBÉES EN MÉTAUX COMMUNS, POUR LE SOUDAGE À L'ARC</v>
      </c>
    </row>
    <row r="10259" spans="1:4" x14ac:dyDescent="0.25">
      <c r="A10259" t="str">
        <f>T("   ZZZ_Monde")</f>
        <v xml:space="preserve">   ZZZ_Monde</v>
      </c>
      <c r="B10259" t="str">
        <f>T("   ZZZ_Monde")</f>
        <v xml:space="preserve">   ZZZ_Monde</v>
      </c>
      <c r="C10259">
        <v>88100301</v>
      </c>
      <c r="D10259">
        <v>350151</v>
      </c>
    </row>
    <row r="10260" spans="1:4" x14ac:dyDescent="0.25">
      <c r="A10260" t="str">
        <f>T("   CN")</f>
        <v xml:space="preserve">   CN</v>
      </c>
      <c r="B10260" t="str">
        <f>T("   Chine")</f>
        <v xml:space="preserve">   Chine</v>
      </c>
      <c r="C10260">
        <v>33456186</v>
      </c>
      <c r="D10260">
        <v>235090</v>
      </c>
    </row>
    <row r="10261" spans="1:4" x14ac:dyDescent="0.25">
      <c r="A10261" t="str">
        <f>T("   FR")</f>
        <v xml:space="preserve">   FR</v>
      </c>
      <c r="B10261" t="str">
        <f>T("   France")</f>
        <v xml:space="preserve">   France</v>
      </c>
      <c r="C10261">
        <v>22880307</v>
      </c>
      <c r="D10261">
        <v>29681</v>
      </c>
    </row>
    <row r="10262" spans="1:4" x14ac:dyDescent="0.25">
      <c r="A10262" t="str">
        <f>T("   GH")</f>
        <v xml:space="preserve">   GH</v>
      </c>
      <c r="B10262" t="str">
        <f>T("   Ghana")</f>
        <v xml:space="preserve">   Ghana</v>
      </c>
      <c r="C10262">
        <v>8331134</v>
      </c>
      <c r="D10262">
        <v>27550</v>
      </c>
    </row>
    <row r="10263" spans="1:4" x14ac:dyDescent="0.25">
      <c r="A10263" t="str">
        <f>T("   MA")</f>
        <v xml:space="preserve">   MA</v>
      </c>
      <c r="B10263" t="str">
        <f>T("   Maroc")</f>
        <v xml:space="preserve">   Maroc</v>
      </c>
      <c r="C10263">
        <v>12397643</v>
      </c>
      <c r="D10263">
        <v>17762</v>
      </c>
    </row>
    <row r="10264" spans="1:4" x14ac:dyDescent="0.25">
      <c r="A10264" t="str">
        <f>T("   NL")</f>
        <v xml:space="preserve">   NL</v>
      </c>
      <c r="B10264" t="str">
        <f>T("   Pays-bas")</f>
        <v xml:space="preserve">   Pays-bas</v>
      </c>
      <c r="C10264">
        <v>869281</v>
      </c>
      <c r="D10264">
        <v>68</v>
      </c>
    </row>
    <row r="10265" spans="1:4" x14ac:dyDescent="0.25">
      <c r="A10265" t="str">
        <f>T("   TG")</f>
        <v xml:space="preserve">   TG</v>
      </c>
      <c r="B10265" t="str">
        <f>T("   Togo")</f>
        <v xml:space="preserve">   Togo</v>
      </c>
      <c r="C10265">
        <v>10165750</v>
      </c>
      <c r="D10265">
        <v>40000</v>
      </c>
    </row>
    <row r="10266" spans="1:4" x14ac:dyDescent="0.25">
      <c r="A10266" t="str">
        <f>T("831120")</f>
        <v>831120</v>
      </c>
      <c r="B10266" t="str">
        <f>T("Fils fourrés en métaux communs, pour le soudage à l'arc")</f>
        <v>Fils fourrés en métaux communs, pour le soudage à l'arc</v>
      </c>
    </row>
    <row r="10267" spans="1:4" x14ac:dyDescent="0.25">
      <c r="A10267" t="str">
        <f>T("   ZZZ_Monde")</f>
        <v xml:space="preserve">   ZZZ_Monde</v>
      </c>
      <c r="B10267" t="str">
        <f>T("   ZZZ_Monde")</f>
        <v xml:space="preserve">   ZZZ_Monde</v>
      </c>
      <c r="C10267">
        <v>12398372</v>
      </c>
      <c r="D10267">
        <v>1103</v>
      </c>
    </row>
    <row r="10268" spans="1:4" x14ac:dyDescent="0.25">
      <c r="A10268" t="str">
        <f>T("   AT")</f>
        <v xml:space="preserve">   AT</v>
      </c>
      <c r="B10268" t="str">
        <f>T("   Autriche")</f>
        <v xml:space="preserve">   Autriche</v>
      </c>
      <c r="C10268">
        <v>12398372</v>
      </c>
      <c r="D10268">
        <v>1103</v>
      </c>
    </row>
    <row r="10269" spans="1:4" x14ac:dyDescent="0.25">
      <c r="A10269" t="str">
        <f>T("831130")</f>
        <v>831130</v>
      </c>
      <c r="B10269" t="str">
        <f>T("Baguettes enrobées et fils fourrés en métaux communs, pour brasage ou soudage à la flamme (à l'excl. des fils et baguettes à âme décapante chez lesquels le métal de brasage, décapants et fondants non compris, contient &gt;= 2% en poids d'un métal précieux)")</f>
        <v>Baguettes enrobées et fils fourrés en métaux communs, pour brasage ou soudage à la flamme (à l'excl. des fils et baguettes à âme décapante chez lesquels le métal de brasage, décapants et fondants non compris, contient &gt;= 2% en poids d'un métal précieux)</v>
      </c>
    </row>
    <row r="10270" spans="1:4" x14ac:dyDescent="0.25">
      <c r="A10270" t="str">
        <f>T("   ZZZ_Monde")</f>
        <v xml:space="preserve">   ZZZ_Monde</v>
      </c>
      <c r="B10270" t="str">
        <f>T("   ZZZ_Monde")</f>
        <v xml:space="preserve">   ZZZ_Monde</v>
      </c>
      <c r="C10270">
        <v>22258976</v>
      </c>
      <c r="D10270">
        <v>137550</v>
      </c>
    </row>
    <row r="10271" spans="1:4" x14ac:dyDescent="0.25">
      <c r="A10271" t="str">
        <f>T("   AE")</f>
        <v xml:space="preserve">   AE</v>
      </c>
      <c r="B10271" t="str">
        <f>T("   Emirats Arabes Unis")</f>
        <v xml:space="preserve">   Emirats Arabes Unis</v>
      </c>
      <c r="C10271">
        <v>1250248</v>
      </c>
      <c r="D10271">
        <v>10000</v>
      </c>
    </row>
    <row r="10272" spans="1:4" x14ac:dyDescent="0.25">
      <c r="A10272" t="str">
        <f>T("   FR")</f>
        <v xml:space="preserve">   FR</v>
      </c>
      <c r="B10272" t="str">
        <f>T("   France")</f>
        <v xml:space="preserve">   France</v>
      </c>
      <c r="C10272">
        <v>2798956</v>
      </c>
      <c r="D10272">
        <v>4583</v>
      </c>
    </row>
    <row r="10273" spans="1:4" x14ac:dyDescent="0.25">
      <c r="A10273" t="str">
        <f>T("   NG")</f>
        <v xml:space="preserve">   NG</v>
      </c>
      <c r="B10273" t="str">
        <f>T("   Nigéria")</f>
        <v xml:space="preserve">   Nigéria</v>
      </c>
      <c r="C10273">
        <v>1509500</v>
      </c>
      <c r="D10273">
        <v>3910</v>
      </c>
    </row>
    <row r="10274" spans="1:4" x14ac:dyDescent="0.25">
      <c r="A10274" t="str">
        <f>T("   TG")</f>
        <v xml:space="preserve">   TG</v>
      </c>
      <c r="B10274" t="str">
        <f>T("   Togo")</f>
        <v xml:space="preserve">   Togo</v>
      </c>
      <c r="C10274">
        <v>16700272</v>
      </c>
      <c r="D10274">
        <v>119057</v>
      </c>
    </row>
    <row r="10275" spans="1:4" x14ac:dyDescent="0.25">
      <c r="A10275" t="str">
        <f>T("831190")</f>
        <v>831190</v>
      </c>
      <c r="B10275" t="str">
        <f>T("Fils, baguettes, tubes, plaques, électrodes et articles simil. en métaux communs ou en carbures métalliques, enrobés ou fourrés de décapants ou de fondants, pour brasage, soudage ou dépôt de métal ou de carbures métalliques, n.d.a., ainsi que fils et bagu")</f>
        <v>Fils, baguettes, tubes, plaques, électrodes et articles simil. en métaux communs ou en carbures métalliques, enrobés ou fourrés de décapants ou de fondants, pour brasage, soudage ou dépôt de métal ou de carbures métalliques, n.d.a., ainsi que fils et bagu</v>
      </c>
    </row>
    <row r="10276" spans="1:4" x14ac:dyDescent="0.25">
      <c r="A10276" t="str">
        <f>T("   ZZZ_Monde")</f>
        <v xml:space="preserve">   ZZZ_Monde</v>
      </c>
      <c r="B10276" t="str">
        <f>T("   ZZZ_Monde")</f>
        <v xml:space="preserve">   ZZZ_Monde</v>
      </c>
      <c r="C10276">
        <v>33328737</v>
      </c>
      <c r="D10276">
        <v>11493</v>
      </c>
    </row>
    <row r="10277" spans="1:4" x14ac:dyDescent="0.25">
      <c r="A10277" t="str">
        <f>T("   CN")</f>
        <v xml:space="preserve">   CN</v>
      </c>
      <c r="B10277" t="str">
        <f>T("   Chine")</f>
        <v xml:space="preserve">   Chine</v>
      </c>
      <c r="C10277">
        <v>3122486</v>
      </c>
      <c r="D10277">
        <v>4888</v>
      </c>
    </row>
    <row r="10278" spans="1:4" x14ac:dyDescent="0.25">
      <c r="A10278" t="str">
        <f>T("   FR")</f>
        <v xml:space="preserve">   FR</v>
      </c>
      <c r="B10278" t="str">
        <f>T("   France")</f>
        <v xml:space="preserve">   France</v>
      </c>
      <c r="C10278">
        <v>30206251</v>
      </c>
      <c r="D10278">
        <v>6605</v>
      </c>
    </row>
    <row r="10279" spans="1:4" x14ac:dyDescent="0.25">
      <c r="A10279" t="str">
        <f>T("840220")</f>
        <v>840220</v>
      </c>
      <c r="B10279" t="str">
        <f>T("Chaudières dites -à eau surchauffée-")</f>
        <v>Chaudières dites -à eau surchauffée-</v>
      </c>
    </row>
    <row r="10280" spans="1:4" x14ac:dyDescent="0.25">
      <c r="A10280" t="str">
        <f>T("   ZZZ_Monde")</f>
        <v xml:space="preserve">   ZZZ_Monde</v>
      </c>
      <c r="B10280" t="str">
        <f>T("   ZZZ_Monde")</f>
        <v xml:space="preserve">   ZZZ_Monde</v>
      </c>
      <c r="C10280">
        <v>2500</v>
      </c>
      <c r="D10280">
        <v>10</v>
      </c>
    </row>
    <row r="10281" spans="1:4" x14ac:dyDescent="0.25">
      <c r="A10281" t="str">
        <f>T("   NG")</f>
        <v xml:space="preserve">   NG</v>
      </c>
      <c r="B10281" t="str">
        <f>T("   Nigéria")</f>
        <v xml:space="preserve">   Nigéria</v>
      </c>
      <c r="C10281">
        <v>2500</v>
      </c>
      <c r="D10281">
        <v>10</v>
      </c>
    </row>
    <row r="10282" spans="1:4" x14ac:dyDescent="0.25">
      <c r="A10282" t="str">
        <f>T("840290")</f>
        <v>840290</v>
      </c>
      <c r="B10282" t="str">
        <f>T("Parties de chaudières à vapeur et de chaudières dites -à eau surchauffée-, n.d.a.")</f>
        <v>Parties de chaudières à vapeur et de chaudières dites -à eau surchauffée-, n.d.a.</v>
      </c>
    </row>
    <row r="10283" spans="1:4" x14ac:dyDescent="0.25">
      <c r="A10283" t="str">
        <f>T("   ZZZ_Monde")</f>
        <v xml:space="preserve">   ZZZ_Monde</v>
      </c>
      <c r="B10283" t="str">
        <f>T("   ZZZ_Monde")</f>
        <v xml:space="preserve">   ZZZ_Monde</v>
      </c>
      <c r="C10283">
        <v>91841617</v>
      </c>
      <c r="D10283">
        <v>10164</v>
      </c>
    </row>
    <row r="10284" spans="1:4" x14ac:dyDescent="0.25">
      <c r="A10284" t="str">
        <f>T("   DE")</f>
        <v xml:space="preserve">   DE</v>
      </c>
      <c r="B10284" t="str">
        <f>T("   Allemagne")</f>
        <v xml:space="preserve">   Allemagne</v>
      </c>
      <c r="C10284">
        <v>62896069</v>
      </c>
      <c r="D10284">
        <v>9400</v>
      </c>
    </row>
    <row r="10285" spans="1:4" x14ac:dyDescent="0.25">
      <c r="A10285" t="str">
        <f>T("   FR")</f>
        <v xml:space="preserve">   FR</v>
      </c>
      <c r="B10285" t="str">
        <f>T("   France")</f>
        <v xml:space="preserve">   France</v>
      </c>
      <c r="C10285">
        <v>28945548</v>
      </c>
      <c r="D10285">
        <v>764</v>
      </c>
    </row>
    <row r="10286" spans="1:4" x14ac:dyDescent="0.25">
      <c r="A10286" t="str">
        <f>T("840310")</f>
        <v>840310</v>
      </c>
      <c r="B10286" t="str">
        <f>T("Chaudières pour le chauffage central, non-électriques (sauf chaudières à vapeur et chaudières dites -à eau surchauffée- du n° 8402)")</f>
        <v>Chaudières pour le chauffage central, non-électriques (sauf chaudières à vapeur et chaudières dites -à eau surchauffée- du n° 8402)</v>
      </c>
    </row>
    <row r="10287" spans="1:4" x14ac:dyDescent="0.25">
      <c r="A10287" t="str">
        <f>T("   ZZZ_Monde")</f>
        <v xml:space="preserve">   ZZZ_Monde</v>
      </c>
      <c r="B10287" t="str">
        <f>T("   ZZZ_Monde")</f>
        <v xml:space="preserve">   ZZZ_Monde</v>
      </c>
      <c r="C10287">
        <v>14877167</v>
      </c>
      <c r="D10287">
        <v>31923</v>
      </c>
    </row>
    <row r="10288" spans="1:4" x14ac:dyDescent="0.25">
      <c r="A10288" t="str">
        <f>T("   CN")</f>
        <v xml:space="preserve">   CN</v>
      </c>
      <c r="B10288" t="str">
        <f>T("   Chine")</f>
        <v xml:space="preserve">   Chine</v>
      </c>
      <c r="C10288">
        <v>14877167</v>
      </c>
      <c r="D10288">
        <v>31923</v>
      </c>
    </row>
    <row r="10289" spans="1:4" x14ac:dyDescent="0.25">
      <c r="A10289" t="str">
        <f>T("840510")</f>
        <v>840510</v>
      </c>
      <c r="B10289" t="str">
        <f>T("Générateurs de gaz à l'air ou de gaz à l'eau, avec ou sans leurs épurateurs; générateurs d'acétylène et générateurs simil. de gaz, par procédé à l'eau, avec ou sans leurs épurateurs (sauf fours à coke, générateurs de gaz par procédé électrolytique et lamp")</f>
        <v>Générateurs de gaz à l'air ou de gaz à l'eau, avec ou sans leurs épurateurs; générateurs d'acétylène et générateurs simil. de gaz, par procédé à l'eau, avec ou sans leurs épurateurs (sauf fours à coke, générateurs de gaz par procédé électrolytique et lamp</v>
      </c>
    </row>
    <row r="10290" spans="1:4" x14ac:dyDescent="0.25">
      <c r="A10290" t="str">
        <f>T("   ZZZ_Monde")</f>
        <v xml:space="preserve">   ZZZ_Monde</v>
      </c>
      <c r="B10290" t="str">
        <f>T("   ZZZ_Monde")</f>
        <v xml:space="preserve">   ZZZ_Monde</v>
      </c>
      <c r="C10290">
        <v>895255</v>
      </c>
      <c r="D10290">
        <v>1400</v>
      </c>
    </row>
    <row r="10291" spans="1:4" x14ac:dyDescent="0.25">
      <c r="A10291" t="str">
        <f>T("   TG")</f>
        <v xml:space="preserve">   TG</v>
      </c>
      <c r="B10291" t="str">
        <f>T("   Togo")</f>
        <v xml:space="preserve">   Togo</v>
      </c>
      <c r="C10291">
        <v>895255</v>
      </c>
      <c r="D10291">
        <v>1400</v>
      </c>
    </row>
    <row r="10292" spans="1:4" x14ac:dyDescent="0.25">
      <c r="A10292" t="str">
        <f>T("840590")</f>
        <v>840590</v>
      </c>
      <c r="B10292" t="str">
        <f>T("Parties des générateurs de gaz à l'air ou de gaz à l'eau et des générateurs d'acétylène ou des générateurs simil. de gaz par procédé à l'eau, n.d.a.")</f>
        <v>Parties des générateurs de gaz à l'air ou de gaz à l'eau et des générateurs d'acétylène ou des générateurs simil. de gaz par procédé à l'eau, n.d.a.</v>
      </c>
    </row>
    <row r="10293" spans="1:4" x14ac:dyDescent="0.25">
      <c r="A10293" t="str">
        <f>T("   ZZZ_Monde")</f>
        <v xml:space="preserve">   ZZZ_Monde</v>
      </c>
      <c r="B10293" t="str">
        <f>T("   ZZZ_Monde")</f>
        <v xml:space="preserve">   ZZZ_Monde</v>
      </c>
      <c r="C10293">
        <v>3068965</v>
      </c>
      <c r="D10293">
        <v>484</v>
      </c>
    </row>
    <row r="10294" spans="1:4" x14ac:dyDescent="0.25">
      <c r="A10294" t="str">
        <f>T("   FR")</f>
        <v xml:space="preserve">   FR</v>
      </c>
      <c r="B10294" t="str">
        <f>T("   France")</f>
        <v xml:space="preserve">   France</v>
      </c>
      <c r="C10294">
        <v>2794390</v>
      </c>
      <c r="D10294">
        <v>134</v>
      </c>
    </row>
    <row r="10295" spans="1:4" x14ac:dyDescent="0.25">
      <c r="A10295" t="str">
        <f>T("   NG")</f>
        <v xml:space="preserve">   NG</v>
      </c>
      <c r="B10295" t="str">
        <f>T("   Nigéria")</f>
        <v xml:space="preserve">   Nigéria</v>
      </c>
      <c r="C10295">
        <v>274575</v>
      </c>
      <c r="D10295">
        <v>350</v>
      </c>
    </row>
    <row r="10296" spans="1:4" x14ac:dyDescent="0.25">
      <c r="A10296" t="str">
        <f>T("840721")</f>
        <v>840721</v>
      </c>
      <c r="B10296" t="s">
        <v>17</v>
      </c>
    </row>
    <row r="10297" spans="1:4" x14ac:dyDescent="0.25">
      <c r="A10297" t="str">
        <f>T("   ZZZ_Monde")</f>
        <v xml:space="preserve">   ZZZ_Monde</v>
      </c>
      <c r="B10297" t="str">
        <f>T("   ZZZ_Monde")</f>
        <v xml:space="preserve">   ZZZ_Monde</v>
      </c>
      <c r="C10297">
        <v>6459239</v>
      </c>
      <c r="D10297">
        <v>632</v>
      </c>
    </row>
    <row r="10298" spans="1:4" x14ac:dyDescent="0.25">
      <c r="A10298" t="str">
        <f>T("   FR")</f>
        <v xml:space="preserve">   FR</v>
      </c>
      <c r="B10298" t="str">
        <f>T("   France")</f>
        <v xml:space="preserve">   France</v>
      </c>
      <c r="C10298">
        <v>6459239</v>
      </c>
      <c r="D10298">
        <v>632</v>
      </c>
    </row>
    <row r="10299" spans="1:4" x14ac:dyDescent="0.25">
      <c r="A10299" t="str">
        <f>T("840729")</f>
        <v>840729</v>
      </c>
      <c r="B10299" t="s">
        <v>18</v>
      </c>
    </row>
    <row r="10300" spans="1:4" x14ac:dyDescent="0.25">
      <c r="A10300" t="str">
        <f>T("   ZZZ_Monde")</f>
        <v xml:space="preserve">   ZZZ_Monde</v>
      </c>
      <c r="B10300" t="str">
        <f>T("   ZZZ_Monde")</f>
        <v xml:space="preserve">   ZZZ_Monde</v>
      </c>
      <c r="C10300">
        <v>850645</v>
      </c>
      <c r="D10300">
        <v>750</v>
      </c>
    </row>
    <row r="10301" spans="1:4" x14ac:dyDescent="0.25">
      <c r="A10301" t="str">
        <f>T("   BE")</f>
        <v xml:space="preserve">   BE</v>
      </c>
      <c r="B10301" t="str">
        <f>T("   Belgique")</f>
        <v xml:space="preserve">   Belgique</v>
      </c>
      <c r="C10301">
        <v>450645</v>
      </c>
      <c r="D10301">
        <v>350</v>
      </c>
    </row>
    <row r="10302" spans="1:4" x14ac:dyDescent="0.25">
      <c r="A10302" t="str">
        <f>T("   NG")</f>
        <v xml:space="preserve">   NG</v>
      </c>
      <c r="B10302" t="str">
        <f>T("   Nigéria")</f>
        <v xml:space="preserve">   Nigéria</v>
      </c>
      <c r="C10302">
        <v>400000</v>
      </c>
      <c r="D10302">
        <v>400</v>
      </c>
    </row>
    <row r="10303" spans="1:4" x14ac:dyDescent="0.25">
      <c r="A10303" t="str">
        <f>T("840732")</f>
        <v>840732</v>
      </c>
      <c r="B10303" t="s">
        <v>19</v>
      </c>
    </row>
    <row r="10304" spans="1:4" x14ac:dyDescent="0.25">
      <c r="A10304" t="str">
        <f>T("   ZZZ_Monde")</f>
        <v xml:space="preserve">   ZZZ_Monde</v>
      </c>
      <c r="B10304" t="str">
        <f>T("   ZZZ_Monde")</f>
        <v xml:space="preserve">   ZZZ_Monde</v>
      </c>
      <c r="C10304">
        <v>3364788</v>
      </c>
      <c r="D10304">
        <v>795</v>
      </c>
    </row>
    <row r="10305" spans="1:4" x14ac:dyDescent="0.25">
      <c r="A10305" t="str">
        <f>T("   CN")</f>
        <v xml:space="preserve">   CN</v>
      </c>
      <c r="B10305" t="str">
        <f>T("   Chine")</f>
        <v xml:space="preserve">   Chine</v>
      </c>
      <c r="C10305">
        <v>3364788</v>
      </c>
      <c r="D10305">
        <v>795</v>
      </c>
    </row>
    <row r="10306" spans="1:4" x14ac:dyDescent="0.25">
      <c r="A10306" t="str">
        <f>T("840733")</f>
        <v>840733</v>
      </c>
      <c r="B10306" t="s">
        <v>20</v>
      </c>
    </row>
    <row r="10307" spans="1:4" x14ac:dyDescent="0.25">
      <c r="A10307" t="str">
        <f>T("   ZZZ_Monde")</f>
        <v xml:space="preserve">   ZZZ_Monde</v>
      </c>
      <c r="B10307" t="str">
        <f>T("   ZZZ_Monde")</f>
        <v xml:space="preserve">   ZZZ_Monde</v>
      </c>
      <c r="C10307">
        <v>300430</v>
      </c>
      <c r="D10307">
        <v>150</v>
      </c>
    </row>
    <row r="10308" spans="1:4" x14ac:dyDescent="0.25">
      <c r="A10308" t="str">
        <f>T("   FR")</f>
        <v xml:space="preserve">   FR</v>
      </c>
      <c r="B10308" t="str">
        <f>T("   France")</f>
        <v xml:space="preserve">   France</v>
      </c>
      <c r="C10308">
        <v>300430</v>
      </c>
      <c r="D10308">
        <v>150</v>
      </c>
    </row>
    <row r="10309" spans="1:4" x14ac:dyDescent="0.25">
      <c r="A10309" t="str">
        <f>T("840734")</f>
        <v>840734</v>
      </c>
      <c r="B10309" t="s">
        <v>21</v>
      </c>
    </row>
    <row r="10310" spans="1:4" x14ac:dyDescent="0.25">
      <c r="A10310" t="str">
        <f>T("   ZZZ_Monde")</f>
        <v xml:space="preserve">   ZZZ_Monde</v>
      </c>
      <c r="B10310" t="str">
        <f>T("   ZZZ_Monde")</f>
        <v xml:space="preserve">   ZZZ_Monde</v>
      </c>
      <c r="C10310">
        <v>16286163</v>
      </c>
      <c r="D10310">
        <v>23730</v>
      </c>
    </row>
    <row r="10311" spans="1:4" x14ac:dyDescent="0.25">
      <c r="A10311" t="str">
        <f>T("   DE")</f>
        <v xml:space="preserve">   DE</v>
      </c>
      <c r="B10311" t="str">
        <f>T("   Allemagne")</f>
        <v xml:space="preserve">   Allemagne</v>
      </c>
      <c r="C10311">
        <v>8150000</v>
      </c>
      <c r="D10311">
        <v>15500</v>
      </c>
    </row>
    <row r="10312" spans="1:4" x14ac:dyDescent="0.25">
      <c r="A10312" t="str">
        <f>T("   NG")</f>
        <v xml:space="preserve">   NG</v>
      </c>
      <c r="B10312" t="str">
        <f>T("   Nigéria")</f>
        <v xml:space="preserve">   Nigéria</v>
      </c>
      <c r="C10312">
        <v>7900000</v>
      </c>
      <c r="D10312">
        <v>7250</v>
      </c>
    </row>
    <row r="10313" spans="1:4" x14ac:dyDescent="0.25">
      <c r="A10313" t="str">
        <f>T("   TG")</f>
        <v xml:space="preserve">   TG</v>
      </c>
      <c r="B10313" t="str">
        <f>T("   Togo")</f>
        <v xml:space="preserve">   Togo</v>
      </c>
      <c r="C10313">
        <v>236163</v>
      </c>
      <c r="D10313">
        <v>980</v>
      </c>
    </row>
    <row r="10314" spans="1:4" x14ac:dyDescent="0.25">
      <c r="A10314" t="str">
        <f>T("840790")</f>
        <v>840790</v>
      </c>
      <c r="B10314" t="s">
        <v>22</v>
      </c>
    </row>
    <row r="10315" spans="1:4" x14ac:dyDescent="0.25">
      <c r="A10315" t="str">
        <f>T("   ZZZ_Monde")</f>
        <v xml:space="preserve">   ZZZ_Monde</v>
      </c>
      <c r="B10315" t="str">
        <f>T("   ZZZ_Monde")</f>
        <v xml:space="preserve">   ZZZ_Monde</v>
      </c>
      <c r="C10315">
        <v>16066265</v>
      </c>
      <c r="D10315">
        <v>22023</v>
      </c>
    </row>
    <row r="10316" spans="1:4" x14ac:dyDescent="0.25">
      <c r="A10316" t="str">
        <f>T("   BE")</f>
        <v xml:space="preserve">   BE</v>
      </c>
      <c r="B10316" t="str">
        <f>T("   Belgique")</f>
        <v xml:space="preserve">   Belgique</v>
      </c>
      <c r="C10316">
        <v>2764265</v>
      </c>
      <c r="D10316">
        <v>2242</v>
      </c>
    </row>
    <row r="10317" spans="1:4" x14ac:dyDescent="0.25">
      <c r="A10317" t="str">
        <f>T("   CN")</f>
        <v xml:space="preserve">   CN</v>
      </c>
      <c r="B10317" t="str">
        <f>T("   Chine")</f>
        <v xml:space="preserve">   Chine</v>
      </c>
      <c r="C10317">
        <v>362876</v>
      </c>
      <c r="D10317">
        <v>514</v>
      </c>
    </row>
    <row r="10318" spans="1:4" x14ac:dyDescent="0.25">
      <c r="A10318" t="str">
        <f>T("   DE")</f>
        <v xml:space="preserve">   DE</v>
      </c>
      <c r="B10318" t="str">
        <f>T("   Allemagne")</f>
        <v xml:space="preserve">   Allemagne</v>
      </c>
      <c r="C10318">
        <v>4393186</v>
      </c>
      <c r="D10318">
        <v>9307</v>
      </c>
    </row>
    <row r="10319" spans="1:4" x14ac:dyDescent="0.25">
      <c r="A10319" t="str">
        <f>T("   FR")</f>
        <v xml:space="preserve">   FR</v>
      </c>
      <c r="B10319" t="str">
        <f>T("   France")</f>
        <v xml:space="preserve">   France</v>
      </c>
      <c r="C10319">
        <v>8148337</v>
      </c>
      <c r="D10319">
        <v>9210</v>
      </c>
    </row>
    <row r="10320" spans="1:4" x14ac:dyDescent="0.25">
      <c r="A10320" t="str">
        <f>T("   TG")</f>
        <v xml:space="preserve">   TG</v>
      </c>
      <c r="B10320" t="str">
        <f>T("   Togo")</f>
        <v xml:space="preserve">   Togo</v>
      </c>
      <c r="C10320">
        <v>147601</v>
      </c>
      <c r="D10320">
        <v>500</v>
      </c>
    </row>
    <row r="10321" spans="1:4" x14ac:dyDescent="0.25">
      <c r="A10321" t="str">
        <f>T("   US")</f>
        <v xml:space="preserve">   US</v>
      </c>
      <c r="B10321" t="str">
        <f>T("   Etats-Unis")</f>
        <v xml:space="preserve">   Etats-Unis</v>
      </c>
      <c r="C10321">
        <v>250000</v>
      </c>
      <c r="D10321">
        <v>250</v>
      </c>
    </row>
    <row r="10322" spans="1:4" x14ac:dyDescent="0.25">
      <c r="A10322" t="str">
        <f>T("840820")</f>
        <v>840820</v>
      </c>
      <c r="B10322" t="s">
        <v>23</v>
      </c>
    </row>
    <row r="10323" spans="1:4" x14ac:dyDescent="0.25">
      <c r="A10323" t="str">
        <f>T("   ZZZ_Monde")</f>
        <v xml:space="preserve">   ZZZ_Monde</v>
      </c>
      <c r="B10323" t="str">
        <f>T("   ZZZ_Monde")</f>
        <v xml:space="preserve">   ZZZ_Monde</v>
      </c>
      <c r="C10323">
        <v>9200152</v>
      </c>
      <c r="D10323">
        <v>29580</v>
      </c>
    </row>
    <row r="10324" spans="1:4" x14ac:dyDescent="0.25">
      <c r="A10324" t="str">
        <f>T("   BE")</f>
        <v xml:space="preserve">   BE</v>
      </c>
      <c r="B10324" t="str">
        <f>T("   Belgique")</f>
        <v xml:space="preserve">   Belgique</v>
      </c>
      <c r="C10324">
        <v>2952476</v>
      </c>
      <c r="D10324">
        <v>11000</v>
      </c>
    </row>
    <row r="10325" spans="1:4" x14ac:dyDescent="0.25">
      <c r="A10325" t="str">
        <f>T("   DE")</f>
        <v xml:space="preserve">   DE</v>
      </c>
      <c r="B10325" t="str">
        <f>T("   Allemagne")</f>
        <v xml:space="preserve">   Allemagne</v>
      </c>
      <c r="C10325">
        <v>3460279</v>
      </c>
      <c r="D10325">
        <v>13300</v>
      </c>
    </row>
    <row r="10326" spans="1:4" x14ac:dyDescent="0.25">
      <c r="A10326" t="str">
        <f>T("   FR")</f>
        <v xml:space="preserve">   FR</v>
      </c>
      <c r="B10326" t="str">
        <f>T("   France")</f>
        <v xml:space="preserve">   France</v>
      </c>
      <c r="C10326">
        <v>200068</v>
      </c>
      <c r="D10326">
        <v>730</v>
      </c>
    </row>
    <row r="10327" spans="1:4" x14ac:dyDescent="0.25">
      <c r="A10327" t="str">
        <f>T("   GB")</f>
        <v xml:space="preserve">   GB</v>
      </c>
      <c r="B10327" t="str">
        <f>T("   Royaume-Uni")</f>
        <v xml:space="preserve">   Royaume-Uni</v>
      </c>
      <c r="C10327">
        <v>1082500</v>
      </c>
      <c r="D10327">
        <v>550</v>
      </c>
    </row>
    <row r="10328" spans="1:4" x14ac:dyDescent="0.25">
      <c r="A10328" t="str">
        <f>T("   TG")</f>
        <v xml:space="preserve">   TG</v>
      </c>
      <c r="B10328" t="str">
        <f>T("   Togo")</f>
        <v xml:space="preserve">   Togo</v>
      </c>
      <c r="C10328">
        <v>1254608</v>
      </c>
      <c r="D10328">
        <v>3500</v>
      </c>
    </row>
    <row r="10329" spans="1:4" x14ac:dyDescent="0.25">
      <c r="A10329" t="str">
        <f>T("   US")</f>
        <v xml:space="preserve">   US</v>
      </c>
      <c r="B10329" t="str">
        <f>T("   Etats-Unis")</f>
        <v xml:space="preserve">   Etats-Unis</v>
      </c>
      <c r="C10329">
        <v>250221</v>
      </c>
      <c r="D10329">
        <v>500</v>
      </c>
    </row>
    <row r="10330" spans="1:4" x14ac:dyDescent="0.25">
      <c r="A10330" t="str">
        <f>T("840890")</f>
        <v>840890</v>
      </c>
      <c r="B10330" t="s">
        <v>24</v>
      </c>
    </row>
    <row r="10331" spans="1:4" x14ac:dyDescent="0.25">
      <c r="A10331" t="str">
        <f>T("   ZZZ_Monde")</f>
        <v xml:space="preserve">   ZZZ_Monde</v>
      </c>
      <c r="B10331" t="str">
        <f>T("   ZZZ_Monde")</f>
        <v xml:space="preserve">   ZZZ_Monde</v>
      </c>
      <c r="C10331">
        <v>84415269</v>
      </c>
      <c r="D10331">
        <v>80139</v>
      </c>
    </row>
    <row r="10332" spans="1:4" x14ac:dyDescent="0.25">
      <c r="A10332" t="str">
        <f>T("   BE")</f>
        <v xml:space="preserve">   BE</v>
      </c>
      <c r="B10332" t="str">
        <f>T("   Belgique")</f>
        <v xml:space="preserve">   Belgique</v>
      </c>
      <c r="C10332">
        <v>14527503</v>
      </c>
      <c r="D10332">
        <v>23019</v>
      </c>
    </row>
    <row r="10333" spans="1:4" x14ac:dyDescent="0.25">
      <c r="A10333" t="str">
        <f>T("   CH")</f>
        <v xml:space="preserve">   CH</v>
      </c>
      <c r="B10333" t="str">
        <f>T("   Suisse")</f>
        <v xml:space="preserve">   Suisse</v>
      </c>
      <c r="C10333">
        <v>619226</v>
      </c>
      <c r="D10333">
        <v>100</v>
      </c>
    </row>
    <row r="10334" spans="1:4" x14ac:dyDescent="0.25">
      <c r="A10334" t="str">
        <f>T("   DE")</f>
        <v xml:space="preserve">   DE</v>
      </c>
      <c r="B10334" t="str">
        <f>T("   Allemagne")</f>
        <v xml:space="preserve">   Allemagne</v>
      </c>
      <c r="C10334">
        <v>2880970</v>
      </c>
      <c r="D10334">
        <v>12163</v>
      </c>
    </row>
    <row r="10335" spans="1:4" x14ac:dyDescent="0.25">
      <c r="A10335" t="str">
        <f>T("   FR")</f>
        <v xml:space="preserve">   FR</v>
      </c>
      <c r="B10335" t="str">
        <f>T("   France")</f>
        <v xml:space="preserve">   France</v>
      </c>
      <c r="C10335">
        <v>45835536</v>
      </c>
      <c r="D10335">
        <v>41917</v>
      </c>
    </row>
    <row r="10336" spans="1:4" x14ac:dyDescent="0.25">
      <c r="A10336" t="str">
        <f>T("   IN")</f>
        <v xml:space="preserve">   IN</v>
      </c>
      <c r="B10336" t="str">
        <f>T("   Inde")</f>
        <v xml:space="preserve">   Inde</v>
      </c>
      <c r="C10336">
        <v>10718745</v>
      </c>
      <c r="D10336">
        <v>730</v>
      </c>
    </row>
    <row r="10337" spans="1:4" x14ac:dyDescent="0.25">
      <c r="A10337" t="str">
        <f>T("   NL")</f>
        <v xml:space="preserve">   NL</v>
      </c>
      <c r="B10337" t="str">
        <f>T("   Pays-bas")</f>
        <v xml:space="preserve">   Pays-bas</v>
      </c>
      <c r="C10337">
        <v>9538086</v>
      </c>
      <c r="D10337">
        <v>1730</v>
      </c>
    </row>
    <row r="10338" spans="1:4" x14ac:dyDescent="0.25">
      <c r="A10338" t="str">
        <f>T("   TG")</f>
        <v xml:space="preserve">   TG</v>
      </c>
      <c r="B10338" t="str">
        <f>T("   Togo")</f>
        <v xml:space="preserve">   Togo</v>
      </c>
      <c r="C10338">
        <v>295203</v>
      </c>
      <c r="D10338">
        <v>480</v>
      </c>
    </row>
    <row r="10339" spans="1:4" x14ac:dyDescent="0.25">
      <c r="A10339" t="str">
        <f>T("840991")</f>
        <v>840991</v>
      </c>
      <c r="B10339" t="str">
        <f>T("Parties reconnaissables comme étant exclusivement ou principalement destinées aux moteurs à piston à allumage par étincelles, n.d.a.")</f>
        <v>Parties reconnaissables comme étant exclusivement ou principalement destinées aux moteurs à piston à allumage par étincelles, n.d.a.</v>
      </c>
    </row>
    <row r="10340" spans="1:4" x14ac:dyDescent="0.25">
      <c r="A10340" t="str">
        <f>T("   ZZZ_Monde")</f>
        <v xml:space="preserve">   ZZZ_Monde</v>
      </c>
      <c r="B10340" t="str">
        <f>T("   ZZZ_Monde")</f>
        <v xml:space="preserve">   ZZZ_Monde</v>
      </c>
      <c r="C10340">
        <v>8234955</v>
      </c>
      <c r="D10340">
        <v>2237</v>
      </c>
    </row>
    <row r="10341" spans="1:4" x14ac:dyDescent="0.25">
      <c r="A10341" t="str">
        <f>T("   CN")</f>
        <v xml:space="preserve">   CN</v>
      </c>
      <c r="B10341" t="str">
        <f>T("   Chine")</f>
        <v xml:space="preserve">   Chine</v>
      </c>
      <c r="C10341">
        <v>512545</v>
      </c>
      <c r="D10341">
        <v>1000</v>
      </c>
    </row>
    <row r="10342" spans="1:4" x14ac:dyDescent="0.25">
      <c r="A10342" t="str">
        <f>T("   FR")</f>
        <v xml:space="preserve">   FR</v>
      </c>
      <c r="B10342" t="str">
        <f>T("   France")</f>
        <v xml:space="preserve">   France</v>
      </c>
      <c r="C10342">
        <v>4994276</v>
      </c>
      <c r="D10342">
        <v>283</v>
      </c>
    </row>
    <row r="10343" spans="1:4" x14ac:dyDescent="0.25">
      <c r="A10343" t="str">
        <f>T("   NG")</f>
        <v xml:space="preserve">   NG</v>
      </c>
      <c r="B10343" t="str">
        <f>T("   Nigéria")</f>
        <v xml:space="preserve">   Nigéria</v>
      </c>
      <c r="C10343">
        <v>750000</v>
      </c>
      <c r="D10343">
        <v>600</v>
      </c>
    </row>
    <row r="10344" spans="1:4" x14ac:dyDescent="0.25">
      <c r="A10344" t="str">
        <f>T("   NL")</f>
        <v xml:space="preserve">   NL</v>
      </c>
      <c r="B10344" t="str">
        <f>T("   Pays-bas")</f>
        <v xml:space="preserve">   Pays-bas</v>
      </c>
      <c r="C10344">
        <v>737299</v>
      </c>
      <c r="D10344">
        <v>24</v>
      </c>
    </row>
    <row r="10345" spans="1:4" x14ac:dyDescent="0.25">
      <c r="A10345" t="str">
        <f>T("   SN")</f>
        <v xml:space="preserve">   SN</v>
      </c>
      <c r="B10345" t="str">
        <f>T("   Sénégal")</f>
        <v xml:space="preserve">   Sénégal</v>
      </c>
      <c r="C10345">
        <v>9459</v>
      </c>
      <c r="D10345">
        <v>1</v>
      </c>
    </row>
    <row r="10346" spans="1:4" x14ac:dyDescent="0.25">
      <c r="A10346" t="str">
        <f>T("   TG")</f>
        <v xml:space="preserve">   TG</v>
      </c>
      <c r="B10346" t="str">
        <f>T("   Togo")</f>
        <v xml:space="preserve">   Togo</v>
      </c>
      <c r="C10346">
        <v>103321</v>
      </c>
      <c r="D10346">
        <v>310</v>
      </c>
    </row>
    <row r="10347" spans="1:4" x14ac:dyDescent="0.25">
      <c r="A10347" t="str">
        <f>T("   US")</f>
        <v xml:space="preserve">   US</v>
      </c>
      <c r="B10347" t="str">
        <f>T("   Etats-Unis")</f>
        <v xml:space="preserve">   Etats-Unis</v>
      </c>
      <c r="C10347">
        <v>1128055</v>
      </c>
      <c r="D10347">
        <v>19</v>
      </c>
    </row>
    <row r="10348" spans="1:4" x14ac:dyDescent="0.25">
      <c r="A10348" t="str">
        <f>T("840999")</f>
        <v>840999</v>
      </c>
      <c r="B10348" t="str">
        <f>T("Parties reconnaissables comme étant exclusivement ou principalement destinées aux moteurs à piston à allumage par compression, n.d.a.")</f>
        <v>Parties reconnaissables comme étant exclusivement ou principalement destinées aux moteurs à piston à allumage par compression, n.d.a.</v>
      </c>
    </row>
    <row r="10349" spans="1:4" x14ac:dyDescent="0.25">
      <c r="A10349" t="str">
        <f>T("   ZZZ_Monde")</f>
        <v xml:space="preserve">   ZZZ_Monde</v>
      </c>
      <c r="B10349" t="str">
        <f>T("   ZZZ_Monde")</f>
        <v xml:space="preserve">   ZZZ_Monde</v>
      </c>
      <c r="C10349">
        <v>359571378</v>
      </c>
      <c r="D10349">
        <v>17022.419999999998</v>
      </c>
    </row>
    <row r="10350" spans="1:4" x14ac:dyDescent="0.25">
      <c r="A10350" t="str">
        <f>T("   AT")</f>
        <v xml:space="preserve">   AT</v>
      </c>
      <c r="B10350" t="str">
        <f>T("   Autriche")</f>
        <v xml:space="preserve">   Autriche</v>
      </c>
      <c r="C10350">
        <v>10543705</v>
      </c>
      <c r="D10350">
        <v>390.67</v>
      </c>
    </row>
    <row r="10351" spans="1:4" x14ac:dyDescent="0.25">
      <c r="A10351" t="str">
        <f>T("   BE")</f>
        <v xml:space="preserve">   BE</v>
      </c>
      <c r="B10351" t="str">
        <f>T("   Belgique")</f>
        <v xml:space="preserve">   Belgique</v>
      </c>
      <c r="C10351">
        <v>9460812</v>
      </c>
      <c r="D10351">
        <v>316.7</v>
      </c>
    </row>
    <row r="10352" spans="1:4" x14ac:dyDescent="0.25">
      <c r="A10352" t="str">
        <f>T("   CN")</f>
        <v xml:space="preserve">   CN</v>
      </c>
      <c r="B10352" t="str">
        <f>T("   Chine")</f>
        <v xml:space="preserve">   Chine</v>
      </c>
      <c r="C10352">
        <v>1253810</v>
      </c>
      <c r="D10352">
        <v>100</v>
      </c>
    </row>
    <row r="10353" spans="1:4" x14ac:dyDescent="0.25">
      <c r="A10353" t="str">
        <f>T("   DE")</f>
        <v xml:space="preserve">   DE</v>
      </c>
      <c r="B10353" t="str">
        <f>T("   Allemagne")</f>
        <v xml:space="preserve">   Allemagne</v>
      </c>
      <c r="C10353">
        <v>2911150</v>
      </c>
      <c r="D10353">
        <v>63.5</v>
      </c>
    </row>
    <row r="10354" spans="1:4" x14ac:dyDescent="0.25">
      <c r="A10354" t="str">
        <f>T("   ES")</f>
        <v xml:space="preserve">   ES</v>
      </c>
      <c r="B10354" t="str">
        <f>T("   Espagne")</f>
        <v xml:space="preserve">   Espagne</v>
      </c>
      <c r="C10354">
        <v>412776</v>
      </c>
      <c r="D10354">
        <v>104</v>
      </c>
    </row>
    <row r="10355" spans="1:4" x14ac:dyDescent="0.25">
      <c r="A10355" t="str">
        <f>T("   FR")</f>
        <v xml:space="preserve">   FR</v>
      </c>
      <c r="B10355" t="str">
        <f>T("   France")</f>
        <v xml:space="preserve">   France</v>
      </c>
      <c r="C10355">
        <v>122024213</v>
      </c>
      <c r="D10355">
        <v>9729.0499999999993</v>
      </c>
    </row>
    <row r="10356" spans="1:4" x14ac:dyDescent="0.25">
      <c r="A10356" t="str">
        <f>T("   IT")</f>
        <v xml:space="preserve">   IT</v>
      </c>
      <c r="B10356" t="str">
        <f>T("   Italie")</f>
        <v xml:space="preserve">   Italie</v>
      </c>
      <c r="C10356">
        <v>2686811</v>
      </c>
      <c r="D10356">
        <v>610</v>
      </c>
    </row>
    <row r="10357" spans="1:4" x14ac:dyDescent="0.25">
      <c r="A10357" t="str">
        <f>T("   JP")</f>
        <v xml:space="preserve">   JP</v>
      </c>
      <c r="B10357" t="str">
        <f>T("   Japon")</f>
        <v xml:space="preserve">   Japon</v>
      </c>
      <c r="C10357">
        <v>188175</v>
      </c>
      <c r="D10357">
        <v>1.5</v>
      </c>
    </row>
    <row r="10358" spans="1:4" x14ac:dyDescent="0.25">
      <c r="A10358" t="str">
        <f>T("   LB")</f>
        <v xml:space="preserve">   LB</v>
      </c>
      <c r="B10358" t="str">
        <f>T("   Liban")</f>
        <v xml:space="preserve">   Liban</v>
      </c>
      <c r="C10358">
        <v>615214</v>
      </c>
      <c r="D10358">
        <v>33</v>
      </c>
    </row>
    <row r="10359" spans="1:4" x14ac:dyDescent="0.25">
      <c r="A10359" t="str">
        <f>T("   NL")</f>
        <v xml:space="preserve">   NL</v>
      </c>
      <c r="B10359" t="str">
        <f>T("   Pays-bas")</f>
        <v xml:space="preserve">   Pays-bas</v>
      </c>
      <c r="C10359">
        <v>181430586</v>
      </c>
      <c r="D10359">
        <v>2728</v>
      </c>
    </row>
    <row r="10360" spans="1:4" x14ac:dyDescent="0.25">
      <c r="A10360" t="str">
        <f>T("   NO")</f>
        <v xml:space="preserve">   NO</v>
      </c>
      <c r="B10360" t="str">
        <f>T("   Norvège")</f>
        <v xml:space="preserve">   Norvège</v>
      </c>
      <c r="C10360">
        <v>133567</v>
      </c>
      <c r="D10360">
        <v>8</v>
      </c>
    </row>
    <row r="10361" spans="1:4" x14ac:dyDescent="0.25">
      <c r="A10361" t="str">
        <f>T("   SE")</f>
        <v xml:space="preserve">   SE</v>
      </c>
      <c r="B10361" t="str">
        <f>T("   Suède")</f>
        <v xml:space="preserve">   Suède</v>
      </c>
      <c r="C10361">
        <v>1179410</v>
      </c>
      <c r="D10361">
        <v>31</v>
      </c>
    </row>
    <row r="10362" spans="1:4" x14ac:dyDescent="0.25">
      <c r="A10362" t="str">
        <f>T("   TG")</f>
        <v xml:space="preserve">   TG</v>
      </c>
      <c r="B10362" t="str">
        <f>T("   Togo")</f>
        <v xml:space="preserve">   Togo</v>
      </c>
      <c r="C10362">
        <v>5573501</v>
      </c>
      <c r="D10362">
        <v>1080</v>
      </c>
    </row>
    <row r="10363" spans="1:4" x14ac:dyDescent="0.25">
      <c r="A10363" t="str">
        <f>T("   US")</f>
        <v xml:space="preserve">   US</v>
      </c>
      <c r="B10363" t="str">
        <f>T("   Etats-Unis")</f>
        <v xml:space="preserve">   Etats-Unis</v>
      </c>
      <c r="C10363">
        <v>21157648</v>
      </c>
      <c r="D10363">
        <v>1827</v>
      </c>
    </row>
    <row r="10364" spans="1:4" x14ac:dyDescent="0.25">
      <c r="A10364" t="str">
        <f>T("841221")</f>
        <v>841221</v>
      </c>
      <c r="B10364" t="str">
        <f>T("Moteurs hydrauliques à mouvement rectiligne -cylindres-")</f>
        <v>Moteurs hydrauliques à mouvement rectiligne -cylindres-</v>
      </c>
    </row>
    <row r="10365" spans="1:4" x14ac:dyDescent="0.25">
      <c r="A10365" t="str">
        <f>T("   ZZZ_Monde")</f>
        <v xml:space="preserve">   ZZZ_Monde</v>
      </c>
      <c r="B10365" t="str">
        <f>T("   ZZZ_Monde")</f>
        <v xml:space="preserve">   ZZZ_Monde</v>
      </c>
      <c r="C10365">
        <v>4089793</v>
      </c>
      <c r="D10365">
        <v>322</v>
      </c>
    </row>
    <row r="10366" spans="1:4" x14ac:dyDescent="0.25">
      <c r="A10366" t="str">
        <f>T("   BY")</f>
        <v xml:space="preserve">   BY</v>
      </c>
      <c r="B10366" t="str">
        <f>T("   Bélarus")</f>
        <v xml:space="preserve">   Bélarus</v>
      </c>
      <c r="C10366">
        <v>2350718</v>
      </c>
      <c r="D10366">
        <v>164</v>
      </c>
    </row>
    <row r="10367" spans="1:4" x14ac:dyDescent="0.25">
      <c r="A10367" t="str">
        <f>T("   TR")</f>
        <v xml:space="preserve">   TR</v>
      </c>
      <c r="B10367" t="str">
        <f>T("   Turquie")</f>
        <v xml:space="preserve">   Turquie</v>
      </c>
      <c r="C10367">
        <v>1739075</v>
      </c>
      <c r="D10367">
        <v>158</v>
      </c>
    </row>
    <row r="10368" spans="1:4" x14ac:dyDescent="0.25">
      <c r="A10368" t="str">
        <f>T("841229")</f>
        <v>841229</v>
      </c>
      <c r="B10368" t="str">
        <f>T("Moteurs hydrauliques (autres que turbines hydrauliques ou roues hydrauliques du n° 8410, turbines à vapeur et moteurs hydrauliques, à mouvement rectiligne -cylindres-)")</f>
        <v>Moteurs hydrauliques (autres que turbines hydrauliques ou roues hydrauliques du n° 8410, turbines à vapeur et moteurs hydrauliques, à mouvement rectiligne -cylindres-)</v>
      </c>
    </row>
    <row r="10369" spans="1:4" x14ac:dyDescent="0.25">
      <c r="A10369" t="str">
        <f>T("   ZZZ_Monde")</f>
        <v xml:space="preserve">   ZZZ_Monde</v>
      </c>
      <c r="B10369" t="str">
        <f>T("   ZZZ_Monde")</f>
        <v xml:space="preserve">   ZZZ_Monde</v>
      </c>
      <c r="C10369">
        <v>16976288</v>
      </c>
      <c r="D10369">
        <v>1358</v>
      </c>
    </row>
    <row r="10370" spans="1:4" x14ac:dyDescent="0.25">
      <c r="A10370" t="str">
        <f>T("   FR")</f>
        <v xml:space="preserve">   FR</v>
      </c>
      <c r="B10370" t="str">
        <f>T("   France")</f>
        <v xml:space="preserve">   France</v>
      </c>
      <c r="C10370">
        <v>13546566</v>
      </c>
      <c r="D10370">
        <v>428</v>
      </c>
    </row>
    <row r="10371" spans="1:4" x14ac:dyDescent="0.25">
      <c r="A10371" t="str">
        <f>T("   TG")</f>
        <v xml:space="preserve">   TG</v>
      </c>
      <c r="B10371" t="str">
        <f>T("   Togo")</f>
        <v xml:space="preserve">   Togo</v>
      </c>
      <c r="C10371">
        <v>3429722</v>
      </c>
      <c r="D10371">
        <v>930</v>
      </c>
    </row>
    <row r="10372" spans="1:4" x14ac:dyDescent="0.25">
      <c r="A10372" t="str">
        <f>T("841231")</f>
        <v>841231</v>
      </c>
      <c r="B10372" t="str">
        <f>T("Moteurs pneumatiques, à mouvement rectiligne -cylindres-")</f>
        <v>Moteurs pneumatiques, à mouvement rectiligne -cylindres-</v>
      </c>
    </row>
    <row r="10373" spans="1:4" x14ac:dyDescent="0.25">
      <c r="A10373" t="str">
        <f>T("   ZZZ_Monde")</f>
        <v xml:space="preserve">   ZZZ_Monde</v>
      </c>
      <c r="B10373" t="str">
        <f>T("   ZZZ_Monde")</f>
        <v xml:space="preserve">   ZZZ_Monde</v>
      </c>
      <c r="C10373">
        <v>25374714</v>
      </c>
      <c r="D10373">
        <v>529</v>
      </c>
    </row>
    <row r="10374" spans="1:4" x14ac:dyDescent="0.25">
      <c r="A10374" t="str">
        <f>T("   AT")</f>
        <v xml:space="preserve">   AT</v>
      </c>
      <c r="B10374" t="str">
        <f>T("   Autriche")</f>
        <v xml:space="preserve">   Autriche</v>
      </c>
      <c r="C10374">
        <v>25018249</v>
      </c>
      <c r="D10374">
        <v>523</v>
      </c>
    </row>
    <row r="10375" spans="1:4" x14ac:dyDescent="0.25">
      <c r="A10375" t="str">
        <f>T("   DE")</f>
        <v xml:space="preserve">   DE</v>
      </c>
      <c r="B10375" t="str">
        <f>T("   Allemagne")</f>
        <v xml:space="preserve">   Allemagne</v>
      </c>
      <c r="C10375">
        <v>356465</v>
      </c>
      <c r="D10375">
        <v>6</v>
      </c>
    </row>
    <row r="10376" spans="1:4" x14ac:dyDescent="0.25">
      <c r="A10376" t="str">
        <f>T("841239")</f>
        <v>841239</v>
      </c>
      <c r="B10376" t="str">
        <f>T("Moteurs pneumatiques (sauf moteurs pneumatiques à mouvement rectiligne -cylindres-)")</f>
        <v>Moteurs pneumatiques (sauf moteurs pneumatiques à mouvement rectiligne -cylindres-)</v>
      </c>
    </row>
    <row r="10377" spans="1:4" x14ac:dyDescent="0.25">
      <c r="A10377" t="str">
        <f>T("   ZZZ_Monde")</f>
        <v xml:space="preserve">   ZZZ_Monde</v>
      </c>
      <c r="B10377" t="str">
        <f>T("   ZZZ_Monde")</f>
        <v xml:space="preserve">   ZZZ_Monde</v>
      </c>
      <c r="C10377">
        <v>1480000</v>
      </c>
      <c r="D10377">
        <v>400</v>
      </c>
    </row>
    <row r="10378" spans="1:4" x14ac:dyDescent="0.25">
      <c r="A10378" t="str">
        <f>T("   FR")</f>
        <v xml:space="preserve">   FR</v>
      </c>
      <c r="B10378" t="str">
        <f>T("   France")</f>
        <v xml:space="preserve">   France</v>
      </c>
      <c r="C10378">
        <v>1480000</v>
      </c>
      <c r="D10378">
        <v>400</v>
      </c>
    </row>
    <row r="10379" spans="1:4" x14ac:dyDescent="0.25">
      <c r="A10379" t="str">
        <f>T("841280")</f>
        <v>841280</v>
      </c>
      <c r="B10379" t="str">
        <f>T("Moteurs et machines motrices (à l'excl. des turbines à vapeur, moteurs à piston, turbines hydrauliques, roues hydrauliques, turbines à gaz, moteurs à réaction, moteurs hydrauliques et oléohydrauliques, moteurs pneumatiques et sauf moteurs électriques)")</f>
        <v>Moteurs et machines motrices (à l'excl. des turbines à vapeur, moteurs à piston, turbines hydrauliques, roues hydrauliques, turbines à gaz, moteurs à réaction, moteurs hydrauliques et oléohydrauliques, moteurs pneumatiques et sauf moteurs électriques)</v>
      </c>
    </row>
    <row r="10380" spans="1:4" x14ac:dyDescent="0.25">
      <c r="A10380" t="str">
        <f>T("   ZZZ_Monde")</f>
        <v xml:space="preserve">   ZZZ_Monde</v>
      </c>
      <c r="B10380" t="str">
        <f>T("   ZZZ_Monde")</f>
        <v xml:space="preserve">   ZZZ_Monde</v>
      </c>
      <c r="C10380">
        <v>49529927</v>
      </c>
      <c r="D10380">
        <v>15815</v>
      </c>
    </row>
    <row r="10381" spans="1:4" x14ac:dyDescent="0.25">
      <c r="A10381" t="str">
        <f>T("   CA")</f>
        <v xml:space="preserve">   CA</v>
      </c>
      <c r="B10381" t="str">
        <f>T("   Canada")</f>
        <v xml:space="preserve">   Canada</v>
      </c>
      <c r="C10381">
        <v>26449223</v>
      </c>
      <c r="D10381">
        <v>8124</v>
      </c>
    </row>
    <row r="10382" spans="1:4" x14ac:dyDescent="0.25">
      <c r="A10382" t="str">
        <f>T("   FR")</f>
        <v xml:space="preserve">   FR</v>
      </c>
      <c r="B10382" t="str">
        <f>T("   France")</f>
        <v xml:space="preserve">   France</v>
      </c>
      <c r="C10382">
        <v>1924000</v>
      </c>
      <c r="D10382">
        <v>1300</v>
      </c>
    </row>
    <row r="10383" spans="1:4" x14ac:dyDescent="0.25">
      <c r="A10383" t="str">
        <f>T("   NO")</f>
        <v xml:space="preserve">   NO</v>
      </c>
      <c r="B10383" t="str">
        <f>T("   Norvège")</f>
        <v xml:space="preserve">   Norvège</v>
      </c>
      <c r="C10383">
        <v>20999142</v>
      </c>
      <c r="D10383">
        <v>4541</v>
      </c>
    </row>
    <row r="10384" spans="1:4" x14ac:dyDescent="0.25">
      <c r="A10384" t="str">
        <f>T("   TG")</f>
        <v xml:space="preserve">   TG</v>
      </c>
      <c r="B10384" t="str">
        <f>T("   Togo")</f>
        <v xml:space="preserve">   Togo</v>
      </c>
      <c r="C10384">
        <v>157562</v>
      </c>
      <c r="D10384">
        <v>1850</v>
      </c>
    </row>
    <row r="10385" spans="1:4" x14ac:dyDescent="0.25">
      <c r="A10385" t="str">
        <f>T("841290")</f>
        <v>841290</v>
      </c>
      <c r="B10385" t="str">
        <f>T("PARTIES DE MOTEURS ET MACHINES MOTRICES NON-ÉLECTRIQUES, N.D.A.")</f>
        <v>PARTIES DE MOTEURS ET MACHINES MOTRICES NON-ÉLECTRIQUES, N.D.A.</v>
      </c>
    </row>
    <row r="10386" spans="1:4" x14ac:dyDescent="0.25">
      <c r="A10386" t="str">
        <f>T("   ZZZ_Monde")</f>
        <v xml:space="preserve">   ZZZ_Monde</v>
      </c>
      <c r="B10386" t="str">
        <f>T("   ZZZ_Monde")</f>
        <v xml:space="preserve">   ZZZ_Monde</v>
      </c>
      <c r="C10386">
        <v>4486044</v>
      </c>
      <c r="D10386">
        <v>2121</v>
      </c>
    </row>
    <row r="10387" spans="1:4" x14ac:dyDescent="0.25">
      <c r="A10387" t="str">
        <f>T("   BE")</f>
        <v xml:space="preserve">   BE</v>
      </c>
      <c r="B10387" t="str">
        <f>T("   Belgique")</f>
        <v xml:space="preserve">   Belgique</v>
      </c>
      <c r="C10387">
        <v>754354</v>
      </c>
      <c r="D10387">
        <v>1950</v>
      </c>
    </row>
    <row r="10388" spans="1:4" x14ac:dyDescent="0.25">
      <c r="A10388" t="str">
        <f>T("   FR")</f>
        <v xml:space="preserve">   FR</v>
      </c>
      <c r="B10388" t="str">
        <f>T("   France")</f>
        <v xml:space="preserve">   France</v>
      </c>
      <c r="C10388">
        <v>712373</v>
      </c>
      <c r="D10388">
        <v>151</v>
      </c>
    </row>
    <row r="10389" spans="1:4" x14ac:dyDescent="0.25">
      <c r="A10389" t="str">
        <f>T("   US")</f>
        <v xml:space="preserve">   US</v>
      </c>
      <c r="B10389" t="str">
        <f>T("   Etats-Unis")</f>
        <v xml:space="preserve">   Etats-Unis</v>
      </c>
      <c r="C10389">
        <v>3019317</v>
      </c>
      <c r="D10389">
        <v>20</v>
      </c>
    </row>
    <row r="10390" spans="1:4" x14ac:dyDescent="0.25">
      <c r="A10390" t="str">
        <f>T("841311")</f>
        <v>841311</v>
      </c>
      <c r="B10390" t="str">
        <f>T("Pompes pour distribution, comportant un dispositif mesureur de liquide ou conçues pour en comporter pour carburants ou lubrifiants, des types utilisés dans les stations-service ou les garages")</f>
        <v>Pompes pour distribution, comportant un dispositif mesureur de liquide ou conçues pour en comporter pour carburants ou lubrifiants, des types utilisés dans les stations-service ou les garages</v>
      </c>
    </row>
    <row r="10391" spans="1:4" x14ac:dyDescent="0.25">
      <c r="A10391" t="str">
        <f>T("   ZZZ_Monde")</f>
        <v xml:space="preserve">   ZZZ_Monde</v>
      </c>
      <c r="B10391" t="str">
        <f>T("   ZZZ_Monde")</f>
        <v xml:space="preserve">   ZZZ_Monde</v>
      </c>
      <c r="C10391">
        <v>198291984</v>
      </c>
      <c r="D10391">
        <v>54369</v>
      </c>
    </row>
    <row r="10392" spans="1:4" x14ac:dyDescent="0.25">
      <c r="A10392" t="str">
        <f>T("   FR")</f>
        <v xml:space="preserve">   FR</v>
      </c>
      <c r="B10392" t="str">
        <f>T("   France")</f>
        <v xml:space="preserve">   France</v>
      </c>
      <c r="C10392">
        <v>143585759</v>
      </c>
      <c r="D10392">
        <v>18295</v>
      </c>
    </row>
    <row r="10393" spans="1:4" x14ac:dyDescent="0.25">
      <c r="A10393" t="str">
        <f>T("   LB")</f>
        <v xml:space="preserve">   LB</v>
      </c>
      <c r="B10393" t="str">
        <f>T("   Liban")</f>
        <v xml:space="preserve">   Liban</v>
      </c>
      <c r="C10393">
        <v>54406225</v>
      </c>
      <c r="D10393">
        <v>35874</v>
      </c>
    </row>
    <row r="10394" spans="1:4" x14ac:dyDescent="0.25">
      <c r="A10394" t="str">
        <f>T("   NG")</f>
        <v xml:space="preserve">   NG</v>
      </c>
      <c r="B10394" t="str">
        <f>T("   Nigéria")</f>
        <v xml:space="preserve">   Nigéria</v>
      </c>
      <c r="C10394">
        <v>300000</v>
      </c>
      <c r="D10394">
        <v>200</v>
      </c>
    </row>
    <row r="10395" spans="1:4" x14ac:dyDescent="0.25">
      <c r="A10395" t="str">
        <f>T("841319")</f>
        <v>841319</v>
      </c>
      <c r="B10395" t="str">
        <f>T("Pompes pour liquides, avec dispositif mesureur ou conçues pour en comporter (sauf pompes pour la distribution de carburants ou lubrifiants, des types utilisés dans les stations-service ou les garages)")</f>
        <v>Pompes pour liquides, avec dispositif mesureur ou conçues pour en comporter (sauf pompes pour la distribution de carburants ou lubrifiants, des types utilisés dans les stations-service ou les garages)</v>
      </c>
    </row>
    <row r="10396" spans="1:4" x14ac:dyDescent="0.25">
      <c r="A10396" t="str">
        <f>T("   ZZZ_Monde")</f>
        <v xml:space="preserve">   ZZZ_Monde</v>
      </c>
      <c r="B10396" t="str">
        <f>T("   ZZZ_Monde")</f>
        <v xml:space="preserve">   ZZZ_Monde</v>
      </c>
      <c r="C10396">
        <v>6738246</v>
      </c>
      <c r="D10396">
        <v>2521</v>
      </c>
    </row>
    <row r="10397" spans="1:4" x14ac:dyDescent="0.25">
      <c r="A10397" t="str">
        <f>T("   BE")</f>
        <v xml:space="preserve">   BE</v>
      </c>
      <c r="B10397" t="str">
        <f>T("   Belgique")</f>
        <v xml:space="preserve">   Belgique</v>
      </c>
      <c r="C10397">
        <v>162140</v>
      </c>
      <c r="D10397">
        <v>5</v>
      </c>
    </row>
    <row r="10398" spans="1:4" x14ac:dyDescent="0.25">
      <c r="A10398" t="str">
        <f>T("   CN")</f>
        <v xml:space="preserve">   CN</v>
      </c>
      <c r="B10398" t="str">
        <f>T("   Chine")</f>
        <v xml:space="preserve">   Chine</v>
      </c>
      <c r="C10398">
        <v>508345</v>
      </c>
      <c r="D10398">
        <v>690</v>
      </c>
    </row>
    <row r="10399" spans="1:4" x14ac:dyDescent="0.25">
      <c r="A10399" t="str">
        <f>T("   FR")</f>
        <v xml:space="preserve">   FR</v>
      </c>
      <c r="B10399" t="str">
        <f>T("   France")</f>
        <v xml:space="preserve">   France</v>
      </c>
      <c r="C10399">
        <v>5599301</v>
      </c>
      <c r="D10399">
        <v>126</v>
      </c>
    </row>
    <row r="10400" spans="1:4" x14ac:dyDescent="0.25">
      <c r="A10400" t="str">
        <f>T("   NG")</f>
        <v xml:space="preserve">   NG</v>
      </c>
      <c r="B10400" t="str">
        <f>T("   Nigéria")</f>
        <v xml:space="preserve">   Nigéria</v>
      </c>
      <c r="C10400">
        <v>250000</v>
      </c>
      <c r="D10400">
        <v>200</v>
      </c>
    </row>
    <row r="10401" spans="1:4" x14ac:dyDescent="0.25">
      <c r="A10401" t="str">
        <f>T("   TG")</f>
        <v xml:space="preserve">   TG</v>
      </c>
      <c r="B10401" t="str">
        <f>T("   Togo")</f>
        <v xml:space="preserve">   Togo</v>
      </c>
      <c r="C10401">
        <v>218460</v>
      </c>
      <c r="D10401">
        <v>1500</v>
      </c>
    </row>
    <row r="10402" spans="1:4" x14ac:dyDescent="0.25">
      <c r="A10402" t="str">
        <f>T("841320")</f>
        <v>841320</v>
      </c>
      <c r="B10402" t="str">
        <f>T("Pompes à bras pour liquides (sauf les pompes avec dispositif mesureur ou conçues pour en comporter du n° 8413.11 ou 8413.19)")</f>
        <v>Pompes à bras pour liquides (sauf les pompes avec dispositif mesureur ou conçues pour en comporter du n° 8413.11 ou 8413.19)</v>
      </c>
    </row>
    <row r="10403" spans="1:4" x14ac:dyDescent="0.25">
      <c r="A10403" t="str">
        <f>T("   ZZZ_Monde")</f>
        <v xml:space="preserve">   ZZZ_Monde</v>
      </c>
      <c r="B10403" t="str">
        <f>T("   ZZZ_Monde")</f>
        <v xml:space="preserve">   ZZZ_Monde</v>
      </c>
      <c r="C10403">
        <v>34591904</v>
      </c>
      <c r="D10403">
        <v>28453</v>
      </c>
    </row>
    <row r="10404" spans="1:4" x14ac:dyDescent="0.25">
      <c r="A10404" t="str">
        <f>T("   CN")</f>
        <v xml:space="preserve">   CN</v>
      </c>
      <c r="B10404" t="str">
        <f>T("   Chine")</f>
        <v xml:space="preserve">   Chine</v>
      </c>
      <c r="C10404">
        <v>186000</v>
      </c>
      <c r="D10404">
        <v>800</v>
      </c>
    </row>
    <row r="10405" spans="1:4" x14ac:dyDescent="0.25">
      <c r="A10405" t="str">
        <f>T("   DE")</f>
        <v xml:space="preserve">   DE</v>
      </c>
      <c r="B10405" t="str">
        <f>T("   Allemagne")</f>
        <v xml:space="preserve">   Allemagne</v>
      </c>
      <c r="C10405">
        <v>966845</v>
      </c>
      <c r="D10405">
        <v>601</v>
      </c>
    </row>
    <row r="10406" spans="1:4" x14ac:dyDescent="0.25">
      <c r="A10406" t="str">
        <f>T("   IN")</f>
        <v xml:space="preserve">   IN</v>
      </c>
      <c r="B10406" t="str">
        <f>T("   Inde")</f>
        <v xml:space="preserve">   Inde</v>
      </c>
      <c r="C10406">
        <v>32339670</v>
      </c>
      <c r="D10406">
        <v>26960</v>
      </c>
    </row>
    <row r="10407" spans="1:4" x14ac:dyDescent="0.25">
      <c r="A10407" t="str">
        <f>T("   NL")</f>
        <v xml:space="preserve">   NL</v>
      </c>
      <c r="B10407" t="str">
        <f>T("   Pays-bas")</f>
        <v xml:space="preserve">   Pays-bas</v>
      </c>
      <c r="C10407">
        <v>1312</v>
      </c>
      <c r="D10407">
        <v>8</v>
      </c>
    </row>
    <row r="10408" spans="1:4" x14ac:dyDescent="0.25">
      <c r="A10408" t="str">
        <f>T("   SN")</f>
        <v xml:space="preserve">   SN</v>
      </c>
      <c r="B10408" t="str">
        <f>T("   Sénégal")</f>
        <v xml:space="preserve">   Sénégal</v>
      </c>
      <c r="C10408">
        <v>1098077</v>
      </c>
      <c r="D10408">
        <v>84</v>
      </c>
    </row>
    <row r="10409" spans="1:4" x14ac:dyDescent="0.25">
      <c r="A10409" t="str">
        <f>T("841330")</f>
        <v>841330</v>
      </c>
      <c r="B10409" t="str">
        <f>T("Pompes à carburant, à huile ou à liquide de refroidissement pour moteurs à allumage par étincelles ou par compression")</f>
        <v>Pompes à carburant, à huile ou à liquide de refroidissement pour moteurs à allumage par étincelles ou par compression</v>
      </c>
    </row>
    <row r="10410" spans="1:4" x14ac:dyDescent="0.25">
      <c r="A10410" t="str">
        <f>T("   ZZZ_Monde")</f>
        <v xml:space="preserve">   ZZZ_Monde</v>
      </c>
      <c r="B10410" t="str">
        <f>T("   ZZZ_Monde")</f>
        <v xml:space="preserve">   ZZZ_Monde</v>
      </c>
      <c r="C10410">
        <v>77633735</v>
      </c>
      <c r="D10410">
        <v>3729.1</v>
      </c>
    </row>
    <row r="10411" spans="1:4" x14ac:dyDescent="0.25">
      <c r="A10411" t="str">
        <f>T("   BE")</f>
        <v xml:space="preserve">   BE</v>
      </c>
      <c r="B10411" t="str">
        <f>T("   Belgique")</f>
        <v xml:space="preserve">   Belgique</v>
      </c>
      <c r="C10411">
        <v>18515704</v>
      </c>
      <c r="D10411">
        <v>597</v>
      </c>
    </row>
    <row r="10412" spans="1:4" x14ac:dyDescent="0.25">
      <c r="A10412" t="str">
        <f>T("   CH")</f>
        <v xml:space="preserve">   CH</v>
      </c>
      <c r="B10412" t="str">
        <f>T("   Suisse")</f>
        <v xml:space="preserve">   Suisse</v>
      </c>
      <c r="C10412">
        <v>108653</v>
      </c>
      <c r="D10412">
        <v>1</v>
      </c>
    </row>
    <row r="10413" spans="1:4" x14ac:dyDescent="0.25">
      <c r="A10413" t="str">
        <f>T("   CN")</f>
        <v xml:space="preserve">   CN</v>
      </c>
      <c r="B10413" t="str">
        <f>T("   Chine")</f>
        <v xml:space="preserve">   Chine</v>
      </c>
      <c r="C10413">
        <v>366703</v>
      </c>
      <c r="D10413">
        <v>851</v>
      </c>
    </row>
    <row r="10414" spans="1:4" x14ac:dyDescent="0.25">
      <c r="A10414" t="str">
        <f>T("   FR")</f>
        <v xml:space="preserve">   FR</v>
      </c>
      <c r="B10414" t="str">
        <f>T("   France")</f>
        <v xml:space="preserve">   France</v>
      </c>
      <c r="C10414">
        <v>45001821</v>
      </c>
      <c r="D10414">
        <v>893.5</v>
      </c>
    </row>
    <row r="10415" spans="1:4" x14ac:dyDescent="0.25">
      <c r="A10415" t="str">
        <f>T("   GB")</f>
        <v xml:space="preserve">   GB</v>
      </c>
      <c r="B10415" t="str">
        <f>T("   Royaume-Uni")</f>
        <v xml:space="preserve">   Royaume-Uni</v>
      </c>
      <c r="C10415">
        <v>45424</v>
      </c>
      <c r="D10415">
        <v>1</v>
      </c>
    </row>
    <row r="10416" spans="1:4" x14ac:dyDescent="0.25">
      <c r="A10416" t="str">
        <f>T("   IN")</f>
        <v xml:space="preserve">   IN</v>
      </c>
      <c r="B10416" t="str">
        <f>T("   Inde")</f>
        <v xml:space="preserve">   Inde</v>
      </c>
      <c r="C10416">
        <v>1152401</v>
      </c>
      <c r="D10416">
        <v>696</v>
      </c>
    </row>
    <row r="10417" spans="1:4" x14ac:dyDescent="0.25">
      <c r="A10417" t="str">
        <f>T("   NO")</f>
        <v xml:space="preserve">   NO</v>
      </c>
      <c r="B10417" t="str">
        <f>T("   Norvège")</f>
        <v xml:space="preserve">   Norvège</v>
      </c>
      <c r="C10417">
        <v>3066475</v>
      </c>
      <c r="D10417">
        <v>20</v>
      </c>
    </row>
    <row r="10418" spans="1:4" x14ac:dyDescent="0.25">
      <c r="A10418" t="str">
        <f>T("   NZ")</f>
        <v xml:space="preserve">   NZ</v>
      </c>
      <c r="B10418" t="str">
        <f>T("   Nouvelle-Zélande")</f>
        <v xml:space="preserve">   Nouvelle-Zélande</v>
      </c>
      <c r="C10418">
        <v>9012467</v>
      </c>
      <c r="D10418">
        <v>664</v>
      </c>
    </row>
    <row r="10419" spans="1:4" x14ac:dyDescent="0.25">
      <c r="A10419" t="str">
        <f>T("   US")</f>
        <v xml:space="preserve">   US</v>
      </c>
      <c r="B10419" t="str">
        <f>T("   Etats-Unis")</f>
        <v xml:space="preserve">   Etats-Unis</v>
      </c>
      <c r="C10419">
        <v>278763</v>
      </c>
      <c r="D10419">
        <v>1.6</v>
      </c>
    </row>
    <row r="10420" spans="1:4" x14ac:dyDescent="0.25">
      <c r="A10420" t="str">
        <f>T("   ZA")</f>
        <v xml:space="preserve">   ZA</v>
      </c>
      <c r="B10420" t="str">
        <f>T("   Afrique du Sud")</f>
        <v xml:space="preserve">   Afrique du Sud</v>
      </c>
      <c r="C10420">
        <v>85324</v>
      </c>
      <c r="D10420">
        <v>4</v>
      </c>
    </row>
    <row r="10421" spans="1:4" x14ac:dyDescent="0.25">
      <c r="A10421" t="str">
        <f>T("841340")</f>
        <v>841340</v>
      </c>
      <c r="B10421" t="str">
        <f>T("Pompes à béton")</f>
        <v>Pompes à béton</v>
      </c>
    </row>
    <row r="10422" spans="1:4" x14ac:dyDescent="0.25">
      <c r="A10422" t="str">
        <f>T("   ZZZ_Monde")</f>
        <v xml:space="preserve">   ZZZ_Monde</v>
      </c>
      <c r="B10422" t="str">
        <f>T("   ZZZ_Monde")</f>
        <v xml:space="preserve">   ZZZ_Monde</v>
      </c>
      <c r="C10422">
        <v>47718358</v>
      </c>
      <c r="D10422">
        <v>7000</v>
      </c>
    </row>
    <row r="10423" spans="1:4" x14ac:dyDescent="0.25">
      <c r="A10423" t="str">
        <f>T("   CN")</f>
        <v xml:space="preserve">   CN</v>
      </c>
      <c r="B10423" t="str">
        <f>T("   Chine")</f>
        <v xml:space="preserve">   Chine</v>
      </c>
      <c r="C10423">
        <v>47398358</v>
      </c>
      <c r="D10423">
        <v>6600</v>
      </c>
    </row>
    <row r="10424" spans="1:4" x14ac:dyDescent="0.25">
      <c r="A10424" t="str">
        <f>T("   NG")</f>
        <v xml:space="preserve">   NG</v>
      </c>
      <c r="B10424" t="str">
        <f>T("   Nigéria")</f>
        <v xml:space="preserve">   Nigéria</v>
      </c>
      <c r="C10424">
        <v>320000</v>
      </c>
      <c r="D10424">
        <v>400</v>
      </c>
    </row>
    <row r="10425" spans="1:4" x14ac:dyDescent="0.25">
      <c r="A10425" t="str">
        <f>T("841350")</f>
        <v>841350</v>
      </c>
      <c r="B10425" t="s">
        <v>25</v>
      </c>
    </row>
    <row r="10426" spans="1:4" x14ac:dyDescent="0.25">
      <c r="A10426" t="str">
        <f>T("   ZZZ_Monde")</f>
        <v xml:space="preserve">   ZZZ_Monde</v>
      </c>
      <c r="B10426" t="str">
        <f>T("   ZZZ_Monde")</f>
        <v xml:space="preserve">   ZZZ_Monde</v>
      </c>
      <c r="C10426">
        <v>81777618</v>
      </c>
      <c r="D10426">
        <v>3076</v>
      </c>
    </row>
    <row r="10427" spans="1:4" x14ac:dyDescent="0.25">
      <c r="A10427" t="str">
        <f>T("   AT")</f>
        <v xml:space="preserve">   AT</v>
      </c>
      <c r="B10427" t="str">
        <f>T("   Autriche")</f>
        <v xml:space="preserve">   Autriche</v>
      </c>
      <c r="C10427">
        <v>20458047</v>
      </c>
      <c r="D10427">
        <v>358</v>
      </c>
    </row>
    <row r="10428" spans="1:4" x14ac:dyDescent="0.25">
      <c r="A10428" t="str">
        <f>T("   FR")</f>
        <v xml:space="preserve">   FR</v>
      </c>
      <c r="B10428" t="str">
        <f>T("   France")</f>
        <v xml:space="preserve">   France</v>
      </c>
      <c r="C10428">
        <v>61319571</v>
      </c>
      <c r="D10428">
        <v>2718</v>
      </c>
    </row>
    <row r="10429" spans="1:4" x14ac:dyDescent="0.25">
      <c r="A10429" t="str">
        <f>T("841360")</f>
        <v>841360</v>
      </c>
      <c r="B10429" t="str">
        <f>T("Pompes pour liquides volumétriques rotatives, à moteur (sauf pompes à dispositif mesureur ou conçues pour en comporter du n° 8413.11 ou 8413.19, sauf pompes à carburant, à huile ou à liquide de refroidissement pour moteurs à allumage par étincelles ou par")</f>
        <v>Pompes pour liquides volumétriques rotatives, à moteur (sauf pompes à dispositif mesureur ou conçues pour en comporter du n° 8413.11 ou 8413.19, sauf pompes à carburant, à huile ou à liquide de refroidissement pour moteurs à allumage par étincelles ou par</v>
      </c>
    </row>
    <row r="10430" spans="1:4" x14ac:dyDescent="0.25">
      <c r="A10430" t="str">
        <f>T("   ZZZ_Monde")</f>
        <v xml:space="preserve">   ZZZ_Monde</v>
      </c>
      <c r="B10430" t="str">
        <f>T("   ZZZ_Monde")</f>
        <v xml:space="preserve">   ZZZ_Monde</v>
      </c>
      <c r="C10430">
        <v>18960455</v>
      </c>
      <c r="D10430">
        <v>417</v>
      </c>
    </row>
    <row r="10431" spans="1:4" x14ac:dyDescent="0.25">
      <c r="A10431" t="str">
        <f>T("   BE")</f>
        <v xml:space="preserve">   BE</v>
      </c>
      <c r="B10431" t="str">
        <f>T("   Belgique")</f>
        <v xml:space="preserve">   Belgique</v>
      </c>
      <c r="C10431">
        <v>4515655</v>
      </c>
      <c r="D10431">
        <v>107</v>
      </c>
    </row>
    <row r="10432" spans="1:4" x14ac:dyDescent="0.25">
      <c r="A10432" t="str">
        <f>T("   FR")</f>
        <v xml:space="preserve">   FR</v>
      </c>
      <c r="B10432" t="str">
        <f>T("   France")</f>
        <v xml:space="preserve">   France</v>
      </c>
      <c r="C10432">
        <v>10508833</v>
      </c>
      <c r="D10432">
        <v>110</v>
      </c>
    </row>
    <row r="10433" spans="1:4" x14ac:dyDescent="0.25">
      <c r="A10433" t="str">
        <f>T("   US")</f>
        <v xml:space="preserve">   US</v>
      </c>
      <c r="B10433" t="str">
        <f>T("   Etats-Unis")</f>
        <v xml:space="preserve">   Etats-Unis</v>
      </c>
      <c r="C10433">
        <v>3935967</v>
      </c>
      <c r="D10433">
        <v>200</v>
      </c>
    </row>
    <row r="10434" spans="1:4" x14ac:dyDescent="0.25">
      <c r="A10434" t="str">
        <f>T("841370")</f>
        <v>841370</v>
      </c>
      <c r="B10434" t="str">
        <f>T("Pompes pour liquides centrifuges, à moteur (sauf pompes à dispositif mesureur ou conçues pour en comporter du n° 8413.11 ou 8413.19, pompes à carburant, à huile ou à liquide de refroidissement pour moteurs à allumage par étincelles ou par compression et s")</f>
        <v>Pompes pour liquides centrifuges, à moteur (sauf pompes à dispositif mesureur ou conçues pour en comporter du n° 8413.11 ou 8413.19, pompes à carburant, à huile ou à liquide de refroidissement pour moteurs à allumage par étincelles ou par compression et s</v>
      </c>
    </row>
    <row r="10435" spans="1:4" x14ac:dyDescent="0.25">
      <c r="A10435" t="str">
        <f>T("   ZZZ_Monde")</f>
        <v xml:space="preserve">   ZZZ_Monde</v>
      </c>
      <c r="B10435" t="str">
        <f>T("   ZZZ_Monde")</f>
        <v xml:space="preserve">   ZZZ_Monde</v>
      </c>
      <c r="C10435">
        <v>73282951</v>
      </c>
      <c r="D10435">
        <v>8995.7000000000007</v>
      </c>
    </row>
    <row r="10436" spans="1:4" x14ac:dyDescent="0.25">
      <c r="A10436" t="str">
        <f>T("   DE")</f>
        <v xml:space="preserve">   DE</v>
      </c>
      <c r="B10436" t="str">
        <f>T("   Allemagne")</f>
        <v xml:space="preserve">   Allemagne</v>
      </c>
      <c r="C10436">
        <v>3832276</v>
      </c>
      <c r="D10436">
        <v>440</v>
      </c>
    </row>
    <row r="10437" spans="1:4" x14ac:dyDescent="0.25">
      <c r="A10437" t="str">
        <f>T("   ES")</f>
        <v xml:space="preserve">   ES</v>
      </c>
      <c r="B10437" t="str">
        <f>T("   Espagne")</f>
        <v xml:space="preserve">   Espagne</v>
      </c>
      <c r="C10437">
        <v>1747884</v>
      </c>
      <c r="D10437">
        <v>697</v>
      </c>
    </row>
    <row r="10438" spans="1:4" x14ac:dyDescent="0.25">
      <c r="A10438" t="str">
        <f>T("   FR")</f>
        <v xml:space="preserve">   FR</v>
      </c>
      <c r="B10438" t="str">
        <f>T("   France")</f>
        <v xml:space="preserve">   France</v>
      </c>
      <c r="C10438">
        <v>44800490</v>
      </c>
      <c r="D10438">
        <v>2479</v>
      </c>
    </row>
    <row r="10439" spans="1:4" x14ac:dyDescent="0.25">
      <c r="A10439" t="str">
        <f>T("   IN")</f>
        <v xml:space="preserve">   IN</v>
      </c>
      <c r="B10439" t="str">
        <f>T("   Inde")</f>
        <v xml:space="preserve">   Inde</v>
      </c>
      <c r="C10439">
        <v>1478031</v>
      </c>
      <c r="D10439">
        <v>165</v>
      </c>
    </row>
    <row r="10440" spans="1:4" x14ac:dyDescent="0.25">
      <c r="A10440" t="str">
        <f>T("   NL")</f>
        <v xml:space="preserve">   NL</v>
      </c>
      <c r="B10440" t="str">
        <f>T("   Pays-bas")</f>
        <v xml:space="preserve">   Pays-bas</v>
      </c>
      <c r="C10440">
        <v>10663948</v>
      </c>
      <c r="D10440">
        <v>882.7</v>
      </c>
    </row>
    <row r="10441" spans="1:4" x14ac:dyDescent="0.25">
      <c r="A10441" t="str">
        <f>T("   TG")</f>
        <v xml:space="preserve">   TG</v>
      </c>
      <c r="B10441" t="str">
        <f>T("   Togo")</f>
        <v xml:space="preserve">   Togo</v>
      </c>
      <c r="C10441">
        <v>411817</v>
      </c>
      <c r="D10441">
        <v>480</v>
      </c>
    </row>
    <row r="10442" spans="1:4" x14ac:dyDescent="0.25">
      <c r="A10442" t="str">
        <f>T("   US")</f>
        <v xml:space="preserve">   US</v>
      </c>
      <c r="B10442" t="str">
        <f>T("   Etats-Unis")</f>
        <v xml:space="preserve">   Etats-Unis</v>
      </c>
      <c r="C10442">
        <v>10348505</v>
      </c>
      <c r="D10442">
        <v>3852</v>
      </c>
    </row>
    <row r="10443" spans="1:4" x14ac:dyDescent="0.25">
      <c r="A10443" t="str">
        <f>T("841381")</f>
        <v>841381</v>
      </c>
      <c r="B10443" t="str">
        <f>T("Pompes pour liquides à moteur (sauf pompes à dispositif mesureur ou conçues pour en comporter du n° 8413.11 ou 8413.19, pompes à carburant, à huile ou à liquide de refroidissement pour moteurs à allumage par étincelles ou par compression, pompes à béton,")</f>
        <v>Pompes pour liquides à moteur (sauf pompes à dispositif mesureur ou conçues pour en comporter du n° 8413.11 ou 8413.19, pompes à carburant, à huile ou à liquide de refroidissement pour moteurs à allumage par étincelles ou par compression, pompes à béton,</v>
      </c>
    </row>
    <row r="10444" spans="1:4" x14ac:dyDescent="0.25">
      <c r="A10444" t="str">
        <f>T("   ZZZ_Monde")</f>
        <v xml:space="preserve">   ZZZ_Monde</v>
      </c>
      <c r="B10444" t="str">
        <f>T("   ZZZ_Monde")</f>
        <v xml:space="preserve">   ZZZ_Monde</v>
      </c>
      <c r="C10444">
        <v>192631399</v>
      </c>
      <c r="D10444">
        <v>83506.8</v>
      </c>
    </row>
    <row r="10445" spans="1:4" x14ac:dyDescent="0.25">
      <c r="A10445" t="str">
        <f>T("   AT")</f>
        <v xml:space="preserve">   AT</v>
      </c>
      <c r="B10445" t="str">
        <f>T("   Autriche")</f>
        <v xml:space="preserve">   Autriche</v>
      </c>
      <c r="C10445">
        <v>1215756</v>
      </c>
      <c r="D10445">
        <v>27</v>
      </c>
    </row>
    <row r="10446" spans="1:4" x14ac:dyDescent="0.25">
      <c r="A10446" t="str">
        <f>T("   BE")</f>
        <v xml:space="preserve">   BE</v>
      </c>
      <c r="B10446" t="str">
        <f>T("   Belgique")</f>
        <v xml:space="preserve">   Belgique</v>
      </c>
      <c r="C10446">
        <v>25638138</v>
      </c>
      <c r="D10446">
        <v>5239</v>
      </c>
    </row>
    <row r="10447" spans="1:4" x14ac:dyDescent="0.25">
      <c r="A10447" t="str">
        <f>T("   CA")</f>
        <v xml:space="preserve">   CA</v>
      </c>
      <c r="B10447" t="str">
        <f>T("   Canada")</f>
        <v xml:space="preserve">   Canada</v>
      </c>
      <c r="C10447">
        <v>19175027</v>
      </c>
      <c r="D10447">
        <v>4969</v>
      </c>
    </row>
    <row r="10448" spans="1:4" x14ac:dyDescent="0.25">
      <c r="A10448" t="str">
        <f>T("   CN")</f>
        <v xml:space="preserve">   CN</v>
      </c>
      <c r="B10448" t="str">
        <f>T("   Chine")</f>
        <v xml:space="preserve">   Chine</v>
      </c>
      <c r="C10448">
        <v>51251360</v>
      </c>
      <c r="D10448">
        <v>48349</v>
      </c>
    </row>
    <row r="10449" spans="1:4" x14ac:dyDescent="0.25">
      <c r="A10449" t="str">
        <f>T("   DE")</f>
        <v xml:space="preserve">   DE</v>
      </c>
      <c r="B10449" t="str">
        <f>T("   Allemagne")</f>
        <v xml:space="preserve">   Allemagne</v>
      </c>
      <c r="C10449">
        <v>154151</v>
      </c>
      <c r="D10449">
        <v>9</v>
      </c>
    </row>
    <row r="10450" spans="1:4" x14ac:dyDescent="0.25">
      <c r="A10450" t="str">
        <f>T("   DK")</f>
        <v xml:space="preserve">   DK</v>
      </c>
      <c r="B10450" t="str">
        <f>T("   Danemark")</f>
        <v xml:space="preserve">   Danemark</v>
      </c>
      <c r="C10450">
        <v>887514</v>
      </c>
      <c r="D10450">
        <v>120</v>
      </c>
    </row>
    <row r="10451" spans="1:4" x14ac:dyDescent="0.25">
      <c r="A10451" t="str">
        <f>T("   ES")</f>
        <v xml:space="preserve">   ES</v>
      </c>
      <c r="B10451" t="str">
        <f>T("   Espagne")</f>
        <v xml:space="preserve">   Espagne</v>
      </c>
      <c r="C10451">
        <v>1015426</v>
      </c>
      <c r="D10451">
        <v>1030</v>
      </c>
    </row>
    <row r="10452" spans="1:4" x14ac:dyDescent="0.25">
      <c r="A10452" t="str">
        <f>T("   FI")</f>
        <v xml:space="preserve">   FI</v>
      </c>
      <c r="B10452" t="str">
        <f>T("   Finlande")</f>
        <v xml:space="preserve">   Finlande</v>
      </c>
      <c r="C10452">
        <v>2026844</v>
      </c>
      <c r="D10452">
        <v>69</v>
      </c>
    </row>
    <row r="10453" spans="1:4" x14ac:dyDescent="0.25">
      <c r="A10453" t="str">
        <f>T("   FR")</f>
        <v xml:space="preserve">   FR</v>
      </c>
      <c r="B10453" t="str">
        <f>T("   France")</f>
        <v xml:space="preserve">   France</v>
      </c>
      <c r="C10453">
        <v>61346621</v>
      </c>
      <c r="D10453">
        <v>11555.8</v>
      </c>
    </row>
    <row r="10454" spans="1:4" x14ac:dyDescent="0.25">
      <c r="A10454" t="str">
        <f>T("   GB")</f>
        <v xml:space="preserve">   GB</v>
      </c>
      <c r="B10454" t="str">
        <f>T("   Royaume-Uni")</f>
        <v xml:space="preserve">   Royaume-Uni</v>
      </c>
      <c r="C10454">
        <v>645045</v>
      </c>
      <c r="D10454">
        <v>522</v>
      </c>
    </row>
    <row r="10455" spans="1:4" x14ac:dyDescent="0.25">
      <c r="A10455" t="str">
        <f>T("   IN")</f>
        <v xml:space="preserve">   IN</v>
      </c>
      <c r="B10455" t="str">
        <f>T("   Inde")</f>
        <v xml:space="preserve">   Inde</v>
      </c>
      <c r="C10455">
        <v>3016285</v>
      </c>
      <c r="D10455">
        <v>860</v>
      </c>
    </row>
    <row r="10456" spans="1:4" x14ac:dyDescent="0.25">
      <c r="A10456" t="str">
        <f>T("   IT")</f>
        <v xml:space="preserve">   IT</v>
      </c>
      <c r="B10456" t="str">
        <f>T("   Italie")</f>
        <v xml:space="preserve">   Italie</v>
      </c>
      <c r="C10456">
        <v>4489749</v>
      </c>
      <c r="D10456">
        <v>190</v>
      </c>
    </row>
    <row r="10457" spans="1:4" x14ac:dyDescent="0.25">
      <c r="A10457" t="str">
        <f>T("   JP")</f>
        <v xml:space="preserve">   JP</v>
      </c>
      <c r="B10457" t="str">
        <f>T("   Japon")</f>
        <v xml:space="preserve">   Japon</v>
      </c>
      <c r="C10457">
        <v>2630622</v>
      </c>
      <c r="D10457">
        <v>70</v>
      </c>
    </row>
    <row r="10458" spans="1:4" x14ac:dyDescent="0.25">
      <c r="A10458" t="str">
        <f>T("   NG")</f>
        <v xml:space="preserve">   NG</v>
      </c>
      <c r="B10458" t="str">
        <f>T("   Nigéria")</f>
        <v xml:space="preserve">   Nigéria</v>
      </c>
      <c r="C10458">
        <v>210000</v>
      </c>
      <c r="D10458">
        <v>350</v>
      </c>
    </row>
    <row r="10459" spans="1:4" x14ac:dyDescent="0.25">
      <c r="A10459" t="str">
        <f>T("   NL")</f>
        <v xml:space="preserve">   NL</v>
      </c>
      <c r="B10459" t="str">
        <f>T("   Pays-bas")</f>
        <v xml:space="preserve">   Pays-bas</v>
      </c>
      <c r="C10459">
        <v>6445147</v>
      </c>
      <c r="D10459">
        <v>3166</v>
      </c>
    </row>
    <row r="10460" spans="1:4" x14ac:dyDescent="0.25">
      <c r="A10460" t="str">
        <f>T("   NO")</f>
        <v xml:space="preserve">   NO</v>
      </c>
      <c r="B10460" t="str">
        <f>T("   Norvège")</f>
        <v xml:space="preserve">   Norvège</v>
      </c>
      <c r="C10460">
        <v>3147427</v>
      </c>
      <c r="D10460">
        <v>15</v>
      </c>
    </row>
    <row r="10461" spans="1:4" x14ac:dyDescent="0.25">
      <c r="A10461" t="str">
        <f>T("   PL")</f>
        <v xml:space="preserve">   PL</v>
      </c>
      <c r="B10461" t="str">
        <f>T("   Pologne")</f>
        <v xml:space="preserve">   Pologne</v>
      </c>
      <c r="C10461">
        <v>29000</v>
      </c>
      <c r="D10461">
        <v>450</v>
      </c>
    </row>
    <row r="10462" spans="1:4" x14ac:dyDescent="0.25">
      <c r="A10462" t="str">
        <f>T("   SN")</f>
        <v xml:space="preserve">   SN</v>
      </c>
      <c r="B10462" t="str">
        <f>T("   Sénégal")</f>
        <v xml:space="preserve">   Sénégal</v>
      </c>
      <c r="C10462">
        <v>4608119</v>
      </c>
      <c r="D10462">
        <v>470</v>
      </c>
    </row>
    <row r="10463" spans="1:4" x14ac:dyDescent="0.25">
      <c r="A10463" t="str">
        <f>T("   TG")</f>
        <v xml:space="preserve">   TG</v>
      </c>
      <c r="B10463" t="str">
        <f>T("   Togo")</f>
        <v xml:space="preserve">   Togo</v>
      </c>
      <c r="C10463">
        <v>906572</v>
      </c>
      <c r="D10463">
        <v>5782</v>
      </c>
    </row>
    <row r="10464" spans="1:4" x14ac:dyDescent="0.25">
      <c r="A10464" t="str">
        <f>T("   US")</f>
        <v xml:space="preserve">   US</v>
      </c>
      <c r="B10464" t="str">
        <f>T("   Etats-Unis")</f>
        <v xml:space="preserve">   Etats-Unis</v>
      </c>
      <c r="C10464">
        <v>3792596</v>
      </c>
      <c r="D10464">
        <v>264</v>
      </c>
    </row>
    <row r="10465" spans="1:4" x14ac:dyDescent="0.25">
      <c r="A10465" t="str">
        <f>T("841382")</f>
        <v>841382</v>
      </c>
      <c r="B10465" t="str">
        <f>T("Elévateurs à liquides (à l'excl. des pompes)")</f>
        <v>Elévateurs à liquides (à l'excl. des pompes)</v>
      </c>
    </row>
    <row r="10466" spans="1:4" x14ac:dyDescent="0.25">
      <c r="A10466" t="str">
        <f>T("   ZZZ_Monde")</f>
        <v xml:space="preserve">   ZZZ_Monde</v>
      </c>
      <c r="B10466" t="str">
        <f>T("   ZZZ_Monde")</f>
        <v xml:space="preserve">   ZZZ_Monde</v>
      </c>
      <c r="C10466">
        <v>21037830</v>
      </c>
      <c r="D10466">
        <v>6633</v>
      </c>
    </row>
    <row r="10467" spans="1:4" x14ac:dyDescent="0.25">
      <c r="A10467" t="str">
        <f>T("   BE")</f>
        <v xml:space="preserve">   BE</v>
      </c>
      <c r="B10467" t="str">
        <f>T("   Belgique")</f>
        <v xml:space="preserve">   Belgique</v>
      </c>
      <c r="C10467">
        <v>4917010</v>
      </c>
      <c r="D10467">
        <v>1163</v>
      </c>
    </row>
    <row r="10468" spans="1:4" x14ac:dyDescent="0.25">
      <c r="A10468" t="str">
        <f>T("   CN")</f>
        <v xml:space="preserve">   CN</v>
      </c>
      <c r="B10468" t="str">
        <f>T("   Chine")</f>
        <v xml:space="preserve">   Chine</v>
      </c>
      <c r="C10468">
        <v>2283308</v>
      </c>
      <c r="D10468">
        <v>2838</v>
      </c>
    </row>
    <row r="10469" spans="1:4" x14ac:dyDescent="0.25">
      <c r="A10469" t="str">
        <f>T("   FR")</f>
        <v xml:space="preserve">   FR</v>
      </c>
      <c r="B10469" t="str">
        <f>T("   France")</f>
        <v xml:space="preserve">   France</v>
      </c>
      <c r="C10469">
        <v>12321512</v>
      </c>
      <c r="D10469">
        <v>502</v>
      </c>
    </row>
    <row r="10470" spans="1:4" x14ac:dyDescent="0.25">
      <c r="A10470" t="str">
        <f>T("   NG")</f>
        <v xml:space="preserve">   NG</v>
      </c>
      <c r="B10470" t="str">
        <f>T("   Nigéria")</f>
        <v xml:space="preserve">   Nigéria</v>
      </c>
      <c r="C10470">
        <v>1516000</v>
      </c>
      <c r="D10470">
        <v>2130</v>
      </c>
    </row>
    <row r="10471" spans="1:4" x14ac:dyDescent="0.25">
      <c r="A10471" t="str">
        <f>T("841391")</f>
        <v>841391</v>
      </c>
      <c r="B10471" t="str">
        <f>T("Parties de pompes pour liquides, n.d.a.")</f>
        <v>Parties de pompes pour liquides, n.d.a.</v>
      </c>
    </row>
    <row r="10472" spans="1:4" x14ac:dyDescent="0.25">
      <c r="A10472" t="str">
        <f>T("   ZZZ_Monde")</f>
        <v xml:space="preserve">   ZZZ_Monde</v>
      </c>
      <c r="B10472" t="str">
        <f>T("   ZZZ_Monde")</f>
        <v xml:space="preserve">   ZZZ_Monde</v>
      </c>
      <c r="C10472">
        <v>71262299</v>
      </c>
      <c r="D10472">
        <v>14981.4</v>
      </c>
    </row>
    <row r="10473" spans="1:4" x14ac:dyDescent="0.25">
      <c r="A10473" t="str">
        <f>T("   BE")</f>
        <v xml:space="preserve">   BE</v>
      </c>
      <c r="B10473" t="str">
        <f>T("   Belgique")</f>
        <v xml:space="preserve">   Belgique</v>
      </c>
      <c r="C10473">
        <v>167926</v>
      </c>
      <c r="D10473">
        <v>11</v>
      </c>
    </row>
    <row r="10474" spans="1:4" x14ac:dyDescent="0.25">
      <c r="A10474" t="str">
        <f>T("   CN")</f>
        <v xml:space="preserve">   CN</v>
      </c>
      <c r="B10474" t="str">
        <f>T("   Chine")</f>
        <v xml:space="preserve">   Chine</v>
      </c>
      <c r="C10474">
        <v>23275717</v>
      </c>
      <c r="D10474">
        <v>6056</v>
      </c>
    </row>
    <row r="10475" spans="1:4" x14ac:dyDescent="0.25">
      <c r="A10475" t="str">
        <f>T("   DE")</f>
        <v xml:space="preserve">   DE</v>
      </c>
      <c r="B10475" t="str">
        <f>T("   Allemagne")</f>
        <v xml:space="preserve">   Allemagne</v>
      </c>
      <c r="C10475">
        <v>7277860</v>
      </c>
      <c r="D10475">
        <v>139.4</v>
      </c>
    </row>
    <row r="10476" spans="1:4" x14ac:dyDescent="0.25">
      <c r="A10476" t="str">
        <f>T("   ES")</f>
        <v xml:space="preserve">   ES</v>
      </c>
      <c r="B10476" t="str">
        <f>T("   Espagne")</f>
        <v xml:space="preserve">   Espagne</v>
      </c>
      <c r="C10476">
        <v>808039</v>
      </c>
      <c r="D10476">
        <v>995</v>
      </c>
    </row>
    <row r="10477" spans="1:4" x14ac:dyDescent="0.25">
      <c r="A10477" t="str">
        <f>T("   FR")</f>
        <v xml:space="preserve">   FR</v>
      </c>
      <c r="B10477" t="str">
        <f>T("   France")</f>
        <v xml:space="preserve">   France</v>
      </c>
      <c r="C10477">
        <v>36850211</v>
      </c>
      <c r="D10477">
        <v>6316</v>
      </c>
    </row>
    <row r="10478" spans="1:4" x14ac:dyDescent="0.25">
      <c r="A10478" t="str">
        <f>T("   IT")</f>
        <v xml:space="preserve">   IT</v>
      </c>
      <c r="B10478" t="str">
        <f>T("   Italie")</f>
        <v xml:space="preserve">   Italie</v>
      </c>
      <c r="C10478">
        <v>828647</v>
      </c>
      <c r="D10478">
        <v>51</v>
      </c>
    </row>
    <row r="10479" spans="1:4" x14ac:dyDescent="0.25">
      <c r="A10479" t="str">
        <f>T("   LB")</f>
        <v xml:space="preserve">   LB</v>
      </c>
      <c r="B10479" t="str">
        <f>T("   Liban")</f>
        <v xml:space="preserve">   Liban</v>
      </c>
      <c r="C10479">
        <v>173525</v>
      </c>
      <c r="D10479">
        <v>1200</v>
      </c>
    </row>
    <row r="10480" spans="1:4" x14ac:dyDescent="0.25">
      <c r="A10480" t="str">
        <f>T("   NG")</f>
        <v xml:space="preserve">   NG</v>
      </c>
      <c r="B10480" t="str">
        <f>T("   Nigéria")</f>
        <v xml:space="preserve">   Nigéria</v>
      </c>
      <c r="C10480">
        <v>120000</v>
      </c>
      <c r="D10480">
        <v>200</v>
      </c>
    </row>
    <row r="10481" spans="1:4" x14ac:dyDescent="0.25">
      <c r="A10481" t="str">
        <f>T("   NO")</f>
        <v xml:space="preserve">   NO</v>
      </c>
      <c r="B10481" t="str">
        <f>T("   Norvège")</f>
        <v xml:space="preserve">   Norvège</v>
      </c>
      <c r="C10481">
        <v>1573254</v>
      </c>
      <c r="D10481">
        <v>8</v>
      </c>
    </row>
    <row r="10482" spans="1:4" x14ac:dyDescent="0.25">
      <c r="A10482" t="str">
        <f>T("   US")</f>
        <v xml:space="preserve">   US</v>
      </c>
      <c r="B10482" t="str">
        <f>T("   Etats-Unis")</f>
        <v xml:space="preserve">   Etats-Unis</v>
      </c>
      <c r="C10482">
        <v>187120</v>
      </c>
      <c r="D10482">
        <v>5</v>
      </c>
    </row>
    <row r="10483" spans="1:4" x14ac:dyDescent="0.25">
      <c r="A10483" t="str">
        <f>T("841392")</f>
        <v>841392</v>
      </c>
      <c r="B10483" t="str">
        <f>T("Parties d'élévateurs à liquides, n.d.a.")</f>
        <v>Parties d'élévateurs à liquides, n.d.a.</v>
      </c>
    </row>
    <row r="10484" spans="1:4" x14ac:dyDescent="0.25">
      <c r="A10484" t="str">
        <f>T("   ZZZ_Monde")</f>
        <v xml:space="preserve">   ZZZ_Monde</v>
      </c>
      <c r="B10484" t="str">
        <f>T("   ZZZ_Monde")</f>
        <v xml:space="preserve">   ZZZ_Monde</v>
      </c>
      <c r="C10484">
        <v>2571961</v>
      </c>
      <c r="D10484">
        <v>100</v>
      </c>
    </row>
    <row r="10485" spans="1:4" x14ac:dyDescent="0.25">
      <c r="A10485" t="str">
        <f>T("   FR")</f>
        <v xml:space="preserve">   FR</v>
      </c>
      <c r="B10485" t="str">
        <f>T("   France")</f>
        <v xml:space="preserve">   France</v>
      </c>
      <c r="C10485">
        <v>2571961</v>
      </c>
      <c r="D10485">
        <v>100</v>
      </c>
    </row>
    <row r="10486" spans="1:4" x14ac:dyDescent="0.25">
      <c r="A10486" t="str">
        <f>T("841410")</f>
        <v>841410</v>
      </c>
      <c r="B10486" t="str">
        <f>T("Pompes à vide")</f>
        <v>Pompes à vide</v>
      </c>
    </row>
    <row r="10487" spans="1:4" x14ac:dyDescent="0.25">
      <c r="A10487" t="str">
        <f>T("   ZZZ_Monde")</f>
        <v xml:space="preserve">   ZZZ_Monde</v>
      </c>
      <c r="B10487" t="str">
        <f>T("   ZZZ_Monde")</f>
        <v xml:space="preserve">   ZZZ_Monde</v>
      </c>
      <c r="C10487">
        <v>824482</v>
      </c>
      <c r="D10487">
        <v>2750</v>
      </c>
    </row>
    <row r="10488" spans="1:4" x14ac:dyDescent="0.25">
      <c r="A10488" t="str">
        <f>T("   CN")</f>
        <v xml:space="preserve">   CN</v>
      </c>
      <c r="B10488" t="str">
        <f>T("   Chine")</f>
        <v xml:space="preserve">   Chine</v>
      </c>
      <c r="C10488">
        <v>824482</v>
      </c>
      <c r="D10488">
        <v>2750</v>
      </c>
    </row>
    <row r="10489" spans="1:4" x14ac:dyDescent="0.25">
      <c r="A10489" t="str">
        <f>T("841420")</f>
        <v>841420</v>
      </c>
      <c r="B10489" t="str">
        <f>T("Pompes à air, à main ou à pied")</f>
        <v>Pompes à air, à main ou à pied</v>
      </c>
    </row>
    <row r="10490" spans="1:4" x14ac:dyDescent="0.25">
      <c r="A10490" t="str">
        <f>T("   ZZZ_Monde")</f>
        <v xml:space="preserve">   ZZZ_Monde</v>
      </c>
      <c r="B10490" t="str">
        <f>T("   ZZZ_Monde")</f>
        <v xml:space="preserve">   ZZZ_Monde</v>
      </c>
      <c r="C10490">
        <v>39075924</v>
      </c>
      <c r="D10490">
        <v>5037</v>
      </c>
    </row>
    <row r="10491" spans="1:4" x14ac:dyDescent="0.25">
      <c r="A10491" t="str">
        <f>T("   CN")</f>
        <v xml:space="preserve">   CN</v>
      </c>
      <c r="B10491" t="str">
        <f>T("   Chine")</f>
        <v xml:space="preserve">   Chine</v>
      </c>
      <c r="C10491">
        <v>2839976</v>
      </c>
      <c r="D10491">
        <v>1600</v>
      </c>
    </row>
    <row r="10492" spans="1:4" x14ac:dyDescent="0.25">
      <c r="A10492" t="str">
        <f>T("   DE")</f>
        <v xml:space="preserve">   DE</v>
      </c>
      <c r="B10492" t="str">
        <f>T("   Allemagne")</f>
        <v xml:space="preserve">   Allemagne</v>
      </c>
      <c r="C10492">
        <v>50509</v>
      </c>
      <c r="D10492">
        <v>500</v>
      </c>
    </row>
    <row r="10493" spans="1:4" x14ac:dyDescent="0.25">
      <c r="A10493" t="str">
        <f>T("   FR")</f>
        <v xml:space="preserve">   FR</v>
      </c>
      <c r="B10493" t="str">
        <f>T("   France")</f>
        <v xml:space="preserve">   France</v>
      </c>
      <c r="C10493">
        <v>33282161</v>
      </c>
      <c r="D10493">
        <v>1652</v>
      </c>
    </row>
    <row r="10494" spans="1:4" x14ac:dyDescent="0.25">
      <c r="A10494" t="str">
        <f>T("   IT")</f>
        <v xml:space="preserve">   IT</v>
      </c>
      <c r="B10494" t="str">
        <f>T("   Italie")</f>
        <v xml:space="preserve">   Italie</v>
      </c>
      <c r="C10494">
        <v>2903278</v>
      </c>
      <c r="D10494">
        <v>1285</v>
      </c>
    </row>
    <row r="10495" spans="1:4" x14ac:dyDescent="0.25">
      <c r="A10495" t="str">
        <f>T("841430")</f>
        <v>841430</v>
      </c>
      <c r="B10495" t="str">
        <f>T("Compresseurs des types utilisés pour équipements frigorifiques")</f>
        <v>Compresseurs des types utilisés pour équipements frigorifiques</v>
      </c>
    </row>
    <row r="10496" spans="1:4" x14ac:dyDescent="0.25">
      <c r="A10496" t="str">
        <f>T("   ZZZ_Monde")</f>
        <v xml:space="preserve">   ZZZ_Monde</v>
      </c>
      <c r="B10496" t="str">
        <f>T("   ZZZ_Monde")</f>
        <v xml:space="preserve">   ZZZ_Monde</v>
      </c>
      <c r="C10496">
        <v>84960146</v>
      </c>
      <c r="D10496">
        <v>23456.46</v>
      </c>
    </row>
    <row r="10497" spans="1:4" x14ac:dyDescent="0.25">
      <c r="A10497" t="str">
        <f>T("   BE")</f>
        <v xml:space="preserve">   BE</v>
      </c>
      <c r="B10497" t="str">
        <f>T("   Belgique")</f>
        <v xml:space="preserve">   Belgique</v>
      </c>
      <c r="C10497">
        <v>36198177</v>
      </c>
      <c r="D10497">
        <v>6749</v>
      </c>
    </row>
    <row r="10498" spans="1:4" x14ac:dyDescent="0.25">
      <c r="A10498" t="str">
        <f>T("   CN")</f>
        <v xml:space="preserve">   CN</v>
      </c>
      <c r="B10498" t="str">
        <f>T("   Chine")</f>
        <v xml:space="preserve">   Chine</v>
      </c>
      <c r="C10498">
        <v>671670</v>
      </c>
      <c r="D10498">
        <v>276</v>
      </c>
    </row>
    <row r="10499" spans="1:4" x14ac:dyDescent="0.25">
      <c r="A10499" t="str">
        <f>T("   DE")</f>
        <v xml:space="preserve">   DE</v>
      </c>
      <c r="B10499" t="str">
        <f>T("   Allemagne")</f>
        <v xml:space="preserve">   Allemagne</v>
      </c>
      <c r="C10499">
        <v>484531</v>
      </c>
      <c r="D10499">
        <v>192</v>
      </c>
    </row>
    <row r="10500" spans="1:4" x14ac:dyDescent="0.25">
      <c r="A10500" t="str">
        <f>T("   FR")</f>
        <v xml:space="preserve">   FR</v>
      </c>
      <c r="B10500" t="str">
        <f>T("   France")</f>
        <v xml:space="preserve">   France</v>
      </c>
      <c r="C10500">
        <v>25215117</v>
      </c>
      <c r="D10500">
        <v>3210</v>
      </c>
    </row>
    <row r="10501" spans="1:4" x14ac:dyDescent="0.25">
      <c r="A10501" t="str">
        <f>T("   GB")</f>
        <v xml:space="preserve">   GB</v>
      </c>
      <c r="B10501" t="str">
        <f>T("   Royaume-Uni")</f>
        <v xml:space="preserve">   Royaume-Uni</v>
      </c>
      <c r="C10501">
        <v>1175197</v>
      </c>
      <c r="D10501">
        <v>3118</v>
      </c>
    </row>
    <row r="10502" spans="1:4" x14ac:dyDescent="0.25">
      <c r="A10502" t="str">
        <f>T("   IN")</f>
        <v xml:space="preserve">   IN</v>
      </c>
      <c r="B10502" t="str">
        <f>T("   Inde")</f>
        <v xml:space="preserve">   Inde</v>
      </c>
      <c r="C10502">
        <v>2911525</v>
      </c>
      <c r="D10502">
        <v>44</v>
      </c>
    </row>
    <row r="10503" spans="1:4" x14ac:dyDescent="0.25">
      <c r="A10503" t="str">
        <f>T("   IT")</f>
        <v xml:space="preserve">   IT</v>
      </c>
      <c r="B10503" t="str">
        <f>T("   Italie")</f>
        <v xml:space="preserve">   Italie</v>
      </c>
      <c r="C10503">
        <v>4888213</v>
      </c>
      <c r="D10503">
        <v>2768</v>
      </c>
    </row>
    <row r="10504" spans="1:4" x14ac:dyDescent="0.25">
      <c r="A10504" t="str">
        <f>T("   LB")</f>
        <v xml:space="preserve">   LB</v>
      </c>
      <c r="B10504" t="str">
        <f>T("   Liban")</f>
        <v xml:space="preserve">   Liban</v>
      </c>
      <c r="C10504">
        <v>7246823</v>
      </c>
      <c r="D10504">
        <v>4439</v>
      </c>
    </row>
    <row r="10505" spans="1:4" x14ac:dyDescent="0.25">
      <c r="A10505" t="str">
        <f>T("   NG")</f>
        <v xml:space="preserve">   NG</v>
      </c>
      <c r="B10505" t="str">
        <f>T("   Nigéria")</f>
        <v xml:space="preserve">   Nigéria</v>
      </c>
      <c r="C10505">
        <v>1310500</v>
      </c>
      <c r="D10505">
        <v>1312</v>
      </c>
    </row>
    <row r="10506" spans="1:4" x14ac:dyDescent="0.25">
      <c r="A10506" t="str">
        <f>T("   SA")</f>
        <v xml:space="preserve">   SA</v>
      </c>
      <c r="B10506" t="str">
        <f>T("   Arabie Saoudite")</f>
        <v xml:space="preserve">   Arabie Saoudite</v>
      </c>
      <c r="C10506">
        <v>3742262</v>
      </c>
      <c r="D10506">
        <v>777.46</v>
      </c>
    </row>
    <row r="10507" spans="1:4" x14ac:dyDescent="0.25">
      <c r="A10507" t="str">
        <f>T("   US")</f>
        <v xml:space="preserve">   US</v>
      </c>
      <c r="B10507" t="str">
        <f>T("   Etats-Unis")</f>
        <v xml:space="preserve">   Etats-Unis</v>
      </c>
      <c r="C10507">
        <v>1116131</v>
      </c>
      <c r="D10507">
        <v>571</v>
      </c>
    </row>
    <row r="10508" spans="1:4" x14ac:dyDescent="0.25">
      <c r="A10508" t="str">
        <f>T("841440")</f>
        <v>841440</v>
      </c>
      <c r="B10508" t="str">
        <f>T("Compresseurs d'air montés sur châssis à roues et remorquables")</f>
        <v>Compresseurs d'air montés sur châssis à roues et remorquables</v>
      </c>
    </row>
    <row r="10509" spans="1:4" x14ac:dyDescent="0.25">
      <c r="A10509" t="str">
        <f>T("   ZZZ_Monde")</f>
        <v xml:space="preserve">   ZZZ_Monde</v>
      </c>
      <c r="B10509" t="str">
        <f>T("   ZZZ_Monde")</f>
        <v xml:space="preserve">   ZZZ_Monde</v>
      </c>
      <c r="C10509">
        <v>135035741</v>
      </c>
      <c r="D10509">
        <v>48383</v>
      </c>
    </row>
    <row r="10510" spans="1:4" x14ac:dyDescent="0.25">
      <c r="A10510" t="str">
        <f>T("   BE")</f>
        <v xml:space="preserve">   BE</v>
      </c>
      <c r="B10510" t="str">
        <f>T("   Belgique")</f>
        <v xml:space="preserve">   Belgique</v>
      </c>
      <c r="C10510">
        <v>43055706</v>
      </c>
      <c r="D10510">
        <v>5772</v>
      </c>
    </row>
    <row r="10511" spans="1:4" x14ac:dyDescent="0.25">
      <c r="A10511" t="str">
        <f>T("   CN")</f>
        <v xml:space="preserve">   CN</v>
      </c>
      <c r="B10511" t="str">
        <f>T("   Chine")</f>
        <v xml:space="preserve">   Chine</v>
      </c>
      <c r="C10511">
        <v>4739975</v>
      </c>
      <c r="D10511">
        <v>4103</v>
      </c>
    </row>
    <row r="10512" spans="1:4" x14ac:dyDescent="0.25">
      <c r="A10512" t="str">
        <f>T("   DE")</f>
        <v xml:space="preserve">   DE</v>
      </c>
      <c r="B10512" t="str">
        <f>T("   Allemagne")</f>
        <v xml:space="preserve">   Allemagne</v>
      </c>
      <c r="C10512">
        <v>8978125</v>
      </c>
      <c r="D10512">
        <v>903</v>
      </c>
    </row>
    <row r="10513" spans="1:4" x14ac:dyDescent="0.25">
      <c r="A10513" t="str">
        <f>T("   DK")</f>
        <v xml:space="preserve">   DK</v>
      </c>
      <c r="B10513" t="str">
        <f>T("   Danemark")</f>
        <v xml:space="preserve">   Danemark</v>
      </c>
      <c r="C10513">
        <v>51165</v>
      </c>
      <c r="D10513">
        <v>87</v>
      </c>
    </row>
    <row r="10514" spans="1:4" x14ac:dyDescent="0.25">
      <c r="A10514" t="str">
        <f>T("   FR")</f>
        <v xml:space="preserve">   FR</v>
      </c>
      <c r="B10514" t="str">
        <f>T("   France")</f>
        <v xml:space="preserve">   France</v>
      </c>
      <c r="C10514">
        <v>58662780</v>
      </c>
      <c r="D10514">
        <v>5810</v>
      </c>
    </row>
    <row r="10515" spans="1:4" x14ac:dyDescent="0.25">
      <c r="A10515" t="str">
        <f>T("   IT")</f>
        <v xml:space="preserve">   IT</v>
      </c>
      <c r="B10515" t="str">
        <f>T("   Italie")</f>
        <v xml:space="preserve">   Italie</v>
      </c>
      <c r="C10515">
        <v>16252806</v>
      </c>
      <c r="D10515">
        <v>18208</v>
      </c>
    </row>
    <row r="10516" spans="1:4" x14ac:dyDescent="0.25">
      <c r="A10516" t="str">
        <f>T("   TG")</f>
        <v xml:space="preserve">   TG</v>
      </c>
      <c r="B10516" t="str">
        <f>T("   Togo")</f>
        <v xml:space="preserve">   Togo</v>
      </c>
      <c r="C10516">
        <v>295204</v>
      </c>
      <c r="D10516">
        <v>800</v>
      </c>
    </row>
    <row r="10517" spans="1:4" x14ac:dyDescent="0.25">
      <c r="A10517" t="str">
        <f>T("   US")</f>
        <v xml:space="preserve">   US</v>
      </c>
      <c r="B10517" t="str">
        <f>T("   Etats-Unis")</f>
        <v xml:space="preserve">   Etats-Unis</v>
      </c>
      <c r="C10517">
        <v>2999980</v>
      </c>
      <c r="D10517">
        <v>12700</v>
      </c>
    </row>
    <row r="10518" spans="1:4" x14ac:dyDescent="0.25">
      <c r="A10518" t="str">
        <f>T("841451")</f>
        <v>841451</v>
      </c>
      <c r="B10518" t="str">
        <f>T("Ventilateurs de table, de sol, muraux, plafonniers, de toitures ou de fenêtres, à moteur électrique incorporé, d'une puissance &lt;= 125 W")</f>
        <v>Ventilateurs de table, de sol, muraux, plafonniers, de toitures ou de fenêtres, à moteur électrique incorporé, d'une puissance &lt;= 125 W</v>
      </c>
    </row>
    <row r="10519" spans="1:4" x14ac:dyDescent="0.25">
      <c r="A10519" t="str">
        <f>T("   ZZZ_Monde")</f>
        <v xml:space="preserve">   ZZZ_Monde</v>
      </c>
      <c r="B10519" t="str">
        <f>T("   ZZZ_Monde")</f>
        <v xml:space="preserve">   ZZZ_Monde</v>
      </c>
      <c r="C10519">
        <v>205412094</v>
      </c>
      <c r="D10519">
        <v>349995</v>
      </c>
    </row>
    <row r="10520" spans="1:4" x14ac:dyDescent="0.25">
      <c r="A10520" t="str">
        <f>T("   BE")</f>
        <v xml:space="preserve">   BE</v>
      </c>
      <c r="B10520" t="str">
        <f>T("   Belgique")</f>
        <v xml:space="preserve">   Belgique</v>
      </c>
      <c r="C10520">
        <v>572653</v>
      </c>
      <c r="D10520">
        <v>59</v>
      </c>
    </row>
    <row r="10521" spans="1:4" x14ac:dyDescent="0.25">
      <c r="A10521" t="str">
        <f>T("   CN")</f>
        <v xml:space="preserve">   CN</v>
      </c>
      <c r="B10521" t="str">
        <f>T("   Chine")</f>
        <v xml:space="preserve">   Chine</v>
      </c>
      <c r="C10521">
        <v>55867991</v>
      </c>
      <c r="D10521">
        <v>125976</v>
      </c>
    </row>
    <row r="10522" spans="1:4" x14ac:dyDescent="0.25">
      <c r="A10522" t="str">
        <f>T("   FR")</f>
        <v xml:space="preserve">   FR</v>
      </c>
      <c r="B10522" t="str">
        <f>T("   France")</f>
        <v xml:space="preserve">   France</v>
      </c>
      <c r="C10522">
        <v>7872</v>
      </c>
      <c r="D10522">
        <v>10</v>
      </c>
    </row>
    <row r="10523" spans="1:4" x14ac:dyDescent="0.25">
      <c r="A10523" t="str">
        <f>T("   GB")</f>
        <v xml:space="preserve">   GB</v>
      </c>
      <c r="B10523" t="str">
        <f>T("   Royaume-Uni")</f>
        <v xml:space="preserve">   Royaume-Uni</v>
      </c>
      <c r="C10523">
        <v>386193</v>
      </c>
      <c r="D10523">
        <v>165</v>
      </c>
    </row>
    <row r="10524" spans="1:4" x14ac:dyDescent="0.25">
      <c r="A10524" t="str">
        <f>T("   GH")</f>
        <v xml:space="preserve">   GH</v>
      </c>
      <c r="B10524" t="str">
        <f>T("   Ghana")</f>
        <v xml:space="preserve">   Ghana</v>
      </c>
      <c r="C10524">
        <v>1570881</v>
      </c>
      <c r="D10524">
        <v>876</v>
      </c>
    </row>
    <row r="10525" spans="1:4" x14ac:dyDescent="0.25">
      <c r="A10525" t="str">
        <f>T("   HK")</f>
        <v xml:space="preserve">   HK</v>
      </c>
      <c r="B10525" t="str">
        <f>T("   Hong-Kong")</f>
        <v xml:space="preserve">   Hong-Kong</v>
      </c>
      <c r="C10525">
        <v>30588033</v>
      </c>
      <c r="D10525">
        <v>81407</v>
      </c>
    </row>
    <row r="10526" spans="1:4" x14ac:dyDescent="0.25">
      <c r="A10526" t="str">
        <f>T("   IN")</f>
        <v xml:space="preserve">   IN</v>
      </c>
      <c r="B10526" t="str">
        <f>T("   Inde")</f>
        <v xml:space="preserve">   Inde</v>
      </c>
      <c r="C10526">
        <v>27471054</v>
      </c>
      <c r="D10526">
        <v>39714</v>
      </c>
    </row>
    <row r="10527" spans="1:4" x14ac:dyDescent="0.25">
      <c r="A10527" t="str">
        <f>T("   LB")</f>
        <v xml:space="preserve">   LB</v>
      </c>
      <c r="B10527" t="str">
        <f>T("   Liban")</f>
        <v xml:space="preserve">   Liban</v>
      </c>
      <c r="C10527">
        <v>663176</v>
      </c>
      <c r="D10527">
        <v>913</v>
      </c>
    </row>
    <row r="10528" spans="1:4" x14ac:dyDescent="0.25">
      <c r="A10528" t="str">
        <f>T("   NG")</f>
        <v xml:space="preserve">   NG</v>
      </c>
      <c r="B10528" t="str">
        <f>T("   Nigéria")</f>
        <v xml:space="preserve">   Nigéria</v>
      </c>
      <c r="C10528">
        <v>80530000</v>
      </c>
      <c r="D10528">
        <v>89995</v>
      </c>
    </row>
    <row r="10529" spans="1:4" x14ac:dyDescent="0.25">
      <c r="A10529" t="str">
        <f>T("   SG")</f>
        <v xml:space="preserve">   SG</v>
      </c>
      <c r="B10529" t="str">
        <f>T("   Singapour")</f>
        <v xml:space="preserve">   Singapour</v>
      </c>
      <c r="C10529">
        <v>2488557</v>
      </c>
      <c r="D10529">
        <v>1680</v>
      </c>
    </row>
    <row r="10530" spans="1:4" x14ac:dyDescent="0.25">
      <c r="A10530" t="str">
        <f>T("   TG")</f>
        <v xml:space="preserve">   TG</v>
      </c>
      <c r="B10530" t="str">
        <f>T("   Togo")</f>
        <v xml:space="preserve">   Togo</v>
      </c>
      <c r="C10530">
        <v>5265684</v>
      </c>
      <c r="D10530">
        <v>9200</v>
      </c>
    </row>
    <row r="10531" spans="1:4" x14ac:dyDescent="0.25">
      <c r="A10531" t="str">
        <f>T("841459")</f>
        <v>841459</v>
      </c>
      <c r="B10531" t="str">
        <f>T("Ventilateurs (sauf ventilateurs de table, de sol, muraux, plafonniers, de toitures ou de fenêtres, à moteur électrique incorporé, d'une puissance &lt;= 125 W)")</f>
        <v>Ventilateurs (sauf ventilateurs de table, de sol, muraux, plafonniers, de toitures ou de fenêtres, à moteur électrique incorporé, d'une puissance &lt;= 125 W)</v>
      </c>
    </row>
    <row r="10532" spans="1:4" x14ac:dyDescent="0.25">
      <c r="A10532" t="str">
        <f>T("   ZZZ_Monde")</f>
        <v xml:space="preserve">   ZZZ_Monde</v>
      </c>
      <c r="B10532" t="str">
        <f>T("   ZZZ_Monde")</f>
        <v xml:space="preserve">   ZZZ_Monde</v>
      </c>
      <c r="C10532">
        <v>62309210</v>
      </c>
      <c r="D10532">
        <v>82217</v>
      </c>
    </row>
    <row r="10533" spans="1:4" x14ac:dyDescent="0.25">
      <c r="A10533" t="str">
        <f>T("   AE")</f>
        <v xml:space="preserve">   AE</v>
      </c>
      <c r="B10533" t="str">
        <f>T("   Emirats Arabes Unis")</f>
        <v xml:space="preserve">   Emirats Arabes Unis</v>
      </c>
      <c r="C10533">
        <v>2541257</v>
      </c>
      <c r="D10533">
        <v>2765</v>
      </c>
    </row>
    <row r="10534" spans="1:4" x14ac:dyDescent="0.25">
      <c r="A10534" t="str">
        <f>T("   AT")</f>
        <v xml:space="preserve">   AT</v>
      </c>
      <c r="B10534" t="str">
        <f>T("   Autriche")</f>
        <v xml:space="preserve">   Autriche</v>
      </c>
      <c r="C10534">
        <v>304365</v>
      </c>
      <c r="D10534">
        <v>12</v>
      </c>
    </row>
    <row r="10535" spans="1:4" x14ac:dyDescent="0.25">
      <c r="A10535" t="str">
        <f>T("   CA")</f>
        <v xml:space="preserve">   CA</v>
      </c>
      <c r="B10535" t="str">
        <f>T("   Canada")</f>
        <v xml:space="preserve">   Canada</v>
      </c>
      <c r="C10535">
        <v>371496</v>
      </c>
      <c r="D10535">
        <v>2571</v>
      </c>
    </row>
    <row r="10536" spans="1:4" x14ac:dyDescent="0.25">
      <c r="A10536" t="str">
        <f>T("   CN")</f>
        <v xml:space="preserve">   CN</v>
      </c>
      <c r="B10536" t="str">
        <f>T("   Chine")</f>
        <v xml:space="preserve">   Chine</v>
      </c>
      <c r="C10536">
        <v>22375927</v>
      </c>
      <c r="D10536">
        <v>53399</v>
      </c>
    </row>
    <row r="10537" spans="1:4" x14ac:dyDescent="0.25">
      <c r="A10537" t="str">
        <f>T("   FR")</f>
        <v xml:space="preserve">   FR</v>
      </c>
      <c r="B10537" t="str">
        <f>T("   France")</f>
        <v xml:space="preserve">   France</v>
      </c>
      <c r="C10537">
        <v>15536654</v>
      </c>
      <c r="D10537">
        <v>3152</v>
      </c>
    </row>
    <row r="10538" spans="1:4" x14ac:dyDescent="0.25">
      <c r="A10538" t="str">
        <f>T("   GB")</f>
        <v xml:space="preserve">   GB</v>
      </c>
      <c r="B10538" t="str">
        <f>T("   Royaume-Uni")</f>
        <v xml:space="preserve">   Royaume-Uni</v>
      </c>
      <c r="C10538">
        <v>7416963</v>
      </c>
      <c r="D10538">
        <v>4288</v>
      </c>
    </row>
    <row r="10539" spans="1:4" x14ac:dyDescent="0.25">
      <c r="A10539" t="str">
        <f>T("   GH")</f>
        <v xml:space="preserve">   GH</v>
      </c>
      <c r="B10539" t="str">
        <f>T("   Ghana")</f>
        <v xml:space="preserve">   Ghana</v>
      </c>
      <c r="C10539">
        <v>6445177</v>
      </c>
      <c r="D10539">
        <v>6639</v>
      </c>
    </row>
    <row r="10540" spans="1:4" x14ac:dyDescent="0.25">
      <c r="A10540" t="str">
        <f>T("   SG")</f>
        <v xml:space="preserve">   SG</v>
      </c>
      <c r="B10540" t="str">
        <f>T("   Singapour")</f>
        <v xml:space="preserve">   Singapour</v>
      </c>
      <c r="C10540">
        <v>5065706</v>
      </c>
      <c r="D10540">
        <v>4294</v>
      </c>
    </row>
    <row r="10541" spans="1:4" x14ac:dyDescent="0.25">
      <c r="A10541" t="str">
        <f>T("   US")</f>
        <v xml:space="preserve">   US</v>
      </c>
      <c r="B10541" t="str">
        <f>T("   Etats-Unis")</f>
        <v xml:space="preserve">   Etats-Unis</v>
      </c>
      <c r="C10541">
        <v>2251665</v>
      </c>
      <c r="D10541">
        <v>5097</v>
      </c>
    </row>
    <row r="10542" spans="1:4" x14ac:dyDescent="0.25">
      <c r="A10542" t="str">
        <f>T("841460")</f>
        <v>841460</v>
      </c>
      <c r="B10542" t="str">
        <f>T("Hottes aspirantes à extraction ou à recyclage par filtre, à ventilateur incorporé, plus grand côté horizontal &lt;= 120 cm")</f>
        <v>Hottes aspirantes à extraction ou à recyclage par filtre, à ventilateur incorporé, plus grand côté horizontal &lt;= 120 cm</v>
      </c>
    </row>
    <row r="10543" spans="1:4" x14ac:dyDescent="0.25">
      <c r="A10543" t="str">
        <f>T("   ZZZ_Monde")</f>
        <v xml:space="preserve">   ZZZ_Monde</v>
      </c>
      <c r="B10543" t="str">
        <f>T("   ZZZ_Monde")</f>
        <v xml:space="preserve">   ZZZ_Monde</v>
      </c>
      <c r="C10543">
        <v>6225880</v>
      </c>
      <c r="D10543">
        <v>150</v>
      </c>
    </row>
    <row r="10544" spans="1:4" x14ac:dyDescent="0.25">
      <c r="A10544" t="str">
        <f>T("   FR")</f>
        <v xml:space="preserve">   FR</v>
      </c>
      <c r="B10544" t="str">
        <f>T("   France")</f>
        <v xml:space="preserve">   France</v>
      </c>
      <c r="C10544">
        <v>6225880</v>
      </c>
      <c r="D10544">
        <v>150</v>
      </c>
    </row>
    <row r="10545" spans="1:4" x14ac:dyDescent="0.25">
      <c r="A10545" t="str">
        <f>T("841480")</f>
        <v>841480</v>
      </c>
      <c r="B10545" t="str">
        <f>T("Pompes à air, compresseurs d'air ou d'autres gaz, hottes aspirantes à extraction ou à recyclage par filtre, à ventilateur incorporé, plus grand côté horizontal &gt; 120 cm (autres que pompes à vide, pompes à air à main ou à pied, compresseurs des types utili")</f>
        <v>Pompes à air, compresseurs d'air ou d'autres gaz, hottes aspirantes à extraction ou à recyclage par filtre, à ventilateur incorporé, plus grand côté horizontal &gt; 120 cm (autres que pompes à vide, pompes à air à main ou à pied, compresseurs des types utili</v>
      </c>
    </row>
    <row r="10546" spans="1:4" x14ac:dyDescent="0.25">
      <c r="A10546" t="str">
        <f>T("   ZZZ_Monde")</f>
        <v xml:space="preserve">   ZZZ_Monde</v>
      </c>
      <c r="B10546" t="str">
        <f>T("   ZZZ_Monde")</f>
        <v xml:space="preserve">   ZZZ_Monde</v>
      </c>
      <c r="C10546">
        <v>245833542</v>
      </c>
      <c r="D10546">
        <v>39622.5</v>
      </c>
    </row>
    <row r="10547" spans="1:4" x14ac:dyDescent="0.25">
      <c r="A10547" t="str">
        <f>T("   BE")</f>
        <v xml:space="preserve">   BE</v>
      </c>
      <c r="B10547" t="str">
        <f>T("   Belgique")</f>
        <v xml:space="preserve">   Belgique</v>
      </c>
      <c r="C10547">
        <v>905881</v>
      </c>
      <c r="D10547">
        <v>292</v>
      </c>
    </row>
    <row r="10548" spans="1:4" x14ac:dyDescent="0.25">
      <c r="A10548" t="str">
        <f>T("   CN")</f>
        <v xml:space="preserve">   CN</v>
      </c>
      <c r="B10548" t="str">
        <f>T("   Chine")</f>
        <v xml:space="preserve">   Chine</v>
      </c>
      <c r="C10548">
        <v>8205459</v>
      </c>
      <c r="D10548">
        <v>15733</v>
      </c>
    </row>
    <row r="10549" spans="1:4" x14ac:dyDescent="0.25">
      <c r="A10549" t="str">
        <f>T("   DE")</f>
        <v xml:space="preserve">   DE</v>
      </c>
      <c r="B10549" t="str">
        <f>T("   Allemagne")</f>
        <v xml:space="preserve">   Allemagne</v>
      </c>
      <c r="C10549">
        <v>756620</v>
      </c>
      <c r="D10549">
        <v>442</v>
      </c>
    </row>
    <row r="10550" spans="1:4" x14ac:dyDescent="0.25">
      <c r="A10550" t="str">
        <f>T("   FR")</f>
        <v xml:space="preserve">   FR</v>
      </c>
      <c r="B10550" t="str">
        <f>T("   France")</f>
        <v xml:space="preserve">   France</v>
      </c>
      <c r="C10550">
        <v>113386183</v>
      </c>
      <c r="D10550">
        <v>15963.5</v>
      </c>
    </row>
    <row r="10551" spans="1:4" x14ac:dyDescent="0.25">
      <c r="A10551" t="str">
        <f>T("   IE")</f>
        <v xml:space="preserve">   IE</v>
      </c>
      <c r="B10551" t="str">
        <f>T("   Irlande")</f>
        <v xml:space="preserve">   Irlande</v>
      </c>
      <c r="C10551">
        <v>110538004</v>
      </c>
      <c r="D10551">
        <v>3514</v>
      </c>
    </row>
    <row r="10552" spans="1:4" x14ac:dyDescent="0.25">
      <c r="A10552" t="str">
        <f>T("   KR")</f>
        <v xml:space="preserve">   KR</v>
      </c>
      <c r="B10552" t="str">
        <f>T("   Corée, République de")</f>
        <v xml:space="preserve">   Corée, République de</v>
      </c>
      <c r="C10552">
        <v>786757</v>
      </c>
      <c r="D10552">
        <v>920</v>
      </c>
    </row>
    <row r="10553" spans="1:4" x14ac:dyDescent="0.25">
      <c r="A10553" t="str">
        <f>T("   LB")</f>
        <v xml:space="preserve">   LB</v>
      </c>
      <c r="B10553" t="str">
        <f>T("   Liban")</f>
        <v xml:space="preserve">   Liban</v>
      </c>
      <c r="C10553">
        <v>1527467</v>
      </c>
      <c r="D10553">
        <v>975</v>
      </c>
    </row>
    <row r="10554" spans="1:4" x14ac:dyDescent="0.25">
      <c r="A10554" t="str">
        <f>T("   NL")</f>
        <v xml:space="preserve">   NL</v>
      </c>
      <c r="B10554" t="str">
        <f>T("   Pays-bas")</f>
        <v xml:space="preserve">   Pays-bas</v>
      </c>
      <c r="C10554">
        <v>924766</v>
      </c>
      <c r="D10554">
        <v>11</v>
      </c>
    </row>
    <row r="10555" spans="1:4" x14ac:dyDescent="0.25">
      <c r="A10555" t="str">
        <f>T("   NO")</f>
        <v xml:space="preserve">   NO</v>
      </c>
      <c r="B10555" t="str">
        <f>T("   Norvège")</f>
        <v xml:space="preserve">   Norvège</v>
      </c>
      <c r="C10555">
        <v>4062282</v>
      </c>
      <c r="D10555">
        <v>407</v>
      </c>
    </row>
    <row r="10556" spans="1:4" x14ac:dyDescent="0.25">
      <c r="A10556" t="str">
        <f>T("   SE")</f>
        <v xml:space="preserve">   SE</v>
      </c>
      <c r="B10556" t="str">
        <f>T("   Suède")</f>
        <v xml:space="preserve">   Suède</v>
      </c>
      <c r="C10556">
        <v>422596</v>
      </c>
      <c r="D10556">
        <v>11</v>
      </c>
    </row>
    <row r="10557" spans="1:4" x14ac:dyDescent="0.25">
      <c r="A10557" t="str">
        <f>T("   SY")</f>
        <v xml:space="preserve">   SY</v>
      </c>
      <c r="B10557" t="str">
        <f>T("   Syrienne, République arabe")</f>
        <v xml:space="preserve">   Syrienne, République arabe</v>
      </c>
      <c r="C10557">
        <v>2983712</v>
      </c>
      <c r="D10557">
        <v>20</v>
      </c>
    </row>
    <row r="10558" spans="1:4" x14ac:dyDescent="0.25">
      <c r="A10558" t="str">
        <f>T("   TH")</f>
        <v xml:space="preserve">   TH</v>
      </c>
      <c r="B10558" t="str">
        <f>T("   Thaïlande")</f>
        <v xml:space="preserve">   Thaïlande</v>
      </c>
      <c r="C10558">
        <v>1333815</v>
      </c>
      <c r="D10558">
        <v>1334</v>
      </c>
    </row>
    <row r="10559" spans="1:4" x14ac:dyDescent="0.25">
      <c r="A10559" t="str">
        <f>T("841490")</f>
        <v>841490</v>
      </c>
      <c r="B10559" t="str">
        <f>T("Parties de pompes à air ou à vide, de compresseurs d'air ou d'autres gaz et de ventilateurs, de hottes aspirantes à extraction ou à recyclage, à ventilateur incorporé, n.d.a.")</f>
        <v>Parties de pompes à air ou à vide, de compresseurs d'air ou d'autres gaz et de ventilateurs, de hottes aspirantes à extraction ou à recyclage, à ventilateur incorporé, n.d.a.</v>
      </c>
    </row>
    <row r="10560" spans="1:4" x14ac:dyDescent="0.25">
      <c r="A10560" t="str">
        <f>T("   ZZZ_Monde")</f>
        <v xml:space="preserve">   ZZZ_Monde</v>
      </c>
      <c r="B10560" t="str">
        <f>T("   ZZZ_Monde")</f>
        <v xml:space="preserve">   ZZZ_Monde</v>
      </c>
      <c r="C10560">
        <v>130126271</v>
      </c>
      <c r="D10560">
        <v>41157</v>
      </c>
    </row>
    <row r="10561" spans="1:4" x14ac:dyDescent="0.25">
      <c r="A10561" t="str">
        <f>T("   AF")</f>
        <v xml:space="preserve">   AF</v>
      </c>
      <c r="B10561" t="str">
        <f>T("   Afghanistan")</f>
        <v xml:space="preserve">   Afghanistan</v>
      </c>
      <c r="C10561">
        <v>290342</v>
      </c>
      <c r="D10561">
        <v>90</v>
      </c>
    </row>
    <row r="10562" spans="1:4" x14ac:dyDescent="0.25">
      <c r="A10562" t="str">
        <f>T("   BE")</f>
        <v xml:space="preserve">   BE</v>
      </c>
      <c r="B10562" t="str">
        <f>T("   Belgique")</f>
        <v xml:space="preserve">   Belgique</v>
      </c>
      <c r="C10562">
        <v>37034434</v>
      </c>
      <c r="D10562">
        <v>486</v>
      </c>
    </row>
    <row r="10563" spans="1:4" x14ac:dyDescent="0.25">
      <c r="A10563" t="str">
        <f>T("   CH")</f>
        <v xml:space="preserve">   CH</v>
      </c>
      <c r="B10563" t="str">
        <f>T("   Suisse")</f>
        <v xml:space="preserve">   Suisse</v>
      </c>
      <c r="C10563">
        <v>641162</v>
      </c>
      <c r="D10563">
        <v>104</v>
      </c>
    </row>
    <row r="10564" spans="1:4" x14ac:dyDescent="0.25">
      <c r="A10564" t="str">
        <f>T("   CN")</f>
        <v xml:space="preserve">   CN</v>
      </c>
      <c r="B10564" t="str">
        <f>T("   Chine")</f>
        <v xml:space="preserve">   Chine</v>
      </c>
      <c r="C10564">
        <v>735188</v>
      </c>
      <c r="D10564">
        <v>2540</v>
      </c>
    </row>
    <row r="10565" spans="1:4" x14ac:dyDescent="0.25">
      <c r="A10565" t="str">
        <f>T("   DE")</f>
        <v xml:space="preserve">   DE</v>
      </c>
      <c r="B10565" t="str">
        <f>T("   Allemagne")</f>
        <v xml:space="preserve">   Allemagne</v>
      </c>
      <c r="C10565">
        <v>5645935</v>
      </c>
      <c r="D10565">
        <v>483</v>
      </c>
    </row>
    <row r="10566" spans="1:4" x14ac:dyDescent="0.25">
      <c r="A10566" t="str">
        <f>T("   FR")</f>
        <v xml:space="preserve">   FR</v>
      </c>
      <c r="B10566" t="str">
        <f>T("   France")</f>
        <v xml:space="preserve">   France</v>
      </c>
      <c r="C10566">
        <v>68975540</v>
      </c>
      <c r="D10566">
        <v>22699</v>
      </c>
    </row>
    <row r="10567" spans="1:4" x14ac:dyDescent="0.25">
      <c r="A10567" t="str">
        <f>T("   IT")</f>
        <v xml:space="preserve">   IT</v>
      </c>
      <c r="B10567" t="str">
        <f>T("   Italie")</f>
        <v xml:space="preserve">   Italie</v>
      </c>
      <c r="C10567">
        <v>16803670</v>
      </c>
      <c r="D10567">
        <v>14755</v>
      </c>
    </row>
    <row r="10568" spans="1:4" x14ac:dyDescent="0.25">
      <c r="A10568" t="str">
        <f>T("841510")</f>
        <v>841510</v>
      </c>
      <c r="B10568" t="s">
        <v>26</v>
      </c>
    </row>
    <row r="10569" spans="1:4" x14ac:dyDescent="0.25">
      <c r="A10569" t="str">
        <f>T("   ZZZ_Monde")</f>
        <v xml:space="preserve">   ZZZ_Monde</v>
      </c>
      <c r="B10569" t="str">
        <f>T("   ZZZ_Monde")</f>
        <v xml:space="preserve">   ZZZ_Monde</v>
      </c>
      <c r="C10569">
        <v>822158244</v>
      </c>
      <c r="D10569">
        <v>766115.1</v>
      </c>
    </row>
    <row r="10570" spans="1:4" x14ac:dyDescent="0.25">
      <c r="A10570" t="str">
        <f>T("   AE")</f>
        <v xml:space="preserve">   AE</v>
      </c>
      <c r="B10570" t="str">
        <f>T("   Emirats Arabes Unis")</f>
        <v xml:space="preserve">   Emirats Arabes Unis</v>
      </c>
      <c r="C10570">
        <v>20889909</v>
      </c>
      <c r="D10570">
        <v>8279</v>
      </c>
    </row>
    <row r="10571" spans="1:4" x14ac:dyDescent="0.25">
      <c r="A10571" t="str">
        <f>T("   BE")</f>
        <v xml:space="preserve">   BE</v>
      </c>
      <c r="B10571" t="str">
        <f>T("   Belgique")</f>
        <v xml:space="preserve">   Belgique</v>
      </c>
      <c r="C10571">
        <v>7144232</v>
      </c>
      <c r="D10571">
        <v>1774</v>
      </c>
    </row>
    <row r="10572" spans="1:4" x14ac:dyDescent="0.25">
      <c r="A10572" t="str">
        <f>T("   BW")</f>
        <v xml:space="preserve">   BW</v>
      </c>
      <c r="B10572" t="str">
        <f>T("   Botswana")</f>
        <v xml:space="preserve">   Botswana</v>
      </c>
      <c r="C10572">
        <v>80000</v>
      </c>
      <c r="D10572">
        <v>5</v>
      </c>
    </row>
    <row r="10573" spans="1:4" x14ac:dyDescent="0.25">
      <c r="A10573" t="str">
        <f>T("   CA")</f>
        <v xml:space="preserve">   CA</v>
      </c>
      <c r="B10573" t="str">
        <f>T("   Canada")</f>
        <v xml:space="preserve">   Canada</v>
      </c>
      <c r="C10573">
        <v>300430</v>
      </c>
      <c r="D10573">
        <v>200</v>
      </c>
    </row>
    <row r="10574" spans="1:4" x14ac:dyDescent="0.25">
      <c r="A10574" t="str">
        <f>T("   CN")</f>
        <v xml:space="preserve">   CN</v>
      </c>
      <c r="B10574" t="str">
        <f>T("   Chine")</f>
        <v xml:space="preserve">   Chine</v>
      </c>
      <c r="C10574">
        <v>132332432</v>
      </c>
      <c r="D10574">
        <v>142316.5</v>
      </c>
    </row>
    <row r="10575" spans="1:4" x14ac:dyDescent="0.25">
      <c r="A10575" t="str">
        <f>T("   DE")</f>
        <v xml:space="preserve">   DE</v>
      </c>
      <c r="B10575" t="str">
        <f>T("   Allemagne")</f>
        <v xml:space="preserve">   Allemagne</v>
      </c>
      <c r="C10575">
        <v>120000</v>
      </c>
      <c r="D10575">
        <v>40</v>
      </c>
    </row>
    <row r="10576" spans="1:4" x14ac:dyDescent="0.25">
      <c r="A10576" t="str">
        <f>T("   EG")</f>
        <v xml:space="preserve">   EG</v>
      </c>
      <c r="B10576" t="str">
        <f>T("   Egypte")</f>
        <v xml:space="preserve">   Egypte</v>
      </c>
      <c r="C10576">
        <v>15623802</v>
      </c>
      <c r="D10576">
        <v>8238</v>
      </c>
    </row>
    <row r="10577" spans="1:4" x14ac:dyDescent="0.25">
      <c r="A10577" t="str">
        <f>T("   FR")</f>
        <v xml:space="preserve">   FR</v>
      </c>
      <c r="B10577" t="str">
        <f>T("   France")</f>
        <v xml:space="preserve">   France</v>
      </c>
      <c r="C10577">
        <v>107637641</v>
      </c>
      <c r="D10577">
        <v>29640</v>
      </c>
    </row>
    <row r="10578" spans="1:4" x14ac:dyDescent="0.25">
      <c r="A10578" t="str">
        <f>T("   GB")</f>
        <v xml:space="preserve">   GB</v>
      </c>
      <c r="B10578" t="str">
        <f>T("   Royaume-Uni")</f>
        <v xml:space="preserve">   Royaume-Uni</v>
      </c>
      <c r="C10578">
        <v>4994232</v>
      </c>
      <c r="D10578">
        <v>2802</v>
      </c>
    </row>
    <row r="10579" spans="1:4" x14ac:dyDescent="0.25">
      <c r="A10579" t="str">
        <f>T("   GH")</f>
        <v xml:space="preserve">   GH</v>
      </c>
      <c r="B10579" t="str">
        <f>T("   Ghana")</f>
        <v xml:space="preserve">   Ghana</v>
      </c>
      <c r="C10579">
        <v>2545125</v>
      </c>
      <c r="D10579">
        <v>150</v>
      </c>
    </row>
    <row r="10580" spans="1:4" x14ac:dyDescent="0.25">
      <c r="A10580" t="str">
        <f>T("   IT")</f>
        <v xml:space="preserve">   IT</v>
      </c>
      <c r="B10580" t="str">
        <f>T("   Italie")</f>
        <v xml:space="preserve">   Italie</v>
      </c>
      <c r="C10580">
        <v>1798708</v>
      </c>
      <c r="D10580">
        <v>1480</v>
      </c>
    </row>
    <row r="10581" spans="1:4" x14ac:dyDescent="0.25">
      <c r="A10581" t="str">
        <f>T("   KP")</f>
        <v xml:space="preserve">   KP</v>
      </c>
      <c r="B10581" t="str">
        <f>T("   Corée, Rép. Populaire Démocratique")</f>
        <v xml:space="preserve">   Corée, Rép. Populaire Démocratique</v>
      </c>
      <c r="C10581">
        <v>10924000</v>
      </c>
      <c r="D10581">
        <v>5009</v>
      </c>
    </row>
    <row r="10582" spans="1:4" x14ac:dyDescent="0.25">
      <c r="A10582" t="str">
        <f>T("   KR")</f>
        <v xml:space="preserve">   KR</v>
      </c>
      <c r="B10582" t="str">
        <f>T("   Corée, République de")</f>
        <v xml:space="preserve">   Corée, République de</v>
      </c>
      <c r="C10582">
        <v>159857</v>
      </c>
      <c r="D10582">
        <v>130</v>
      </c>
    </row>
    <row r="10583" spans="1:4" x14ac:dyDescent="0.25">
      <c r="A10583" t="str">
        <f>T("   LB")</f>
        <v xml:space="preserve">   LB</v>
      </c>
      <c r="B10583" t="str">
        <f>T("   Liban")</f>
        <v xml:space="preserve">   Liban</v>
      </c>
      <c r="C10583">
        <v>43228860</v>
      </c>
      <c r="D10583">
        <v>50918</v>
      </c>
    </row>
    <row r="10584" spans="1:4" x14ac:dyDescent="0.25">
      <c r="A10584" t="str">
        <f>T("   NG")</f>
        <v xml:space="preserve">   NG</v>
      </c>
      <c r="B10584" t="str">
        <f>T("   Nigéria")</f>
        <v xml:space="preserve">   Nigéria</v>
      </c>
      <c r="C10584">
        <v>12434000</v>
      </c>
      <c r="D10584">
        <v>22800</v>
      </c>
    </row>
    <row r="10585" spans="1:4" x14ac:dyDescent="0.25">
      <c r="A10585" t="str">
        <f>T("   SE")</f>
        <v xml:space="preserve">   SE</v>
      </c>
      <c r="B10585" t="str">
        <f>T("   Suède")</f>
        <v xml:space="preserve">   Suède</v>
      </c>
      <c r="C10585">
        <v>200000</v>
      </c>
      <c r="D10585">
        <v>400</v>
      </c>
    </row>
    <row r="10586" spans="1:4" x14ac:dyDescent="0.25">
      <c r="A10586" t="str">
        <f>T("   SG")</f>
        <v xml:space="preserve">   SG</v>
      </c>
      <c r="B10586" t="str">
        <f>T("   Singapour")</f>
        <v xml:space="preserve">   Singapour</v>
      </c>
      <c r="C10586">
        <v>314362434</v>
      </c>
      <c r="D10586">
        <v>325195.59999999998</v>
      </c>
    </row>
    <row r="10587" spans="1:4" x14ac:dyDescent="0.25">
      <c r="A10587" t="str">
        <f>T("   SN")</f>
        <v xml:space="preserve">   SN</v>
      </c>
      <c r="B10587" t="str">
        <f>T("   Sénégal")</f>
        <v xml:space="preserve">   Sénégal</v>
      </c>
      <c r="C10587">
        <v>500000</v>
      </c>
      <c r="D10587">
        <v>1300</v>
      </c>
    </row>
    <row r="10588" spans="1:4" x14ac:dyDescent="0.25">
      <c r="A10588" t="str">
        <f>T("   TG")</f>
        <v xml:space="preserve">   TG</v>
      </c>
      <c r="B10588" t="str">
        <f>T("   Togo")</f>
        <v xml:space="preserve">   Togo</v>
      </c>
      <c r="C10588">
        <v>524296</v>
      </c>
      <c r="D10588">
        <v>331</v>
      </c>
    </row>
    <row r="10589" spans="1:4" x14ac:dyDescent="0.25">
      <c r="A10589" t="str">
        <f>T("   TH")</f>
        <v xml:space="preserve">   TH</v>
      </c>
      <c r="B10589" t="str">
        <f>T("   Thaïlande")</f>
        <v xml:space="preserve">   Thaïlande</v>
      </c>
      <c r="C10589">
        <v>122739171</v>
      </c>
      <c r="D10589">
        <v>135990</v>
      </c>
    </row>
    <row r="10590" spans="1:4" x14ac:dyDescent="0.25">
      <c r="A10590" t="str">
        <f>T("   TN")</f>
        <v xml:space="preserve">   TN</v>
      </c>
      <c r="B10590" t="str">
        <f>T("   Tunisie")</f>
        <v xml:space="preserve">   Tunisie</v>
      </c>
      <c r="C10590">
        <v>23569026</v>
      </c>
      <c r="D10590">
        <v>29042</v>
      </c>
    </row>
    <row r="10591" spans="1:4" x14ac:dyDescent="0.25">
      <c r="A10591" t="str">
        <f>T("   US")</f>
        <v xml:space="preserve">   US</v>
      </c>
      <c r="B10591" t="str">
        <f>T("   Etats-Unis")</f>
        <v xml:space="preserve">   Etats-Unis</v>
      </c>
      <c r="C10591">
        <v>50089</v>
      </c>
      <c r="D10591">
        <v>75</v>
      </c>
    </row>
    <row r="10592" spans="1:4" x14ac:dyDescent="0.25">
      <c r="A10592" t="str">
        <f>T("841520")</f>
        <v>841520</v>
      </c>
      <c r="B10592" t="str">
        <f>T("Machines et appareils pour le conditionnement de l'air du type de ceux utilisés pour le confort des personnes dans les véhicules automobiles")</f>
        <v>Machines et appareils pour le conditionnement de l'air du type de ceux utilisés pour le confort des personnes dans les véhicules automobiles</v>
      </c>
    </row>
    <row r="10593" spans="1:4" x14ac:dyDescent="0.25">
      <c r="A10593" t="str">
        <f>T("   ZZZ_Monde")</f>
        <v xml:space="preserve">   ZZZ_Monde</v>
      </c>
      <c r="B10593" t="str">
        <f>T("   ZZZ_Monde")</f>
        <v xml:space="preserve">   ZZZ_Monde</v>
      </c>
      <c r="C10593">
        <v>2500000</v>
      </c>
      <c r="D10593">
        <v>18530</v>
      </c>
    </row>
    <row r="10594" spans="1:4" x14ac:dyDescent="0.25">
      <c r="A10594" t="str">
        <f>T("   IT")</f>
        <v xml:space="preserve">   IT</v>
      </c>
      <c r="B10594" t="str">
        <f>T("   Italie")</f>
        <v xml:space="preserve">   Italie</v>
      </c>
      <c r="C10594">
        <v>100000</v>
      </c>
      <c r="D10594">
        <v>50</v>
      </c>
    </row>
    <row r="10595" spans="1:4" x14ac:dyDescent="0.25">
      <c r="A10595" t="str">
        <f>T("   TG")</f>
        <v xml:space="preserve">   TG</v>
      </c>
      <c r="B10595" t="str">
        <f>T("   Togo")</f>
        <v xml:space="preserve">   Togo</v>
      </c>
      <c r="C10595">
        <v>2400000</v>
      </c>
      <c r="D10595">
        <v>18480</v>
      </c>
    </row>
    <row r="10596" spans="1:4" x14ac:dyDescent="0.25">
      <c r="A10596" t="str">
        <f>T("841581")</f>
        <v>841581</v>
      </c>
      <c r="B10596" t="str">
        <f>T("Machines et appareils pour le conditionnement de l'air, avec dispositif de réfrigération et soupape d'inversion du cycle thermique [pompes à chaleur réversibles] (autres que machines et appareils du type de ceux utilisés pour le confort des personnes dans")</f>
        <v>Machines et appareils pour le conditionnement de l'air, avec dispositif de réfrigération et soupape d'inversion du cycle thermique [pompes à chaleur réversibles] (autres que machines et appareils du type de ceux utilisés pour le confort des personnes dans</v>
      </c>
    </row>
    <row r="10597" spans="1:4" x14ac:dyDescent="0.25">
      <c r="A10597" t="str">
        <f>T("   ZZZ_Monde")</f>
        <v xml:space="preserve">   ZZZ_Monde</v>
      </c>
      <c r="B10597" t="str">
        <f>T("   ZZZ_Monde")</f>
        <v xml:space="preserve">   ZZZ_Monde</v>
      </c>
      <c r="C10597">
        <v>41169225</v>
      </c>
      <c r="D10597">
        <v>10949</v>
      </c>
    </row>
    <row r="10598" spans="1:4" x14ac:dyDescent="0.25">
      <c r="A10598" t="str">
        <f>T("   CN")</f>
        <v xml:space="preserve">   CN</v>
      </c>
      <c r="B10598" t="str">
        <f>T("   Chine")</f>
        <v xml:space="preserve">   Chine</v>
      </c>
      <c r="C10598">
        <v>27692526</v>
      </c>
      <c r="D10598">
        <v>9639</v>
      </c>
    </row>
    <row r="10599" spans="1:4" x14ac:dyDescent="0.25">
      <c r="A10599" t="str">
        <f>T("   FR")</f>
        <v xml:space="preserve">   FR</v>
      </c>
      <c r="B10599" t="str">
        <f>T("   France")</f>
        <v xml:space="preserve">   France</v>
      </c>
      <c r="C10599">
        <v>13476699</v>
      </c>
      <c r="D10599">
        <v>1310</v>
      </c>
    </row>
    <row r="10600" spans="1:4" x14ac:dyDescent="0.25">
      <c r="A10600" t="str">
        <f>T("841582")</f>
        <v>841582</v>
      </c>
      <c r="B10600" t="str">
        <f>T("Machines et appareils pour le conditionnement de l'air, avec dispositif de réfrigération mais sans soupape d'inversion du cycle thermique (autres que machines et appareils du type de ceux utilisés pour le confort des personnes dans les véhicules automobil")</f>
        <v>Machines et appareils pour le conditionnement de l'air, avec dispositif de réfrigération mais sans soupape d'inversion du cycle thermique (autres que machines et appareils du type de ceux utilisés pour le confort des personnes dans les véhicules automobil</v>
      </c>
    </row>
    <row r="10601" spans="1:4" x14ac:dyDescent="0.25">
      <c r="A10601" t="str">
        <f>T("   ZZZ_Monde")</f>
        <v xml:space="preserve">   ZZZ_Monde</v>
      </c>
      <c r="B10601" t="str">
        <f>T("   ZZZ_Monde")</f>
        <v xml:space="preserve">   ZZZ_Monde</v>
      </c>
      <c r="C10601">
        <v>76397009</v>
      </c>
      <c r="D10601">
        <v>58329</v>
      </c>
    </row>
    <row r="10602" spans="1:4" x14ac:dyDescent="0.25">
      <c r="A10602" t="str">
        <f>T("   AE")</f>
        <v xml:space="preserve">   AE</v>
      </c>
      <c r="B10602" t="str">
        <f>T("   Emirats Arabes Unis")</f>
        <v xml:space="preserve">   Emirats Arabes Unis</v>
      </c>
      <c r="C10602">
        <v>760386</v>
      </c>
      <c r="D10602">
        <v>4603</v>
      </c>
    </row>
    <row r="10603" spans="1:4" x14ac:dyDescent="0.25">
      <c r="A10603" t="str">
        <f>T("   CN")</f>
        <v xml:space="preserve">   CN</v>
      </c>
      <c r="B10603" t="str">
        <f>T("   Chine")</f>
        <v xml:space="preserve">   Chine</v>
      </c>
      <c r="C10603">
        <v>17064952</v>
      </c>
      <c r="D10603">
        <v>28646</v>
      </c>
    </row>
    <row r="10604" spans="1:4" x14ac:dyDescent="0.25">
      <c r="A10604" t="str">
        <f>T("   DE")</f>
        <v xml:space="preserve">   DE</v>
      </c>
      <c r="B10604" t="str">
        <f>T("   Allemagne")</f>
        <v xml:space="preserve">   Allemagne</v>
      </c>
      <c r="C10604">
        <v>5265190</v>
      </c>
      <c r="D10604">
        <v>54</v>
      </c>
    </row>
    <row r="10605" spans="1:4" x14ac:dyDescent="0.25">
      <c r="A10605" t="str">
        <f>T("   FR")</f>
        <v xml:space="preserve">   FR</v>
      </c>
      <c r="B10605" t="str">
        <f>T("   France")</f>
        <v xml:space="preserve">   France</v>
      </c>
      <c r="C10605">
        <v>44884319</v>
      </c>
      <c r="D10605">
        <v>23328</v>
      </c>
    </row>
    <row r="10606" spans="1:4" x14ac:dyDescent="0.25">
      <c r="A10606" t="str">
        <f>T("   GB")</f>
        <v xml:space="preserve">   GB</v>
      </c>
      <c r="B10606" t="str">
        <f>T("   Royaume-Uni")</f>
        <v xml:space="preserve">   Royaume-Uni</v>
      </c>
      <c r="C10606">
        <v>974888</v>
      </c>
      <c r="D10606">
        <v>429</v>
      </c>
    </row>
    <row r="10607" spans="1:4" x14ac:dyDescent="0.25">
      <c r="A10607" t="str">
        <f>T("   SG")</f>
        <v xml:space="preserve">   SG</v>
      </c>
      <c r="B10607" t="str">
        <f>T("   Singapour")</f>
        <v xml:space="preserve">   Singapour</v>
      </c>
      <c r="C10607">
        <v>1367325</v>
      </c>
      <c r="D10607">
        <v>856</v>
      </c>
    </row>
    <row r="10608" spans="1:4" x14ac:dyDescent="0.25">
      <c r="A10608" t="str">
        <f>T("   SN")</f>
        <v xml:space="preserve">   SN</v>
      </c>
      <c r="B10608" t="str">
        <f>T("   Sénégal")</f>
        <v xml:space="preserve">   Sénégal</v>
      </c>
      <c r="C10608">
        <v>5954661</v>
      </c>
      <c r="D10608">
        <v>263</v>
      </c>
    </row>
    <row r="10609" spans="1:4" x14ac:dyDescent="0.25">
      <c r="A10609" t="str">
        <f>T("   US")</f>
        <v xml:space="preserve">   US</v>
      </c>
      <c r="B10609" t="str">
        <f>T("   Etats-Unis")</f>
        <v xml:space="preserve">   Etats-Unis</v>
      </c>
      <c r="C10609">
        <v>125288</v>
      </c>
      <c r="D10609">
        <v>150</v>
      </c>
    </row>
    <row r="10610" spans="1:4" x14ac:dyDescent="0.25">
      <c r="A10610" t="str">
        <f>T("841583")</f>
        <v>841583</v>
      </c>
      <c r="B10610" t="str">
        <f>T("Machines et appareils pour le conditionnement de l'air comprenant un ventilateur à moteur, sans dispositif de réfrigération mais bien des dispositifs propres à modifier la température et l'humidité de l'air (sauf machines et appareils du type de ceux util")</f>
        <v>Machines et appareils pour le conditionnement de l'air comprenant un ventilateur à moteur, sans dispositif de réfrigération mais bien des dispositifs propres à modifier la température et l'humidité de l'air (sauf machines et appareils du type de ceux util</v>
      </c>
    </row>
    <row r="10611" spans="1:4" x14ac:dyDescent="0.25">
      <c r="A10611" t="str">
        <f>T("   ZZZ_Monde")</f>
        <v xml:space="preserve">   ZZZ_Monde</v>
      </c>
      <c r="B10611" t="str">
        <f>T("   ZZZ_Monde")</f>
        <v xml:space="preserve">   ZZZ_Monde</v>
      </c>
      <c r="C10611">
        <v>6483731</v>
      </c>
      <c r="D10611">
        <v>8765</v>
      </c>
    </row>
    <row r="10612" spans="1:4" x14ac:dyDescent="0.25">
      <c r="A10612" t="str">
        <f>T("   CN")</f>
        <v xml:space="preserve">   CN</v>
      </c>
      <c r="B10612" t="str">
        <f>T("   Chine")</f>
        <v xml:space="preserve">   Chine</v>
      </c>
      <c r="C10612">
        <v>400000</v>
      </c>
      <c r="D10612">
        <v>300</v>
      </c>
    </row>
    <row r="10613" spans="1:4" x14ac:dyDescent="0.25">
      <c r="A10613" t="str">
        <f>T("   ES")</f>
        <v xml:space="preserve">   ES</v>
      </c>
      <c r="B10613" t="str">
        <f>T("   Espagne")</f>
        <v xml:space="preserve">   Espagne</v>
      </c>
      <c r="C10613">
        <v>222272</v>
      </c>
      <c r="D10613">
        <v>150</v>
      </c>
    </row>
    <row r="10614" spans="1:4" x14ac:dyDescent="0.25">
      <c r="A10614" t="str">
        <f>T("   FR")</f>
        <v xml:space="preserve">   FR</v>
      </c>
      <c r="B10614" t="str">
        <f>T("   France")</f>
        <v xml:space="preserve">   France</v>
      </c>
      <c r="C10614">
        <v>1572992</v>
      </c>
      <c r="D10614">
        <v>135</v>
      </c>
    </row>
    <row r="10615" spans="1:4" x14ac:dyDescent="0.25">
      <c r="A10615" t="str">
        <f>T("   SG")</f>
        <v xml:space="preserve">   SG</v>
      </c>
      <c r="B10615" t="str">
        <f>T("   Singapour")</f>
        <v xml:space="preserve">   Singapour</v>
      </c>
      <c r="C10615">
        <v>288467</v>
      </c>
      <c r="D10615">
        <v>180</v>
      </c>
    </row>
    <row r="10616" spans="1:4" x14ac:dyDescent="0.25">
      <c r="A10616" t="str">
        <f>T("   TG")</f>
        <v xml:space="preserve">   TG</v>
      </c>
      <c r="B10616" t="str">
        <f>T("   Togo")</f>
        <v xml:space="preserve">   Togo</v>
      </c>
      <c r="C10616">
        <v>4000000</v>
      </c>
      <c r="D10616">
        <v>8000</v>
      </c>
    </row>
    <row r="10617" spans="1:4" x14ac:dyDescent="0.25">
      <c r="A10617" t="str">
        <f>T("841590")</f>
        <v>841590</v>
      </c>
      <c r="B10617" t="str">
        <f>T("Parties de machines et appareils pour le conditionnement de l'air comprenant un ventilateur à moteur et des dispositifs propres à modifier la température et l'humidité de l'air, n.d.a.")</f>
        <v>Parties de machines et appareils pour le conditionnement de l'air comprenant un ventilateur à moteur et des dispositifs propres à modifier la température et l'humidité de l'air, n.d.a.</v>
      </c>
    </row>
    <row r="10618" spans="1:4" x14ac:dyDescent="0.25">
      <c r="A10618" t="str">
        <f>T("   ZZZ_Monde")</f>
        <v xml:space="preserve">   ZZZ_Monde</v>
      </c>
      <c r="B10618" t="str">
        <f>T("   ZZZ_Monde")</f>
        <v xml:space="preserve">   ZZZ_Monde</v>
      </c>
      <c r="C10618">
        <v>230292254</v>
      </c>
      <c r="D10618">
        <v>95840</v>
      </c>
    </row>
    <row r="10619" spans="1:4" x14ac:dyDescent="0.25">
      <c r="A10619" t="str">
        <f>T("   AE")</f>
        <v xml:space="preserve">   AE</v>
      </c>
      <c r="B10619" t="str">
        <f>T("   Emirats Arabes Unis")</f>
        <v xml:space="preserve">   Emirats Arabes Unis</v>
      </c>
      <c r="C10619">
        <v>803493</v>
      </c>
      <c r="D10619">
        <v>1481</v>
      </c>
    </row>
    <row r="10620" spans="1:4" x14ac:dyDescent="0.25">
      <c r="A10620" t="str">
        <f>T("   AF")</f>
        <v xml:space="preserve">   AF</v>
      </c>
      <c r="B10620" t="str">
        <f>T("   Afghanistan")</f>
        <v xml:space="preserve">   Afghanistan</v>
      </c>
      <c r="C10620">
        <v>3214251</v>
      </c>
      <c r="D10620">
        <v>455</v>
      </c>
    </row>
    <row r="10621" spans="1:4" x14ac:dyDescent="0.25">
      <c r="A10621" t="str">
        <f>T("   CN")</f>
        <v xml:space="preserve">   CN</v>
      </c>
      <c r="B10621" t="str">
        <f>T("   Chine")</f>
        <v xml:space="preserve">   Chine</v>
      </c>
      <c r="C10621">
        <v>9292772</v>
      </c>
      <c r="D10621">
        <v>22645</v>
      </c>
    </row>
    <row r="10622" spans="1:4" x14ac:dyDescent="0.25">
      <c r="A10622" t="str">
        <f>T("   DE")</f>
        <v xml:space="preserve">   DE</v>
      </c>
      <c r="B10622" t="str">
        <f>T("   Allemagne")</f>
        <v xml:space="preserve">   Allemagne</v>
      </c>
      <c r="C10622">
        <v>1172201</v>
      </c>
      <c r="D10622">
        <v>10</v>
      </c>
    </row>
    <row r="10623" spans="1:4" x14ac:dyDescent="0.25">
      <c r="A10623" t="str">
        <f>T("   FR")</f>
        <v xml:space="preserve">   FR</v>
      </c>
      <c r="B10623" t="str">
        <f>T("   France")</f>
        <v xml:space="preserve">   France</v>
      </c>
      <c r="C10623">
        <v>87798277</v>
      </c>
      <c r="D10623">
        <v>21890</v>
      </c>
    </row>
    <row r="10624" spans="1:4" x14ac:dyDescent="0.25">
      <c r="A10624" t="str">
        <f>T("   IT")</f>
        <v xml:space="preserve">   IT</v>
      </c>
      <c r="B10624" t="str">
        <f>T("   Italie")</f>
        <v xml:space="preserve">   Italie</v>
      </c>
      <c r="C10624">
        <v>115186575</v>
      </c>
      <c r="D10624">
        <v>35052</v>
      </c>
    </row>
    <row r="10625" spans="1:4" x14ac:dyDescent="0.25">
      <c r="A10625" t="str">
        <f>T("   KR")</f>
        <v xml:space="preserve">   KR</v>
      </c>
      <c r="B10625" t="str">
        <f>T("   Corée, République de")</f>
        <v xml:space="preserve">   Corée, République de</v>
      </c>
      <c r="C10625">
        <v>944113</v>
      </c>
      <c r="D10625">
        <v>1105</v>
      </c>
    </row>
    <row r="10626" spans="1:4" x14ac:dyDescent="0.25">
      <c r="A10626" t="str">
        <f>T("   SG")</f>
        <v xml:space="preserve">   SG</v>
      </c>
      <c r="B10626" t="str">
        <f>T("   Singapour")</f>
        <v xml:space="preserve">   Singapour</v>
      </c>
      <c r="C10626">
        <v>5927429</v>
      </c>
      <c r="D10626">
        <v>4420</v>
      </c>
    </row>
    <row r="10627" spans="1:4" x14ac:dyDescent="0.25">
      <c r="A10627" t="str">
        <f>T("   TH")</f>
        <v xml:space="preserve">   TH</v>
      </c>
      <c r="B10627" t="str">
        <f>T("   Thaïlande")</f>
        <v xml:space="preserve">   Thaïlande</v>
      </c>
      <c r="C10627">
        <v>5953143</v>
      </c>
      <c r="D10627">
        <v>8782</v>
      </c>
    </row>
    <row r="10628" spans="1:4" x14ac:dyDescent="0.25">
      <c r="A10628" t="str">
        <f>T("841610")</f>
        <v>841610</v>
      </c>
      <c r="B10628" t="str">
        <f>T("Brûleurs pour foyers à combustibles liquides")</f>
        <v>Brûleurs pour foyers à combustibles liquides</v>
      </c>
    </row>
    <row r="10629" spans="1:4" x14ac:dyDescent="0.25">
      <c r="A10629" t="str">
        <f>T("   ZZZ_Monde")</f>
        <v xml:space="preserve">   ZZZ_Monde</v>
      </c>
      <c r="B10629" t="str">
        <f>T("   ZZZ_Monde")</f>
        <v xml:space="preserve">   ZZZ_Monde</v>
      </c>
      <c r="C10629">
        <v>4629484</v>
      </c>
      <c r="D10629">
        <v>970</v>
      </c>
    </row>
    <row r="10630" spans="1:4" x14ac:dyDescent="0.25">
      <c r="A10630" t="str">
        <f>T("   TR")</f>
        <v xml:space="preserve">   TR</v>
      </c>
      <c r="B10630" t="str">
        <f>T("   Turquie")</f>
        <v xml:space="preserve">   Turquie</v>
      </c>
      <c r="C10630">
        <v>4629484</v>
      </c>
      <c r="D10630">
        <v>970</v>
      </c>
    </row>
    <row r="10631" spans="1:4" x14ac:dyDescent="0.25">
      <c r="A10631" t="str">
        <f>T("841620")</f>
        <v>841620</v>
      </c>
      <c r="B10631" t="str">
        <f>T("Brûleurs pour l'alimentation des foyers à combustibles solides pulvérisés ou à gaz, y.c. les brûleurs mixtes")</f>
        <v>Brûleurs pour l'alimentation des foyers à combustibles solides pulvérisés ou à gaz, y.c. les brûleurs mixtes</v>
      </c>
    </row>
    <row r="10632" spans="1:4" x14ac:dyDescent="0.25">
      <c r="A10632" t="str">
        <f>T("   ZZZ_Monde")</f>
        <v xml:space="preserve">   ZZZ_Monde</v>
      </c>
      <c r="B10632" t="str">
        <f>T("   ZZZ_Monde")</f>
        <v xml:space="preserve">   ZZZ_Monde</v>
      </c>
      <c r="C10632">
        <v>17905</v>
      </c>
      <c r="D10632">
        <v>40</v>
      </c>
    </row>
    <row r="10633" spans="1:4" x14ac:dyDescent="0.25">
      <c r="A10633" t="str">
        <f>T("   TG")</f>
        <v xml:space="preserve">   TG</v>
      </c>
      <c r="B10633" t="str">
        <f>T("   Togo")</f>
        <v xml:space="preserve">   Togo</v>
      </c>
      <c r="C10633">
        <v>17905</v>
      </c>
      <c r="D10633">
        <v>40</v>
      </c>
    </row>
    <row r="10634" spans="1:4" x14ac:dyDescent="0.25">
      <c r="A10634" t="str">
        <f>T("841630")</f>
        <v>841630</v>
      </c>
      <c r="B10634" t="str">
        <f>T("FOYERS AUTOMATIQUES, Y.C. LEURS AVANT-FOYERS, GRILLES MÉCANIQUES, DISPOSITIFS MÉCANIQUES POUR L'ÉVACUATION DES CENDRES ET DISPOSITIFS SIMIL. (SAUF BR¹LEURS)")</f>
        <v>FOYERS AUTOMATIQUES, Y.C. LEURS AVANT-FOYERS, GRILLES MÉCANIQUES, DISPOSITIFS MÉCANIQUES POUR L'ÉVACUATION DES CENDRES ET DISPOSITIFS SIMIL. (SAUF BR¹LEURS)</v>
      </c>
    </row>
    <row r="10635" spans="1:4" x14ac:dyDescent="0.25">
      <c r="A10635" t="str">
        <f>T("   ZZZ_Monde")</f>
        <v xml:space="preserve">   ZZZ_Monde</v>
      </c>
      <c r="B10635" t="str">
        <f>T("   ZZZ_Monde")</f>
        <v xml:space="preserve">   ZZZ_Monde</v>
      </c>
      <c r="C10635">
        <v>4293173</v>
      </c>
      <c r="D10635">
        <v>3140</v>
      </c>
    </row>
    <row r="10636" spans="1:4" x14ac:dyDescent="0.25">
      <c r="A10636" t="str">
        <f>T("   EG")</f>
        <v xml:space="preserve">   EG</v>
      </c>
      <c r="B10636" t="str">
        <f>T("   Egypte")</f>
        <v xml:space="preserve">   Egypte</v>
      </c>
      <c r="C10636">
        <v>4293173</v>
      </c>
      <c r="D10636">
        <v>3140</v>
      </c>
    </row>
    <row r="10637" spans="1:4" x14ac:dyDescent="0.25">
      <c r="A10637" t="str">
        <f>T("841690")</f>
        <v>841690</v>
      </c>
      <c r="B10637" t="str">
        <f>T("PARTIES DE BR¹LEURS POUR L'ALIMENTATION DES FOYERS ET DES FOYERS AUTOMATIQUES, DE LEURS AVANT-FOYERS, GRILLES MÉCANIQUES, DISPOSITIFS MÉCANIQUES POUR L'ÉVACUATION DES CENDRES ET DISPOSITIFS SIMIL., N.D.A.")</f>
        <v>PARTIES DE BR¹LEURS POUR L'ALIMENTATION DES FOYERS ET DES FOYERS AUTOMATIQUES, DE LEURS AVANT-FOYERS, GRILLES MÉCANIQUES, DISPOSITIFS MÉCANIQUES POUR L'ÉVACUATION DES CENDRES ET DISPOSITIFS SIMIL., N.D.A.</v>
      </c>
    </row>
    <row r="10638" spans="1:4" x14ac:dyDescent="0.25">
      <c r="A10638" t="str">
        <f>T("   ZZZ_Monde")</f>
        <v xml:space="preserve">   ZZZ_Monde</v>
      </c>
      <c r="B10638" t="str">
        <f>T("   ZZZ_Monde")</f>
        <v xml:space="preserve">   ZZZ_Monde</v>
      </c>
      <c r="C10638">
        <v>10743924</v>
      </c>
      <c r="D10638">
        <v>225</v>
      </c>
    </row>
    <row r="10639" spans="1:4" x14ac:dyDescent="0.25">
      <c r="A10639" t="str">
        <f>T("   AF")</f>
        <v xml:space="preserve">   AF</v>
      </c>
      <c r="B10639" t="str">
        <f>T("   Afghanistan")</f>
        <v xml:space="preserve">   Afghanistan</v>
      </c>
      <c r="C10639">
        <v>630550</v>
      </c>
      <c r="D10639">
        <v>1</v>
      </c>
    </row>
    <row r="10640" spans="1:4" x14ac:dyDescent="0.25">
      <c r="A10640" t="str">
        <f>T("   BE")</f>
        <v xml:space="preserve">   BE</v>
      </c>
      <c r="B10640" t="str">
        <f>T("   Belgique")</f>
        <v xml:space="preserve">   Belgique</v>
      </c>
      <c r="C10640">
        <v>5300183</v>
      </c>
      <c r="D10640">
        <v>27</v>
      </c>
    </row>
    <row r="10641" spans="1:4" x14ac:dyDescent="0.25">
      <c r="A10641" t="str">
        <f>T("   EG")</f>
        <v xml:space="preserve">   EG</v>
      </c>
      <c r="B10641" t="str">
        <f>T("   Egypte")</f>
        <v xml:space="preserve">   Egypte</v>
      </c>
      <c r="C10641">
        <v>3485</v>
      </c>
      <c r="D10641">
        <v>62</v>
      </c>
    </row>
    <row r="10642" spans="1:4" x14ac:dyDescent="0.25">
      <c r="A10642" t="str">
        <f>T("   FR")</f>
        <v xml:space="preserve">   FR</v>
      </c>
      <c r="B10642" t="str">
        <f>T("   France")</f>
        <v xml:space="preserve">   France</v>
      </c>
      <c r="C10642">
        <v>4791801</v>
      </c>
      <c r="D10642">
        <v>55</v>
      </c>
    </row>
    <row r="10643" spans="1:4" x14ac:dyDescent="0.25">
      <c r="A10643" t="str">
        <f>T("   TG")</f>
        <v xml:space="preserve">   TG</v>
      </c>
      <c r="B10643" t="str">
        <f>T("   Togo")</f>
        <v xml:space="preserve">   Togo</v>
      </c>
      <c r="C10643">
        <v>17905</v>
      </c>
      <c r="D10643">
        <v>80</v>
      </c>
    </row>
    <row r="10644" spans="1:4" x14ac:dyDescent="0.25">
      <c r="A10644" t="str">
        <f>T("841710")</f>
        <v>841710</v>
      </c>
      <c r="B10644" t="str">
        <f>T("Fours industriels ou de laboratoire, non-électriques, pour le grillage, la fusion ou autres traitements thermiques des minerais, de la pyrite ou des métaux (à l'excl. des étuves)")</f>
        <v>Fours industriels ou de laboratoire, non-électriques, pour le grillage, la fusion ou autres traitements thermiques des minerais, de la pyrite ou des métaux (à l'excl. des étuves)</v>
      </c>
    </row>
    <row r="10645" spans="1:4" x14ac:dyDescent="0.25">
      <c r="A10645" t="str">
        <f>T("   ZZZ_Monde")</f>
        <v xml:space="preserve">   ZZZ_Monde</v>
      </c>
      <c r="B10645" t="str">
        <f>T("   ZZZ_Monde")</f>
        <v xml:space="preserve">   ZZZ_Monde</v>
      </c>
      <c r="C10645">
        <v>218238</v>
      </c>
      <c r="D10645">
        <v>320</v>
      </c>
    </row>
    <row r="10646" spans="1:4" x14ac:dyDescent="0.25">
      <c r="A10646" t="str">
        <f>T("   AU")</f>
        <v xml:space="preserve">   AU</v>
      </c>
      <c r="B10646" t="str">
        <f>T("   Australie")</f>
        <v xml:space="preserve">   Australie</v>
      </c>
      <c r="C10646">
        <v>75000</v>
      </c>
      <c r="D10646">
        <v>30</v>
      </c>
    </row>
    <row r="10647" spans="1:4" x14ac:dyDescent="0.25">
      <c r="A10647" t="str">
        <f>T("   TG")</f>
        <v xml:space="preserve">   TG</v>
      </c>
      <c r="B10647" t="str">
        <f>T("   Togo")</f>
        <v xml:space="preserve">   Togo</v>
      </c>
      <c r="C10647">
        <v>143238</v>
      </c>
      <c r="D10647">
        <v>290</v>
      </c>
    </row>
    <row r="10648" spans="1:4" x14ac:dyDescent="0.25">
      <c r="A10648" t="str">
        <f>T("841720")</f>
        <v>841720</v>
      </c>
      <c r="B10648" t="str">
        <f>T("Fours non-électriques, de boulangerie, de pâtisserie ou de biscuiterie")</f>
        <v>Fours non-électriques, de boulangerie, de pâtisserie ou de biscuiterie</v>
      </c>
    </row>
    <row r="10649" spans="1:4" x14ac:dyDescent="0.25">
      <c r="A10649" t="str">
        <f>T("   ZZZ_Monde")</f>
        <v xml:space="preserve">   ZZZ_Monde</v>
      </c>
      <c r="B10649" t="str">
        <f>T("   ZZZ_Monde")</f>
        <v xml:space="preserve">   ZZZ_Monde</v>
      </c>
      <c r="C10649">
        <v>6856381</v>
      </c>
      <c r="D10649">
        <v>21150</v>
      </c>
    </row>
    <row r="10650" spans="1:4" x14ac:dyDescent="0.25">
      <c r="A10650" t="str">
        <f>T("   FR")</f>
        <v xml:space="preserve">   FR</v>
      </c>
      <c r="B10650" t="str">
        <f>T("   France")</f>
        <v xml:space="preserve">   France</v>
      </c>
      <c r="C10650">
        <v>6856381</v>
      </c>
      <c r="D10650">
        <v>21150</v>
      </c>
    </row>
    <row r="10651" spans="1:4" x14ac:dyDescent="0.25">
      <c r="A10651" t="str">
        <f>T("841780")</f>
        <v>841780</v>
      </c>
      <c r="B10651" t="str">
        <f>T("Fours industriels ou de laboratoire non-électriques, y.c. les incinérateurs (sauf fours pour le grillage, la fusion ou autres traitements thermiques de minerais, pyrite ou métaux, fours de boulangerie, de pâtisserie ou de biscuiterie et sauf étuves et fou")</f>
        <v>Fours industriels ou de laboratoire non-électriques, y.c. les incinérateurs (sauf fours pour le grillage, la fusion ou autres traitements thermiques de minerais, pyrite ou métaux, fours de boulangerie, de pâtisserie ou de biscuiterie et sauf étuves et fou</v>
      </c>
    </row>
    <row r="10652" spans="1:4" x14ac:dyDescent="0.25">
      <c r="A10652" t="str">
        <f>T("   ZZZ_Monde")</f>
        <v xml:space="preserve">   ZZZ_Monde</v>
      </c>
      <c r="B10652" t="str">
        <f>T("   ZZZ_Monde")</f>
        <v xml:space="preserve">   ZZZ_Monde</v>
      </c>
      <c r="C10652">
        <v>4271714</v>
      </c>
      <c r="D10652">
        <v>7528</v>
      </c>
    </row>
    <row r="10653" spans="1:4" x14ac:dyDescent="0.25">
      <c r="A10653" t="str">
        <f>T("   FR")</f>
        <v xml:space="preserve">   FR</v>
      </c>
      <c r="B10653" t="str">
        <f>T("   France")</f>
        <v xml:space="preserve">   France</v>
      </c>
      <c r="C10653">
        <v>628930</v>
      </c>
      <c r="D10653">
        <v>1708</v>
      </c>
    </row>
    <row r="10654" spans="1:4" x14ac:dyDescent="0.25">
      <c r="A10654" t="str">
        <f>T("   IT")</f>
        <v xml:space="preserve">   IT</v>
      </c>
      <c r="B10654" t="str">
        <f>T("   Italie")</f>
        <v xml:space="preserve">   Italie</v>
      </c>
      <c r="C10654">
        <v>2892784</v>
      </c>
      <c r="D10654">
        <v>4020</v>
      </c>
    </row>
    <row r="10655" spans="1:4" x14ac:dyDescent="0.25">
      <c r="A10655" t="str">
        <f>T("   SN")</f>
        <v xml:space="preserve">   SN</v>
      </c>
      <c r="B10655" t="str">
        <f>T("   Sénégal")</f>
        <v xml:space="preserve">   Sénégal</v>
      </c>
      <c r="C10655">
        <v>50000</v>
      </c>
      <c r="D10655">
        <v>100</v>
      </c>
    </row>
    <row r="10656" spans="1:4" x14ac:dyDescent="0.25">
      <c r="A10656" t="str">
        <f>T("   TG")</f>
        <v xml:space="preserve">   TG</v>
      </c>
      <c r="B10656" t="str">
        <f>T("   Togo")</f>
        <v xml:space="preserve">   Togo</v>
      </c>
      <c r="C10656">
        <v>700000</v>
      </c>
      <c r="D10656">
        <v>1700</v>
      </c>
    </row>
    <row r="10657" spans="1:4" x14ac:dyDescent="0.25">
      <c r="A10657" t="str">
        <f>T("841790")</f>
        <v>841790</v>
      </c>
      <c r="B10657" t="str">
        <f>T("Parties de fours industriels ou de laboratoire non-électriques, y.c. d'incinérateurs, n.d.a.")</f>
        <v>Parties de fours industriels ou de laboratoire non-électriques, y.c. d'incinérateurs, n.d.a.</v>
      </c>
    </row>
    <row r="10658" spans="1:4" x14ac:dyDescent="0.25">
      <c r="A10658" t="str">
        <f>T("   ZZZ_Monde")</f>
        <v xml:space="preserve">   ZZZ_Monde</v>
      </c>
      <c r="B10658" t="str">
        <f>T("   ZZZ_Monde")</f>
        <v xml:space="preserve">   ZZZ_Monde</v>
      </c>
      <c r="C10658">
        <v>25343502</v>
      </c>
      <c r="D10658">
        <v>2584</v>
      </c>
    </row>
    <row r="10659" spans="1:4" x14ac:dyDescent="0.25">
      <c r="A10659" t="str">
        <f>T("   CN")</f>
        <v xml:space="preserve">   CN</v>
      </c>
      <c r="B10659" t="str">
        <f>T("   Chine")</f>
        <v xml:space="preserve">   Chine</v>
      </c>
      <c r="C10659">
        <v>159857</v>
      </c>
      <c r="D10659">
        <v>31</v>
      </c>
    </row>
    <row r="10660" spans="1:4" x14ac:dyDescent="0.25">
      <c r="A10660" t="str">
        <f>T("   DE")</f>
        <v xml:space="preserve">   DE</v>
      </c>
      <c r="B10660" t="str">
        <f>T("   Allemagne")</f>
        <v xml:space="preserve">   Allemagne</v>
      </c>
      <c r="C10660">
        <v>16422615</v>
      </c>
      <c r="D10660">
        <v>2030</v>
      </c>
    </row>
    <row r="10661" spans="1:4" x14ac:dyDescent="0.25">
      <c r="A10661" t="str">
        <f>T("   FR")</f>
        <v xml:space="preserve">   FR</v>
      </c>
      <c r="B10661" t="str">
        <f>T("   France")</f>
        <v xml:space="preserve">   France</v>
      </c>
      <c r="C10661">
        <v>8761030</v>
      </c>
      <c r="D10661">
        <v>523</v>
      </c>
    </row>
    <row r="10662" spans="1:4" x14ac:dyDescent="0.25">
      <c r="A10662" t="str">
        <f>T("841810")</f>
        <v>841810</v>
      </c>
      <c r="B10662" t="str">
        <f>T("Réfrigérateurs et congélateurs-conservateurs combinés, avec portes extérieures séparées")</f>
        <v>Réfrigérateurs et congélateurs-conservateurs combinés, avec portes extérieures séparées</v>
      </c>
    </row>
    <row r="10663" spans="1:4" x14ac:dyDescent="0.25">
      <c r="A10663" t="str">
        <f>T("   ZZZ_Monde")</f>
        <v xml:space="preserve">   ZZZ_Monde</v>
      </c>
      <c r="B10663" t="str">
        <f>T("   ZZZ_Monde")</f>
        <v xml:space="preserve">   ZZZ_Monde</v>
      </c>
      <c r="C10663">
        <v>369310675</v>
      </c>
      <c r="D10663">
        <v>345398.8</v>
      </c>
    </row>
    <row r="10664" spans="1:4" x14ac:dyDescent="0.25">
      <c r="A10664" t="str">
        <f>T("   AE")</f>
        <v xml:space="preserve">   AE</v>
      </c>
      <c r="B10664" t="str">
        <f>T("   Emirats Arabes Unis")</f>
        <v xml:space="preserve">   Emirats Arabes Unis</v>
      </c>
      <c r="C10664">
        <v>5315439</v>
      </c>
      <c r="D10664">
        <v>2543.8000000000002</v>
      </c>
    </row>
    <row r="10665" spans="1:4" x14ac:dyDescent="0.25">
      <c r="A10665" t="str">
        <f>T("   BE")</f>
        <v xml:space="preserve">   BE</v>
      </c>
      <c r="B10665" t="str">
        <f>T("   Belgique")</f>
        <v xml:space="preserve">   Belgique</v>
      </c>
      <c r="C10665">
        <v>4950932</v>
      </c>
      <c r="D10665">
        <v>11040</v>
      </c>
    </row>
    <row r="10666" spans="1:4" x14ac:dyDescent="0.25">
      <c r="A10666" t="str">
        <f>T("   CN")</f>
        <v xml:space="preserve">   CN</v>
      </c>
      <c r="B10666" t="str">
        <f>T("   Chine")</f>
        <v xml:space="preserve">   Chine</v>
      </c>
      <c r="C10666">
        <v>57986701</v>
      </c>
      <c r="D10666">
        <v>58511</v>
      </c>
    </row>
    <row r="10667" spans="1:4" x14ac:dyDescent="0.25">
      <c r="A10667" t="str">
        <f>T("   FR")</f>
        <v xml:space="preserve">   FR</v>
      </c>
      <c r="B10667" t="str">
        <f>T("   France")</f>
        <v xml:space="preserve">   France</v>
      </c>
      <c r="C10667">
        <v>83367445</v>
      </c>
      <c r="D10667">
        <v>135158</v>
      </c>
    </row>
    <row r="10668" spans="1:4" x14ac:dyDescent="0.25">
      <c r="A10668" t="str">
        <f>T("   GB")</f>
        <v xml:space="preserve">   GB</v>
      </c>
      <c r="B10668" t="str">
        <f>T("   Royaume-Uni")</f>
        <v xml:space="preserve">   Royaume-Uni</v>
      </c>
      <c r="C10668">
        <v>15205469</v>
      </c>
      <c r="D10668">
        <v>7002</v>
      </c>
    </row>
    <row r="10669" spans="1:4" x14ac:dyDescent="0.25">
      <c r="A10669" t="str">
        <f>T("   IN")</f>
        <v xml:space="preserve">   IN</v>
      </c>
      <c r="B10669" t="str">
        <f>T("   Inde")</f>
        <v xml:space="preserve">   Inde</v>
      </c>
      <c r="C10669">
        <v>20461055</v>
      </c>
      <c r="D10669">
        <v>9361</v>
      </c>
    </row>
    <row r="10670" spans="1:4" x14ac:dyDescent="0.25">
      <c r="A10670" t="str">
        <f>T("   IT")</f>
        <v xml:space="preserve">   IT</v>
      </c>
      <c r="B10670" t="str">
        <f>T("   Italie")</f>
        <v xml:space="preserve">   Italie</v>
      </c>
      <c r="C10670">
        <v>5269615</v>
      </c>
      <c r="D10670">
        <v>3400</v>
      </c>
    </row>
    <row r="10671" spans="1:4" x14ac:dyDescent="0.25">
      <c r="A10671" t="str">
        <f>T("   KR")</f>
        <v xml:space="preserve">   KR</v>
      </c>
      <c r="B10671" t="str">
        <f>T("   Corée, République de")</f>
        <v xml:space="preserve">   Corée, République de</v>
      </c>
      <c r="C10671">
        <v>5071883</v>
      </c>
      <c r="D10671">
        <v>2919</v>
      </c>
    </row>
    <row r="10672" spans="1:4" x14ac:dyDescent="0.25">
      <c r="A10672" t="str">
        <f>T("   LB")</f>
        <v xml:space="preserve">   LB</v>
      </c>
      <c r="B10672" t="str">
        <f>T("   Liban")</f>
        <v xml:space="preserve">   Liban</v>
      </c>
      <c r="C10672">
        <v>50901683</v>
      </c>
      <c r="D10672">
        <v>46016</v>
      </c>
    </row>
    <row r="10673" spans="1:4" x14ac:dyDescent="0.25">
      <c r="A10673" t="str">
        <f>T("   MX")</f>
        <v xml:space="preserve">   MX</v>
      </c>
      <c r="B10673" t="str">
        <f>T("   Mexique")</f>
        <v xml:space="preserve">   Mexique</v>
      </c>
      <c r="C10673">
        <v>13587789</v>
      </c>
      <c r="D10673">
        <v>6366</v>
      </c>
    </row>
    <row r="10674" spans="1:4" x14ac:dyDescent="0.25">
      <c r="A10674" t="str">
        <f>T("   NL")</f>
        <v xml:space="preserve">   NL</v>
      </c>
      <c r="B10674" t="str">
        <f>T("   Pays-bas")</f>
        <v xml:space="preserve">   Pays-bas</v>
      </c>
      <c r="C10674">
        <v>316700</v>
      </c>
      <c r="D10674">
        <v>2000</v>
      </c>
    </row>
    <row r="10675" spans="1:4" x14ac:dyDescent="0.25">
      <c r="A10675" t="str">
        <f>T("   SG")</f>
        <v xml:space="preserve">   SG</v>
      </c>
      <c r="B10675" t="str">
        <f>T("   Singapour")</f>
        <v xml:space="preserve">   Singapour</v>
      </c>
      <c r="C10675">
        <v>77685329</v>
      </c>
      <c r="D10675">
        <v>42933</v>
      </c>
    </row>
    <row r="10676" spans="1:4" x14ac:dyDescent="0.25">
      <c r="A10676" t="str">
        <f>T("   TH")</f>
        <v xml:space="preserve">   TH</v>
      </c>
      <c r="B10676" t="str">
        <f>T("   Thaïlande")</f>
        <v xml:space="preserve">   Thaïlande</v>
      </c>
      <c r="C10676">
        <v>19949874</v>
      </c>
      <c r="D10676">
        <v>10749</v>
      </c>
    </row>
    <row r="10677" spans="1:4" x14ac:dyDescent="0.25">
      <c r="A10677" t="str">
        <f>T("   TR")</f>
        <v xml:space="preserve">   TR</v>
      </c>
      <c r="B10677" t="str">
        <f>T("   Turquie")</f>
        <v xml:space="preserve">   Turquie</v>
      </c>
      <c r="C10677">
        <v>7905761</v>
      </c>
      <c r="D10677">
        <v>5400</v>
      </c>
    </row>
    <row r="10678" spans="1:4" x14ac:dyDescent="0.25">
      <c r="A10678" t="str">
        <f>T("   US")</f>
        <v xml:space="preserve">   US</v>
      </c>
      <c r="B10678" t="str">
        <f>T("   Etats-Unis")</f>
        <v xml:space="preserve">   Etats-Unis</v>
      </c>
      <c r="C10678">
        <v>1335000</v>
      </c>
      <c r="D10678">
        <v>2000</v>
      </c>
    </row>
    <row r="10679" spans="1:4" x14ac:dyDescent="0.25">
      <c r="A10679" t="str">
        <f>T("841821")</f>
        <v>841821</v>
      </c>
      <c r="B10679" t="str">
        <f>T("Réfrigérateurs ménagers à compression")</f>
        <v>Réfrigérateurs ménagers à compression</v>
      </c>
    </row>
    <row r="10680" spans="1:4" x14ac:dyDescent="0.25">
      <c r="A10680" t="str">
        <f>T("   ZZZ_Monde")</f>
        <v xml:space="preserve">   ZZZ_Monde</v>
      </c>
      <c r="B10680" t="str">
        <f>T("   ZZZ_Monde")</f>
        <v xml:space="preserve">   ZZZ_Monde</v>
      </c>
      <c r="C10680">
        <v>71672700</v>
      </c>
      <c r="D10680">
        <v>115019.53</v>
      </c>
    </row>
    <row r="10681" spans="1:4" x14ac:dyDescent="0.25">
      <c r="A10681" t="str">
        <f>T("   AE")</f>
        <v xml:space="preserve">   AE</v>
      </c>
      <c r="B10681" t="str">
        <f>T("   Emirats Arabes Unis")</f>
        <v xml:space="preserve">   Emirats Arabes Unis</v>
      </c>
      <c r="C10681">
        <v>7570189</v>
      </c>
      <c r="D10681">
        <v>5023.55</v>
      </c>
    </row>
    <row r="10682" spans="1:4" x14ac:dyDescent="0.25">
      <c r="A10682" t="str">
        <f>T("   BE")</f>
        <v xml:space="preserve">   BE</v>
      </c>
      <c r="B10682" t="str">
        <f>T("   Belgique")</f>
        <v xml:space="preserve">   Belgique</v>
      </c>
      <c r="C10682">
        <v>1341382</v>
      </c>
      <c r="D10682">
        <v>4595</v>
      </c>
    </row>
    <row r="10683" spans="1:4" x14ac:dyDescent="0.25">
      <c r="A10683" t="str">
        <f>T("   CA")</f>
        <v xml:space="preserve">   CA</v>
      </c>
      <c r="B10683" t="str">
        <f>T("   Canada")</f>
        <v xml:space="preserve">   Canada</v>
      </c>
      <c r="C10683">
        <v>600000</v>
      </c>
      <c r="D10683">
        <v>1079</v>
      </c>
    </row>
    <row r="10684" spans="1:4" x14ac:dyDescent="0.25">
      <c r="A10684" t="str">
        <f>T("   CN")</f>
        <v xml:space="preserve">   CN</v>
      </c>
      <c r="B10684" t="str">
        <f>T("   Chine")</f>
        <v xml:space="preserve">   Chine</v>
      </c>
      <c r="C10684">
        <v>10149840</v>
      </c>
      <c r="D10684">
        <v>7630</v>
      </c>
    </row>
    <row r="10685" spans="1:4" x14ac:dyDescent="0.25">
      <c r="A10685" t="str">
        <f>T("   DE")</f>
        <v xml:space="preserve">   DE</v>
      </c>
      <c r="B10685" t="str">
        <f>T("   Allemagne")</f>
        <v xml:space="preserve">   Allemagne</v>
      </c>
      <c r="C10685">
        <v>758946</v>
      </c>
      <c r="D10685">
        <v>960</v>
      </c>
    </row>
    <row r="10686" spans="1:4" x14ac:dyDescent="0.25">
      <c r="A10686" t="str">
        <f>T("   FR")</f>
        <v xml:space="preserve">   FR</v>
      </c>
      <c r="B10686" t="str">
        <f>T("   France")</f>
        <v xml:space="preserve">   France</v>
      </c>
      <c r="C10686">
        <v>12461115</v>
      </c>
      <c r="D10686">
        <v>33816.480000000003</v>
      </c>
    </row>
    <row r="10687" spans="1:4" x14ac:dyDescent="0.25">
      <c r="A10687" t="str">
        <f>T("   ID")</f>
        <v xml:space="preserve">   ID</v>
      </c>
      <c r="B10687" t="str">
        <f>T("   Indonésie")</f>
        <v xml:space="preserve">   Indonésie</v>
      </c>
      <c r="C10687">
        <v>6215572</v>
      </c>
      <c r="D10687">
        <v>2563.5</v>
      </c>
    </row>
    <row r="10688" spans="1:4" x14ac:dyDescent="0.25">
      <c r="A10688" t="str">
        <f>T("   IT")</f>
        <v xml:space="preserve">   IT</v>
      </c>
      <c r="B10688" t="str">
        <f>T("   Italie")</f>
        <v xml:space="preserve">   Italie</v>
      </c>
      <c r="C10688">
        <v>604074</v>
      </c>
      <c r="D10688">
        <v>2085</v>
      </c>
    </row>
    <row r="10689" spans="1:4" x14ac:dyDescent="0.25">
      <c r="A10689" t="str">
        <f>T("   LB")</f>
        <v xml:space="preserve">   LB</v>
      </c>
      <c r="B10689" t="str">
        <f>T("   Liban")</f>
        <v xml:space="preserve">   Liban</v>
      </c>
      <c r="C10689">
        <v>9095390</v>
      </c>
      <c r="D10689">
        <v>15839</v>
      </c>
    </row>
    <row r="10690" spans="1:4" x14ac:dyDescent="0.25">
      <c r="A10690" t="str">
        <f>T("   NG")</f>
        <v xml:space="preserve">   NG</v>
      </c>
      <c r="B10690" t="str">
        <f>T("   Nigéria")</f>
        <v xml:space="preserve">   Nigéria</v>
      </c>
      <c r="C10690">
        <v>13822490</v>
      </c>
      <c r="D10690">
        <v>21000</v>
      </c>
    </row>
    <row r="10691" spans="1:4" x14ac:dyDescent="0.25">
      <c r="A10691" t="str">
        <f>T("   SG")</f>
        <v xml:space="preserve">   SG</v>
      </c>
      <c r="B10691" t="str">
        <f>T("   Singapour")</f>
        <v xml:space="preserve">   Singapour</v>
      </c>
      <c r="C10691">
        <v>2622045</v>
      </c>
      <c r="D10691">
        <v>1493</v>
      </c>
    </row>
    <row r="10692" spans="1:4" x14ac:dyDescent="0.25">
      <c r="A10692" t="str">
        <f>T("   TG")</f>
        <v xml:space="preserve">   TG</v>
      </c>
      <c r="B10692" t="str">
        <f>T("   Togo")</f>
        <v xml:space="preserve">   Togo</v>
      </c>
      <c r="C10692">
        <v>6281657</v>
      </c>
      <c r="D10692">
        <v>16935</v>
      </c>
    </row>
    <row r="10693" spans="1:4" x14ac:dyDescent="0.25">
      <c r="A10693" t="str">
        <f>T("   US")</f>
        <v xml:space="preserve">   US</v>
      </c>
      <c r="B10693" t="str">
        <f>T("   Etats-Unis")</f>
        <v xml:space="preserve">   Etats-Unis</v>
      </c>
      <c r="C10693">
        <v>150000</v>
      </c>
      <c r="D10693">
        <v>2000</v>
      </c>
    </row>
    <row r="10694" spans="1:4" x14ac:dyDescent="0.25">
      <c r="A10694" t="str">
        <f>T("841822")</f>
        <v>841822</v>
      </c>
      <c r="B10694" t="str">
        <f>T("Réfrigérateurs ménagers à absorption, électriques")</f>
        <v>Réfrigérateurs ménagers à absorption, électriques</v>
      </c>
    </row>
    <row r="10695" spans="1:4" x14ac:dyDescent="0.25">
      <c r="A10695" t="str">
        <f>T("   ZZZ_Monde")</f>
        <v xml:space="preserve">   ZZZ_Monde</v>
      </c>
      <c r="B10695" t="str">
        <f>T("   ZZZ_Monde")</f>
        <v xml:space="preserve">   ZZZ_Monde</v>
      </c>
      <c r="C10695">
        <v>5502882</v>
      </c>
      <c r="D10695">
        <v>14954</v>
      </c>
    </row>
    <row r="10696" spans="1:4" x14ac:dyDescent="0.25">
      <c r="A10696" t="str">
        <f>T("   AE")</f>
        <v xml:space="preserve">   AE</v>
      </c>
      <c r="B10696" t="str">
        <f>T("   Emirats Arabes Unis")</f>
        <v xml:space="preserve">   Emirats Arabes Unis</v>
      </c>
      <c r="C10696">
        <v>1725660</v>
      </c>
      <c r="D10696">
        <v>8000</v>
      </c>
    </row>
    <row r="10697" spans="1:4" x14ac:dyDescent="0.25">
      <c r="A10697" t="str">
        <f>T("   CH")</f>
        <v xml:space="preserve">   CH</v>
      </c>
      <c r="B10697" t="str">
        <f>T("   Suisse")</f>
        <v xml:space="preserve">   Suisse</v>
      </c>
      <c r="C10697">
        <v>325000</v>
      </c>
      <c r="D10697">
        <v>250</v>
      </c>
    </row>
    <row r="10698" spans="1:4" x14ac:dyDescent="0.25">
      <c r="A10698" t="str">
        <f>T("   CN")</f>
        <v xml:space="preserve">   CN</v>
      </c>
      <c r="B10698" t="str">
        <f>T("   Chine")</f>
        <v xml:space="preserve">   Chine</v>
      </c>
      <c r="C10698">
        <v>185691</v>
      </c>
      <c r="D10698">
        <v>148</v>
      </c>
    </row>
    <row r="10699" spans="1:4" x14ac:dyDescent="0.25">
      <c r="A10699" t="str">
        <f>T("   FR")</f>
        <v xml:space="preserve">   FR</v>
      </c>
      <c r="B10699" t="str">
        <f>T("   France")</f>
        <v xml:space="preserve">   France</v>
      </c>
      <c r="C10699">
        <v>1548187</v>
      </c>
      <c r="D10699">
        <v>2156</v>
      </c>
    </row>
    <row r="10700" spans="1:4" x14ac:dyDescent="0.25">
      <c r="A10700" t="str">
        <f>T("   IT")</f>
        <v xml:space="preserve">   IT</v>
      </c>
      <c r="B10700" t="str">
        <f>T("   Italie")</f>
        <v xml:space="preserve">   Italie</v>
      </c>
      <c r="C10700">
        <v>918344</v>
      </c>
      <c r="D10700">
        <v>1800</v>
      </c>
    </row>
    <row r="10701" spans="1:4" x14ac:dyDescent="0.25">
      <c r="A10701" t="str">
        <f>T("   TG")</f>
        <v xml:space="preserve">   TG</v>
      </c>
      <c r="B10701" t="str">
        <f>T("   Togo")</f>
        <v xml:space="preserve">   Togo</v>
      </c>
      <c r="C10701">
        <v>800000</v>
      </c>
      <c r="D10701">
        <v>2600</v>
      </c>
    </row>
    <row r="10702" spans="1:4" x14ac:dyDescent="0.25">
      <c r="A10702" t="str">
        <f>T("841829")</f>
        <v>841829</v>
      </c>
      <c r="B10702" t="str">
        <f>T("Réfrigérateurs ménagers à absorption, non-électriques")</f>
        <v>Réfrigérateurs ménagers à absorption, non-électriques</v>
      </c>
    </row>
    <row r="10703" spans="1:4" x14ac:dyDescent="0.25">
      <c r="A10703" t="str">
        <f>T("   ZZZ_Monde")</f>
        <v xml:space="preserve">   ZZZ_Monde</v>
      </c>
      <c r="B10703" t="str">
        <f>T("   ZZZ_Monde")</f>
        <v xml:space="preserve">   ZZZ_Monde</v>
      </c>
      <c r="C10703">
        <v>599793766</v>
      </c>
      <c r="D10703">
        <v>1333575</v>
      </c>
    </row>
    <row r="10704" spans="1:4" x14ac:dyDescent="0.25">
      <c r="A10704" t="str">
        <f>T("   AE")</f>
        <v xml:space="preserve">   AE</v>
      </c>
      <c r="B10704" t="str">
        <f>T("   Emirats Arabes Unis")</f>
        <v xml:space="preserve">   Emirats Arabes Unis</v>
      </c>
      <c r="C10704">
        <v>9227934</v>
      </c>
      <c r="D10704">
        <v>27771</v>
      </c>
    </row>
    <row r="10705" spans="1:4" x14ac:dyDescent="0.25">
      <c r="A10705" t="str">
        <f>T("   AU")</f>
        <v xml:space="preserve">   AU</v>
      </c>
      <c r="B10705" t="str">
        <f>T("   Australie")</f>
        <v xml:space="preserve">   Australie</v>
      </c>
      <c r="C10705">
        <v>50000</v>
      </c>
      <c r="D10705">
        <v>75</v>
      </c>
    </row>
    <row r="10706" spans="1:4" x14ac:dyDescent="0.25">
      <c r="A10706" t="str">
        <f>T("   BE")</f>
        <v xml:space="preserve">   BE</v>
      </c>
      <c r="B10706" t="str">
        <f>T("   Belgique")</f>
        <v xml:space="preserve">   Belgique</v>
      </c>
      <c r="C10706">
        <v>33939418</v>
      </c>
      <c r="D10706">
        <v>141272</v>
      </c>
    </row>
    <row r="10707" spans="1:4" x14ac:dyDescent="0.25">
      <c r="A10707" t="str">
        <f>T("   CA")</f>
        <v xml:space="preserve">   CA</v>
      </c>
      <c r="B10707" t="str">
        <f>T("   Canada")</f>
        <v xml:space="preserve">   Canada</v>
      </c>
      <c r="C10707">
        <v>1075435</v>
      </c>
      <c r="D10707">
        <v>559</v>
      </c>
    </row>
    <row r="10708" spans="1:4" x14ac:dyDescent="0.25">
      <c r="A10708" t="str">
        <f>T("   CM")</f>
        <v xml:space="preserve">   CM</v>
      </c>
      <c r="B10708" t="str">
        <f>T("   Cameroun")</f>
        <v xml:space="preserve">   Cameroun</v>
      </c>
      <c r="C10708">
        <v>1470000</v>
      </c>
      <c r="D10708">
        <v>550</v>
      </c>
    </row>
    <row r="10709" spans="1:4" x14ac:dyDescent="0.25">
      <c r="A10709" t="str">
        <f>T("   CN")</f>
        <v xml:space="preserve">   CN</v>
      </c>
      <c r="B10709" t="str">
        <f>T("   Chine")</f>
        <v xml:space="preserve">   Chine</v>
      </c>
      <c r="C10709">
        <v>103671022</v>
      </c>
      <c r="D10709">
        <v>179185</v>
      </c>
    </row>
    <row r="10710" spans="1:4" x14ac:dyDescent="0.25">
      <c r="A10710" t="str">
        <f>T("   DE")</f>
        <v xml:space="preserve">   DE</v>
      </c>
      <c r="B10710" t="str">
        <f>T("   Allemagne")</f>
        <v xml:space="preserve">   Allemagne</v>
      </c>
      <c r="C10710">
        <v>10413588</v>
      </c>
      <c r="D10710">
        <v>30355</v>
      </c>
    </row>
    <row r="10711" spans="1:4" x14ac:dyDescent="0.25">
      <c r="A10711" t="str">
        <f>T("   DK")</f>
        <v xml:space="preserve">   DK</v>
      </c>
      <c r="B10711" t="str">
        <f>T("   Danemark")</f>
        <v xml:space="preserve">   Danemark</v>
      </c>
      <c r="C10711">
        <v>75435</v>
      </c>
      <c r="D10711">
        <v>260</v>
      </c>
    </row>
    <row r="10712" spans="1:4" x14ac:dyDescent="0.25">
      <c r="A10712" t="str">
        <f>T("   ES")</f>
        <v xml:space="preserve">   ES</v>
      </c>
      <c r="B10712" t="str">
        <f>T("   Espagne")</f>
        <v xml:space="preserve">   Espagne</v>
      </c>
      <c r="C10712">
        <v>528334</v>
      </c>
      <c r="D10712">
        <v>3269</v>
      </c>
    </row>
    <row r="10713" spans="1:4" x14ac:dyDescent="0.25">
      <c r="A10713" t="str">
        <f>T("   FR")</f>
        <v xml:space="preserve">   FR</v>
      </c>
      <c r="B10713" t="str">
        <f>T("   France")</f>
        <v xml:space="preserve">   France</v>
      </c>
      <c r="C10713">
        <v>76632663</v>
      </c>
      <c r="D10713">
        <v>78761</v>
      </c>
    </row>
    <row r="10714" spans="1:4" x14ac:dyDescent="0.25">
      <c r="A10714" t="str">
        <f>T("   GA")</f>
        <v xml:space="preserve">   GA</v>
      </c>
      <c r="B10714" t="str">
        <f>T("   Gabon")</f>
        <v xml:space="preserve">   Gabon</v>
      </c>
      <c r="C10714">
        <v>700000</v>
      </c>
      <c r="D10714">
        <v>300</v>
      </c>
    </row>
    <row r="10715" spans="1:4" x14ac:dyDescent="0.25">
      <c r="A10715" t="str">
        <f>T("   GB")</f>
        <v xml:space="preserve">   GB</v>
      </c>
      <c r="B10715" t="str">
        <f>T("   Royaume-Uni")</f>
        <v xml:space="preserve">   Royaume-Uni</v>
      </c>
      <c r="C10715">
        <v>153408762</v>
      </c>
      <c r="D10715">
        <v>645859</v>
      </c>
    </row>
    <row r="10716" spans="1:4" x14ac:dyDescent="0.25">
      <c r="A10716" t="str">
        <f>T("   GH")</f>
        <v xml:space="preserve">   GH</v>
      </c>
      <c r="B10716" t="str">
        <f>T("   Ghana")</f>
        <v xml:space="preserve">   Ghana</v>
      </c>
      <c r="C10716">
        <v>304081</v>
      </c>
      <c r="D10716">
        <v>450</v>
      </c>
    </row>
    <row r="10717" spans="1:4" x14ac:dyDescent="0.25">
      <c r="A10717" t="str">
        <f>T("   HK")</f>
        <v xml:space="preserve">   HK</v>
      </c>
      <c r="B10717" t="str">
        <f>T("   Hong-Kong")</f>
        <v xml:space="preserve">   Hong-Kong</v>
      </c>
      <c r="C10717">
        <v>583214</v>
      </c>
      <c r="D10717">
        <v>1930</v>
      </c>
    </row>
    <row r="10718" spans="1:4" x14ac:dyDescent="0.25">
      <c r="A10718" t="str">
        <f>T("   ID")</f>
        <v xml:space="preserve">   ID</v>
      </c>
      <c r="B10718" t="str">
        <f>T("   Indonésie")</f>
        <v xml:space="preserve">   Indonésie</v>
      </c>
      <c r="C10718">
        <v>7650000</v>
      </c>
      <c r="D10718">
        <v>4760</v>
      </c>
    </row>
    <row r="10719" spans="1:4" x14ac:dyDescent="0.25">
      <c r="A10719" t="str">
        <f>T("   IL")</f>
        <v xml:space="preserve">   IL</v>
      </c>
      <c r="B10719" t="str">
        <f>T("   Israël")</f>
        <v xml:space="preserve">   Israël</v>
      </c>
      <c r="C10719">
        <v>250000</v>
      </c>
      <c r="D10719">
        <v>4000</v>
      </c>
    </row>
    <row r="10720" spans="1:4" x14ac:dyDescent="0.25">
      <c r="A10720" t="str">
        <f>T("   IN")</f>
        <v xml:space="preserve">   IN</v>
      </c>
      <c r="B10720" t="str">
        <f>T("   Inde")</f>
        <v xml:space="preserve">   Inde</v>
      </c>
      <c r="C10720">
        <v>23328686</v>
      </c>
      <c r="D10720">
        <v>29223</v>
      </c>
    </row>
    <row r="10721" spans="1:4" x14ac:dyDescent="0.25">
      <c r="A10721" t="str">
        <f>T("   IR")</f>
        <v xml:space="preserve">   IR</v>
      </c>
      <c r="B10721" t="str">
        <f>T("   Iran, République Islqmique d'")</f>
        <v xml:space="preserve">   Iran, République Islqmique d'</v>
      </c>
      <c r="C10721">
        <v>6867484</v>
      </c>
      <c r="D10721">
        <v>6762</v>
      </c>
    </row>
    <row r="10722" spans="1:4" x14ac:dyDescent="0.25">
      <c r="A10722" t="str">
        <f>T("   IT")</f>
        <v xml:space="preserve">   IT</v>
      </c>
      <c r="B10722" t="str">
        <f>T("   Italie")</f>
        <v xml:space="preserve">   Italie</v>
      </c>
      <c r="C10722">
        <v>19214549</v>
      </c>
      <c r="D10722">
        <v>20961</v>
      </c>
    </row>
    <row r="10723" spans="1:4" x14ac:dyDescent="0.25">
      <c r="A10723" t="str">
        <f>T("   KP")</f>
        <v xml:space="preserve">   KP</v>
      </c>
      <c r="B10723" t="str">
        <f>T("   Corée, Rép. Populaire Démocratique")</f>
        <v xml:space="preserve">   Corée, Rép. Populaire Démocratique</v>
      </c>
      <c r="C10723">
        <v>7650000</v>
      </c>
      <c r="D10723">
        <v>4500</v>
      </c>
    </row>
    <row r="10724" spans="1:4" x14ac:dyDescent="0.25">
      <c r="A10724" t="str">
        <f>T("   LB")</f>
        <v xml:space="preserve">   LB</v>
      </c>
      <c r="B10724" t="str">
        <f>T("   Liban")</f>
        <v xml:space="preserve">   Liban</v>
      </c>
      <c r="C10724">
        <v>9227030</v>
      </c>
      <c r="D10724">
        <v>6132</v>
      </c>
    </row>
    <row r="10725" spans="1:4" x14ac:dyDescent="0.25">
      <c r="A10725" t="str">
        <f>T("   MR")</f>
        <v xml:space="preserve">   MR</v>
      </c>
      <c r="B10725" t="str">
        <f>T("   Mauritanie")</f>
        <v xml:space="preserve">   Mauritanie</v>
      </c>
      <c r="C10725">
        <v>249265</v>
      </c>
      <c r="D10725">
        <v>250</v>
      </c>
    </row>
    <row r="10726" spans="1:4" x14ac:dyDescent="0.25">
      <c r="A10726" t="str">
        <f>T("   NG")</f>
        <v xml:space="preserve">   NG</v>
      </c>
      <c r="B10726" t="str">
        <f>T("   Nigéria")</f>
        <v xml:space="preserve">   Nigéria</v>
      </c>
      <c r="C10726">
        <v>630006</v>
      </c>
      <c r="D10726">
        <v>5150</v>
      </c>
    </row>
    <row r="10727" spans="1:4" x14ac:dyDescent="0.25">
      <c r="A10727" t="str">
        <f>T("   PL")</f>
        <v xml:space="preserve">   PL</v>
      </c>
      <c r="B10727" t="str">
        <f>T("   Pologne")</f>
        <v xml:space="preserve">   Pologne</v>
      </c>
      <c r="C10727">
        <v>2000000</v>
      </c>
      <c r="D10727">
        <v>15000</v>
      </c>
    </row>
    <row r="10728" spans="1:4" x14ac:dyDescent="0.25">
      <c r="A10728" t="str">
        <f>T("   PT")</f>
        <v xml:space="preserve">   PT</v>
      </c>
      <c r="B10728" t="str">
        <f>T("   Portugal")</f>
        <v xml:space="preserve">   Portugal</v>
      </c>
      <c r="C10728">
        <v>4592</v>
      </c>
      <c r="D10728">
        <v>19</v>
      </c>
    </row>
    <row r="10729" spans="1:4" x14ac:dyDescent="0.25">
      <c r="A10729" t="str">
        <f>T("   SA")</f>
        <v xml:space="preserve">   SA</v>
      </c>
      <c r="B10729" t="str">
        <f>T("   Arabie Saoudite")</f>
        <v xml:space="preserve">   Arabie Saoudite</v>
      </c>
      <c r="C10729">
        <v>14044639</v>
      </c>
      <c r="D10729">
        <v>18832</v>
      </c>
    </row>
    <row r="10730" spans="1:4" x14ac:dyDescent="0.25">
      <c r="A10730" t="str">
        <f>T("   SG")</f>
        <v xml:space="preserve">   SG</v>
      </c>
      <c r="B10730" t="str">
        <f>T("   Singapour")</f>
        <v xml:space="preserve">   Singapour</v>
      </c>
      <c r="C10730">
        <v>78405957</v>
      </c>
      <c r="D10730">
        <v>80338</v>
      </c>
    </row>
    <row r="10731" spans="1:4" x14ac:dyDescent="0.25">
      <c r="A10731" t="str">
        <f>T("   SN")</f>
        <v xml:space="preserve">   SN</v>
      </c>
      <c r="B10731" t="str">
        <f>T("   Sénégal")</f>
        <v xml:space="preserve">   Sénégal</v>
      </c>
      <c r="C10731">
        <v>2542000</v>
      </c>
      <c r="D10731">
        <v>649</v>
      </c>
    </row>
    <row r="10732" spans="1:4" x14ac:dyDescent="0.25">
      <c r="A10732" t="str">
        <f>T("   TG")</f>
        <v xml:space="preserve">   TG</v>
      </c>
      <c r="B10732" t="str">
        <f>T("   Togo")</f>
        <v xml:space="preserve">   Togo</v>
      </c>
      <c r="C10732">
        <v>4451376</v>
      </c>
      <c r="D10732">
        <v>7680</v>
      </c>
    </row>
    <row r="10733" spans="1:4" x14ac:dyDescent="0.25">
      <c r="A10733" t="str">
        <f>T("   TH")</f>
        <v xml:space="preserve">   TH</v>
      </c>
      <c r="B10733" t="str">
        <f>T("   Thaïlande")</f>
        <v xml:space="preserve">   Thaïlande</v>
      </c>
      <c r="C10733">
        <v>8917000</v>
      </c>
      <c r="D10733">
        <v>6200</v>
      </c>
    </row>
    <row r="10734" spans="1:4" x14ac:dyDescent="0.25">
      <c r="A10734" t="str">
        <f>T("   TR")</f>
        <v xml:space="preserve">   TR</v>
      </c>
      <c r="B10734" t="str">
        <f>T("   Turquie")</f>
        <v xml:space="preserve">   Turquie</v>
      </c>
      <c r="C10734">
        <v>600529</v>
      </c>
      <c r="D10734">
        <v>440</v>
      </c>
    </row>
    <row r="10735" spans="1:4" x14ac:dyDescent="0.25">
      <c r="A10735" t="str">
        <f>T("   US")</f>
        <v xml:space="preserve">   US</v>
      </c>
      <c r="B10735" t="str">
        <f>T("   Etats-Unis")</f>
        <v xml:space="preserve">   Etats-Unis</v>
      </c>
      <c r="C10735">
        <v>2030829</v>
      </c>
      <c r="D10735">
        <v>9248</v>
      </c>
    </row>
    <row r="10736" spans="1:4" x14ac:dyDescent="0.25">
      <c r="A10736" t="str">
        <f>T("   ZA")</f>
        <v xml:space="preserve">   ZA</v>
      </c>
      <c r="B10736" t="str">
        <f>T("   Afrique du Sud")</f>
        <v xml:space="preserve">   Afrique du Sud</v>
      </c>
      <c r="C10736">
        <v>19649938</v>
      </c>
      <c r="D10736">
        <v>2835</v>
      </c>
    </row>
    <row r="10737" spans="1:4" x14ac:dyDescent="0.25">
      <c r="A10737" t="str">
        <f>T("841830")</f>
        <v>841830</v>
      </c>
      <c r="B10737" t="str">
        <f>T("Meubles congélateurs-conservateurs du type coffre, capacité &lt;= 800 l")</f>
        <v>Meubles congélateurs-conservateurs du type coffre, capacité &lt;= 800 l</v>
      </c>
    </row>
    <row r="10738" spans="1:4" x14ac:dyDescent="0.25">
      <c r="A10738" t="str">
        <f>T("   ZZZ_Monde")</f>
        <v xml:space="preserve">   ZZZ_Monde</v>
      </c>
      <c r="B10738" t="str">
        <f>T("   ZZZ_Monde")</f>
        <v xml:space="preserve">   ZZZ_Monde</v>
      </c>
      <c r="C10738">
        <v>198306792</v>
      </c>
      <c r="D10738">
        <v>120465.4</v>
      </c>
    </row>
    <row r="10739" spans="1:4" x14ac:dyDescent="0.25">
      <c r="A10739" t="str">
        <f>T("   AE")</f>
        <v xml:space="preserve">   AE</v>
      </c>
      <c r="B10739" t="str">
        <f>T("   Emirats Arabes Unis")</f>
        <v xml:space="preserve">   Emirats Arabes Unis</v>
      </c>
      <c r="C10739">
        <v>8169562</v>
      </c>
      <c r="D10739">
        <v>5349</v>
      </c>
    </row>
    <row r="10740" spans="1:4" x14ac:dyDescent="0.25">
      <c r="A10740" t="str">
        <f>T("   BE")</f>
        <v xml:space="preserve">   BE</v>
      </c>
      <c r="B10740" t="str">
        <f>T("   Belgique")</f>
        <v xml:space="preserve">   Belgique</v>
      </c>
      <c r="C10740">
        <v>30174</v>
      </c>
      <c r="D10740">
        <v>77</v>
      </c>
    </row>
    <row r="10741" spans="1:4" x14ac:dyDescent="0.25">
      <c r="A10741" t="str">
        <f>T("   BW")</f>
        <v xml:space="preserve">   BW</v>
      </c>
      <c r="B10741" t="str">
        <f>T("   Botswana")</f>
        <v xml:space="preserve">   Botswana</v>
      </c>
      <c r="C10741">
        <v>50000</v>
      </c>
      <c r="D10741">
        <v>5</v>
      </c>
    </row>
    <row r="10742" spans="1:4" x14ac:dyDescent="0.25">
      <c r="A10742" t="str">
        <f>T("   CN")</f>
        <v xml:space="preserve">   CN</v>
      </c>
      <c r="B10742" t="str">
        <f>T("   Chine")</f>
        <v xml:space="preserve">   Chine</v>
      </c>
      <c r="C10742">
        <v>37847731</v>
      </c>
      <c r="D10742">
        <v>20623</v>
      </c>
    </row>
    <row r="10743" spans="1:4" x14ac:dyDescent="0.25">
      <c r="A10743" t="str">
        <f>T("   DK")</f>
        <v xml:space="preserve">   DK</v>
      </c>
      <c r="B10743" t="str">
        <f>T("   Danemark")</f>
        <v xml:space="preserve">   Danemark</v>
      </c>
      <c r="C10743">
        <v>1099402</v>
      </c>
      <c r="D10743">
        <v>200</v>
      </c>
    </row>
    <row r="10744" spans="1:4" x14ac:dyDescent="0.25">
      <c r="A10744" t="str">
        <f>T("   FR")</f>
        <v xml:space="preserve">   FR</v>
      </c>
      <c r="B10744" t="str">
        <f>T("   France")</f>
        <v xml:space="preserve">   France</v>
      </c>
      <c r="C10744">
        <v>2789142</v>
      </c>
      <c r="D10744">
        <v>582</v>
      </c>
    </row>
    <row r="10745" spans="1:4" x14ac:dyDescent="0.25">
      <c r="A10745" t="str">
        <f>T("   GB")</f>
        <v xml:space="preserve">   GB</v>
      </c>
      <c r="B10745" t="str">
        <f>T("   Royaume-Uni")</f>
        <v xml:space="preserve">   Royaume-Uni</v>
      </c>
      <c r="C10745">
        <v>448147</v>
      </c>
      <c r="D10745">
        <v>1050</v>
      </c>
    </row>
    <row r="10746" spans="1:4" x14ac:dyDescent="0.25">
      <c r="A10746" t="str">
        <f>T("   IT")</f>
        <v xml:space="preserve">   IT</v>
      </c>
      <c r="B10746" t="str">
        <f>T("   Italie")</f>
        <v xml:space="preserve">   Italie</v>
      </c>
      <c r="C10746">
        <v>47887266</v>
      </c>
      <c r="D10746">
        <v>23119.4</v>
      </c>
    </row>
    <row r="10747" spans="1:4" x14ac:dyDescent="0.25">
      <c r="A10747" t="str">
        <f>T("   KR")</f>
        <v xml:space="preserve">   KR</v>
      </c>
      <c r="B10747" t="str">
        <f>T("   Corée, République de")</f>
        <v xml:space="preserve">   Corée, République de</v>
      </c>
      <c r="C10747">
        <v>5507314</v>
      </c>
      <c r="D10747">
        <v>6443</v>
      </c>
    </row>
    <row r="10748" spans="1:4" x14ac:dyDescent="0.25">
      <c r="A10748" t="str">
        <f>T("   LB")</f>
        <v xml:space="preserve">   LB</v>
      </c>
      <c r="B10748" t="str">
        <f>T("   Liban")</f>
        <v xml:space="preserve">   Liban</v>
      </c>
      <c r="C10748">
        <v>15812979</v>
      </c>
      <c r="D10748">
        <v>12600</v>
      </c>
    </row>
    <row r="10749" spans="1:4" x14ac:dyDescent="0.25">
      <c r="A10749" t="str">
        <f>T("   SG")</f>
        <v xml:space="preserve">   SG</v>
      </c>
      <c r="B10749" t="str">
        <f>T("   Singapour")</f>
        <v xml:space="preserve">   Singapour</v>
      </c>
      <c r="C10749">
        <v>56870516</v>
      </c>
      <c r="D10749">
        <v>34494</v>
      </c>
    </row>
    <row r="10750" spans="1:4" x14ac:dyDescent="0.25">
      <c r="A10750" t="str">
        <f>T("   TH")</f>
        <v xml:space="preserve">   TH</v>
      </c>
      <c r="B10750" t="str">
        <f>T("   Thaïlande")</f>
        <v xml:space="preserve">   Thaïlande</v>
      </c>
      <c r="C10750">
        <v>6502359</v>
      </c>
      <c r="D10750">
        <v>6503</v>
      </c>
    </row>
    <row r="10751" spans="1:4" x14ac:dyDescent="0.25">
      <c r="A10751" t="str">
        <f>T("   TN")</f>
        <v xml:space="preserve">   TN</v>
      </c>
      <c r="B10751" t="str">
        <f>T("   Tunisie")</f>
        <v xml:space="preserve">   Tunisie</v>
      </c>
      <c r="C10751">
        <v>15292200</v>
      </c>
      <c r="D10751">
        <v>9420</v>
      </c>
    </row>
    <row r="10752" spans="1:4" x14ac:dyDescent="0.25">
      <c r="A10752" t="str">
        <f>T("841840")</f>
        <v>841840</v>
      </c>
      <c r="B10752" t="str">
        <f>T("Meubles congélateurs-conservateurs du type armoire, capacité &lt;= 900 l")</f>
        <v>Meubles congélateurs-conservateurs du type armoire, capacité &lt;= 900 l</v>
      </c>
    </row>
    <row r="10753" spans="1:4" x14ac:dyDescent="0.25">
      <c r="A10753" t="str">
        <f>T("   ZZZ_Monde")</f>
        <v xml:space="preserve">   ZZZ_Monde</v>
      </c>
      <c r="B10753" t="str">
        <f>T("   ZZZ_Monde")</f>
        <v xml:space="preserve">   ZZZ_Monde</v>
      </c>
      <c r="C10753">
        <v>38442800</v>
      </c>
      <c r="D10753">
        <v>25917</v>
      </c>
    </row>
    <row r="10754" spans="1:4" x14ac:dyDescent="0.25">
      <c r="A10754" t="str">
        <f>T("   CN")</f>
        <v xml:space="preserve">   CN</v>
      </c>
      <c r="B10754" t="str">
        <f>T("   Chine")</f>
        <v xml:space="preserve">   Chine</v>
      </c>
      <c r="C10754">
        <v>11145745</v>
      </c>
      <c r="D10754">
        <v>5388</v>
      </c>
    </row>
    <row r="10755" spans="1:4" x14ac:dyDescent="0.25">
      <c r="A10755" t="str">
        <f>T("   FR")</f>
        <v xml:space="preserve">   FR</v>
      </c>
      <c r="B10755" t="str">
        <f>T("   France")</f>
        <v xml:space="preserve">   France</v>
      </c>
      <c r="C10755">
        <v>840088</v>
      </c>
      <c r="D10755">
        <v>548</v>
      </c>
    </row>
    <row r="10756" spans="1:4" x14ac:dyDescent="0.25">
      <c r="A10756" t="str">
        <f>T("   GH")</f>
        <v xml:space="preserve">   GH</v>
      </c>
      <c r="B10756" t="str">
        <f>T("   Ghana")</f>
        <v xml:space="preserve">   Ghana</v>
      </c>
      <c r="C10756">
        <v>1462018</v>
      </c>
      <c r="D10756">
        <v>1782</v>
      </c>
    </row>
    <row r="10757" spans="1:4" x14ac:dyDescent="0.25">
      <c r="A10757" t="str">
        <f>T("   IT")</f>
        <v xml:space="preserve">   IT</v>
      </c>
      <c r="B10757" t="str">
        <f>T("   Italie")</f>
        <v xml:space="preserve">   Italie</v>
      </c>
      <c r="C10757">
        <v>17138516</v>
      </c>
      <c r="D10757">
        <v>12871</v>
      </c>
    </row>
    <row r="10758" spans="1:4" x14ac:dyDescent="0.25">
      <c r="A10758" t="str">
        <f>T("   TR")</f>
        <v xml:space="preserve">   TR</v>
      </c>
      <c r="B10758" t="str">
        <f>T("   Turquie")</f>
        <v xml:space="preserve">   Turquie</v>
      </c>
      <c r="C10758">
        <v>7856433</v>
      </c>
      <c r="D10758">
        <v>5328</v>
      </c>
    </row>
    <row r="10759" spans="1:4" x14ac:dyDescent="0.25">
      <c r="A10759" t="str">
        <f>T("841850")</f>
        <v>841850</v>
      </c>
      <c r="B10759" t="str">
        <f>T("MEUBLES [COFFRES, ARMOIRES, VITRINES, COMPTOIRS ET SIMIL.] POUR LA CONSERVATION ET L'EXPOSITION DE PRODUITS, INCORPORANT UN ÉQUIPEMENT POUR LA PRODUCTION DU FROID (SAUF RÉFRIGÉRATEURS ET CONGÉLATEURS-CONSERVATEURS COMBINÉS, À PORTES EXTÉRIEURES SÉPARÉES,")</f>
        <v>MEUBLES [COFFRES, ARMOIRES, VITRINES, COMPTOIRS ET SIMIL.] POUR LA CONSERVATION ET L'EXPOSITION DE PRODUITS, INCORPORANT UN ÉQUIPEMENT POUR LA PRODUCTION DU FROID (SAUF RÉFRIGÉRATEURS ET CONGÉLATEURS-CONSERVATEURS COMBINÉS, À PORTES EXTÉRIEURES SÉPARÉES,</v>
      </c>
    </row>
    <row r="10760" spans="1:4" x14ac:dyDescent="0.25">
      <c r="A10760" t="str">
        <f>T("   ZZZ_Monde")</f>
        <v xml:space="preserve">   ZZZ_Monde</v>
      </c>
      <c r="B10760" t="str">
        <f>T("   ZZZ_Monde")</f>
        <v xml:space="preserve">   ZZZ_Monde</v>
      </c>
      <c r="C10760">
        <v>215191266</v>
      </c>
      <c r="D10760">
        <v>104662</v>
      </c>
    </row>
    <row r="10761" spans="1:4" x14ac:dyDescent="0.25">
      <c r="A10761" t="str">
        <f>T("   AE")</f>
        <v xml:space="preserve">   AE</v>
      </c>
      <c r="B10761" t="str">
        <f>T("   Emirats Arabes Unis")</f>
        <v xml:space="preserve">   Emirats Arabes Unis</v>
      </c>
      <c r="C10761">
        <v>242264</v>
      </c>
      <c r="D10761">
        <v>68</v>
      </c>
    </row>
    <row r="10762" spans="1:4" x14ac:dyDescent="0.25">
      <c r="A10762" t="str">
        <f>T("   CN")</f>
        <v xml:space="preserve">   CN</v>
      </c>
      <c r="B10762" t="str">
        <f>T("   Chine")</f>
        <v xml:space="preserve">   Chine</v>
      </c>
      <c r="C10762">
        <v>78250217</v>
      </c>
      <c r="D10762">
        <v>49510</v>
      </c>
    </row>
    <row r="10763" spans="1:4" x14ac:dyDescent="0.25">
      <c r="A10763" t="str">
        <f>T("   FR")</f>
        <v xml:space="preserve">   FR</v>
      </c>
      <c r="B10763" t="str">
        <f>T("   France")</f>
        <v xml:space="preserve">   France</v>
      </c>
      <c r="C10763">
        <v>4678380</v>
      </c>
      <c r="D10763">
        <v>597</v>
      </c>
    </row>
    <row r="10764" spans="1:4" x14ac:dyDescent="0.25">
      <c r="A10764" t="str">
        <f>T("   GB")</f>
        <v xml:space="preserve">   GB</v>
      </c>
      <c r="B10764" t="str">
        <f>T("   Royaume-Uni")</f>
        <v xml:space="preserve">   Royaume-Uni</v>
      </c>
      <c r="C10764">
        <v>2741303</v>
      </c>
      <c r="D10764">
        <v>1205</v>
      </c>
    </row>
    <row r="10765" spans="1:4" x14ac:dyDescent="0.25">
      <c r="A10765" t="str">
        <f>T("   IN")</f>
        <v xml:space="preserve">   IN</v>
      </c>
      <c r="B10765" t="str">
        <f>T("   Inde")</f>
        <v xml:space="preserve">   Inde</v>
      </c>
      <c r="C10765">
        <v>82080544</v>
      </c>
      <c r="D10765">
        <v>34246</v>
      </c>
    </row>
    <row r="10766" spans="1:4" x14ac:dyDescent="0.25">
      <c r="A10766" t="str">
        <f>T("   IT")</f>
        <v xml:space="preserve">   IT</v>
      </c>
      <c r="B10766" t="str">
        <f>T("   Italie")</f>
        <v xml:space="preserve">   Italie</v>
      </c>
      <c r="C10766">
        <v>19950512</v>
      </c>
      <c r="D10766">
        <v>9877</v>
      </c>
    </row>
    <row r="10767" spans="1:4" x14ac:dyDescent="0.25">
      <c r="A10767" t="str">
        <f>T("   SG")</f>
        <v xml:space="preserve">   SG</v>
      </c>
      <c r="B10767" t="str">
        <f>T("   Singapour")</f>
        <v xml:space="preserve">   Singapour</v>
      </c>
      <c r="C10767">
        <v>9992832</v>
      </c>
      <c r="D10767">
        <v>6080</v>
      </c>
    </row>
    <row r="10768" spans="1:4" x14ac:dyDescent="0.25">
      <c r="A10768" t="str">
        <f>T("   SN")</f>
        <v xml:space="preserve">   SN</v>
      </c>
      <c r="B10768" t="str">
        <f>T("   Sénégal")</f>
        <v xml:space="preserve">   Sénégal</v>
      </c>
      <c r="C10768">
        <v>8879758</v>
      </c>
      <c r="D10768">
        <v>393</v>
      </c>
    </row>
    <row r="10769" spans="1:4" x14ac:dyDescent="0.25">
      <c r="A10769" t="str">
        <f>T("   TG")</f>
        <v xml:space="preserve">   TG</v>
      </c>
      <c r="B10769" t="str">
        <f>T("   Togo")</f>
        <v xml:space="preserve">   Togo</v>
      </c>
      <c r="C10769">
        <v>500000</v>
      </c>
      <c r="D10769">
        <v>1000</v>
      </c>
    </row>
    <row r="10770" spans="1:4" x14ac:dyDescent="0.25">
      <c r="A10770" t="str">
        <f>T("   TR")</f>
        <v xml:space="preserve">   TR</v>
      </c>
      <c r="B10770" t="str">
        <f>T("   Turquie")</f>
        <v xml:space="preserve">   Turquie</v>
      </c>
      <c r="C10770">
        <v>136135</v>
      </c>
      <c r="D10770">
        <v>150</v>
      </c>
    </row>
    <row r="10771" spans="1:4" x14ac:dyDescent="0.25">
      <c r="A10771" t="str">
        <f>T("   US")</f>
        <v xml:space="preserve">   US</v>
      </c>
      <c r="B10771" t="str">
        <f>T("   Etats-Unis")</f>
        <v xml:space="preserve">   Etats-Unis</v>
      </c>
      <c r="C10771">
        <v>7739321</v>
      </c>
      <c r="D10771">
        <v>1536</v>
      </c>
    </row>
    <row r="10772" spans="1:4" x14ac:dyDescent="0.25">
      <c r="A10772" t="str">
        <f>T("841861")</f>
        <v>841861</v>
      </c>
      <c r="B10772" t="str">
        <f>T("Groupes à compression pour la production du froid, dont le condenseur est constitué par un échangeur de chaleur")</f>
        <v>Groupes à compression pour la production du froid, dont le condenseur est constitué par un échangeur de chaleur</v>
      </c>
    </row>
    <row r="10773" spans="1:4" x14ac:dyDescent="0.25">
      <c r="A10773" t="str">
        <f>T("   ZZZ_Monde")</f>
        <v xml:space="preserve">   ZZZ_Monde</v>
      </c>
      <c r="B10773" t="str">
        <f>T("   ZZZ_Monde")</f>
        <v xml:space="preserve">   ZZZ_Monde</v>
      </c>
      <c r="C10773">
        <v>16670341</v>
      </c>
      <c r="D10773">
        <v>3389</v>
      </c>
    </row>
    <row r="10774" spans="1:4" x14ac:dyDescent="0.25">
      <c r="A10774" t="str">
        <f>T("   BE")</f>
        <v xml:space="preserve">   BE</v>
      </c>
      <c r="B10774" t="str">
        <f>T("   Belgique")</f>
        <v xml:space="preserve">   Belgique</v>
      </c>
      <c r="C10774">
        <v>14969007</v>
      </c>
      <c r="D10774">
        <v>3100</v>
      </c>
    </row>
    <row r="10775" spans="1:4" x14ac:dyDescent="0.25">
      <c r="A10775" t="str">
        <f>T("   CN")</f>
        <v xml:space="preserve">   CN</v>
      </c>
      <c r="B10775" t="str">
        <f>T("   Chine")</f>
        <v xml:space="preserve">   Chine</v>
      </c>
      <c r="C10775">
        <v>778503</v>
      </c>
      <c r="D10775">
        <v>239</v>
      </c>
    </row>
    <row r="10776" spans="1:4" x14ac:dyDescent="0.25">
      <c r="A10776" t="str">
        <f>T("   FR")</f>
        <v xml:space="preserve">   FR</v>
      </c>
      <c r="B10776" t="str">
        <f>T("   France")</f>
        <v xml:space="preserve">   France</v>
      </c>
      <c r="C10776">
        <v>922831</v>
      </c>
      <c r="D10776">
        <v>50</v>
      </c>
    </row>
    <row r="10777" spans="1:4" x14ac:dyDescent="0.25">
      <c r="A10777" t="str">
        <f>T("841869")</f>
        <v>841869</v>
      </c>
      <c r="B10777" t="str">
        <f>T("Matériel, machines et appareils pour la production du froid ainsi que pompes à chaleur à absorption (autres que réfrigérateurs et meubles congélateurs-conservateurs)")</f>
        <v>Matériel, machines et appareils pour la production du froid ainsi que pompes à chaleur à absorption (autres que réfrigérateurs et meubles congélateurs-conservateurs)</v>
      </c>
    </row>
    <row r="10778" spans="1:4" x14ac:dyDescent="0.25">
      <c r="A10778" t="str">
        <f>T("   ZZZ_Monde")</f>
        <v xml:space="preserve">   ZZZ_Monde</v>
      </c>
      <c r="B10778" t="str">
        <f>T("   ZZZ_Monde")</f>
        <v xml:space="preserve">   ZZZ_Monde</v>
      </c>
      <c r="C10778">
        <v>253693621</v>
      </c>
      <c r="D10778">
        <v>165504</v>
      </c>
    </row>
    <row r="10779" spans="1:4" x14ac:dyDescent="0.25">
      <c r="A10779" t="str">
        <f>T("   AU")</f>
        <v xml:space="preserve">   AU</v>
      </c>
      <c r="B10779" t="str">
        <f>T("   Australie")</f>
        <v xml:space="preserve">   Australie</v>
      </c>
      <c r="C10779">
        <v>42973252</v>
      </c>
      <c r="D10779">
        <v>31262</v>
      </c>
    </row>
    <row r="10780" spans="1:4" x14ac:dyDescent="0.25">
      <c r="A10780" t="str">
        <f>T("   BE")</f>
        <v xml:space="preserve">   BE</v>
      </c>
      <c r="B10780" t="str">
        <f>T("   Belgique")</f>
        <v xml:space="preserve">   Belgique</v>
      </c>
      <c r="C10780">
        <v>29335843</v>
      </c>
      <c r="D10780">
        <v>6000</v>
      </c>
    </row>
    <row r="10781" spans="1:4" x14ac:dyDescent="0.25">
      <c r="A10781" t="str">
        <f>T("   CN")</f>
        <v xml:space="preserve">   CN</v>
      </c>
      <c r="B10781" t="str">
        <f>T("   Chine")</f>
        <v xml:space="preserve">   Chine</v>
      </c>
      <c r="C10781">
        <v>11334575</v>
      </c>
      <c r="D10781">
        <v>15789</v>
      </c>
    </row>
    <row r="10782" spans="1:4" x14ac:dyDescent="0.25">
      <c r="A10782" t="str">
        <f>T("   DE")</f>
        <v xml:space="preserve">   DE</v>
      </c>
      <c r="B10782" t="str">
        <f>T("   Allemagne")</f>
        <v xml:space="preserve">   Allemagne</v>
      </c>
      <c r="C10782">
        <v>3252348</v>
      </c>
      <c r="D10782">
        <v>384</v>
      </c>
    </row>
    <row r="10783" spans="1:4" x14ac:dyDescent="0.25">
      <c r="A10783" t="str">
        <f>T("   FR")</f>
        <v xml:space="preserve">   FR</v>
      </c>
      <c r="B10783" t="str">
        <f>T("   France")</f>
        <v xml:space="preserve">   France</v>
      </c>
      <c r="C10783">
        <v>119386726</v>
      </c>
      <c r="D10783">
        <v>99294</v>
      </c>
    </row>
    <row r="10784" spans="1:4" x14ac:dyDescent="0.25">
      <c r="A10784" t="str">
        <f>T("   IT")</f>
        <v xml:space="preserve">   IT</v>
      </c>
      <c r="B10784" t="str">
        <f>T("   Italie")</f>
        <v xml:space="preserve">   Italie</v>
      </c>
      <c r="C10784">
        <v>19743531</v>
      </c>
      <c r="D10784">
        <v>3686</v>
      </c>
    </row>
    <row r="10785" spans="1:4" x14ac:dyDescent="0.25">
      <c r="A10785" t="str">
        <f>T("   LB")</f>
        <v xml:space="preserve">   LB</v>
      </c>
      <c r="B10785" t="str">
        <f>T("   Liban")</f>
        <v xml:space="preserve">   Liban</v>
      </c>
      <c r="C10785">
        <v>9141960</v>
      </c>
      <c r="D10785">
        <v>4036</v>
      </c>
    </row>
    <row r="10786" spans="1:4" x14ac:dyDescent="0.25">
      <c r="A10786" t="str">
        <f>T("   SA")</f>
        <v xml:space="preserve">   SA</v>
      </c>
      <c r="B10786" t="str">
        <f>T("   Arabie Saoudite")</f>
        <v xml:space="preserve">   Arabie Saoudite</v>
      </c>
      <c r="C10786">
        <v>453340</v>
      </c>
      <c r="D10786">
        <v>1467</v>
      </c>
    </row>
    <row r="10787" spans="1:4" x14ac:dyDescent="0.25">
      <c r="A10787" t="str">
        <f>T("   US")</f>
        <v xml:space="preserve">   US</v>
      </c>
      <c r="B10787" t="str">
        <f>T("   Etats-Unis")</f>
        <v xml:space="preserve">   Etats-Unis</v>
      </c>
      <c r="C10787">
        <v>18072046</v>
      </c>
      <c r="D10787">
        <v>3586</v>
      </c>
    </row>
    <row r="10788" spans="1:4" x14ac:dyDescent="0.25">
      <c r="A10788" t="str">
        <f>T("841891")</f>
        <v>841891</v>
      </c>
      <c r="B10788" t="str">
        <f>T("Meubles conçus pour recevoir un équipement pour la production du froid")</f>
        <v>Meubles conçus pour recevoir un équipement pour la production du froid</v>
      </c>
    </row>
    <row r="10789" spans="1:4" x14ac:dyDescent="0.25">
      <c r="A10789" t="str">
        <f>T("   ZZZ_Monde")</f>
        <v xml:space="preserve">   ZZZ_Monde</v>
      </c>
      <c r="B10789" t="str">
        <f>T("   ZZZ_Monde")</f>
        <v xml:space="preserve">   ZZZ_Monde</v>
      </c>
      <c r="C10789">
        <v>74210308</v>
      </c>
      <c r="D10789">
        <v>38635</v>
      </c>
    </row>
    <row r="10790" spans="1:4" x14ac:dyDescent="0.25">
      <c r="A10790" t="str">
        <f>T("   BE")</f>
        <v xml:space="preserve">   BE</v>
      </c>
      <c r="B10790" t="str">
        <f>T("   Belgique")</f>
        <v xml:space="preserve">   Belgique</v>
      </c>
      <c r="C10790">
        <v>26996689</v>
      </c>
      <c r="D10790">
        <v>11560</v>
      </c>
    </row>
    <row r="10791" spans="1:4" x14ac:dyDescent="0.25">
      <c r="A10791" t="str">
        <f>T("   ES")</f>
        <v xml:space="preserve">   ES</v>
      </c>
      <c r="B10791" t="str">
        <f>T("   Espagne")</f>
        <v xml:space="preserve">   Espagne</v>
      </c>
      <c r="C10791">
        <v>18208794</v>
      </c>
      <c r="D10791">
        <v>9097</v>
      </c>
    </row>
    <row r="10792" spans="1:4" x14ac:dyDescent="0.25">
      <c r="A10792" t="str">
        <f>T("   FR")</f>
        <v xml:space="preserve">   FR</v>
      </c>
      <c r="B10792" t="str">
        <f>T("   France")</f>
        <v xml:space="preserve">   France</v>
      </c>
      <c r="C10792">
        <v>1120966</v>
      </c>
      <c r="D10792">
        <v>65</v>
      </c>
    </row>
    <row r="10793" spans="1:4" x14ac:dyDescent="0.25">
      <c r="A10793" t="str">
        <f>T("   IT")</f>
        <v xml:space="preserve">   IT</v>
      </c>
      <c r="B10793" t="str">
        <f>T("   Italie")</f>
        <v xml:space="preserve">   Italie</v>
      </c>
      <c r="C10793">
        <v>27883859</v>
      </c>
      <c r="D10793">
        <v>17913</v>
      </c>
    </row>
    <row r="10794" spans="1:4" x14ac:dyDescent="0.25">
      <c r="A10794" t="str">
        <f>T("841899")</f>
        <v>841899</v>
      </c>
      <c r="B10794" t="str">
        <f>T("Parties de réfrigérateurs et de congélateurs-conservateurs du type armoire et du type coffre et d'autres matériel, machines et appareils pour la production du froid, parties de pompes à chaleur, n.d.a.")</f>
        <v>Parties de réfrigérateurs et de congélateurs-conservateurs du type armoire et du type coffre et d'autres matériel, machines et appareils pour la production du froid, parties de pompes à chaleur, n.d.a.</v>
      </c>
    </row>
    <row r="10795" spans="1:4" x14ac:dyDescent="0.25">
      <c r="A10795" t="str">
        <f>T("   ZZZ_Monde")</f>
        <v xml:space="preserve">   ZZZ_Monde</v>
      </c>
      <c r="B10795" t="str">
        <f>T("   ZZZ_Monde")</f>
        <v xml:space="preserve">   ZZZ_Monde</v>
      </c>
      <c r="C10795">
        <v>106213447</v>
      </c>
      <c r="D10795">
        <v>52156.2</v>
      </c>
    </row>
    <row r="10796" spans="1:4" x14ac:dyDescent="0.25">
      <c r="A10796" t="str">
        <f>T("   AF")</f>
        <v xml:space="preserve">   AF</v>
      </c>
      <c r="B10796" t="str">
        <f>T("   Afghanistan")</f>
        <v xml:space="preserve">   Afghanistan</v>
      </c>
      <c r="C10796">
        <v>2052599</v>
      </c>
      <c r="D10796">
        <v>33</v>
      </c>
    </row>
    <row r="10797" spans="1:4" x14ac:dyDescent="0.25">
      <c r="A10797" t="str">
        <f>T("   BE")</f>
        <v xml:space="preserve">   BE</v>
      </c>
      <c r="B10797" t="str">
        <f>T("   Belgique")</f>
        <v xml:space="preserve">   Belgique</v>
      </c>
      <c r="C10797">
        <v>791809</v>
      </c>
      <c r="D10797">
        <v>550</v>
      </c>
    </row>
    <row r="10798" spans="1:4" x14ac:dyDescent="0.25">
      <c r="A10798" t="str">
        <f>T("   CN")</f>
        <v xml:space="preserve">   CN</v>
      </c>
      <c r="B10798" t="str">
        <f>T("   Chine")</f>
        <v xml:space="preserve">   Chine</v>
      </c>
      <c r="C10798">
        <v>4946257</v>
      </c>
      <c r="D10798">
        <v>7505</v>
      </c>
    </row>
    <row r="10799" spans="1:4" x14ac:dyDescent="0.25">
      <c r="A10799" t="str">
        <f>T("   DE")</f>
        <v xml:space="preserve">   DE</v>
      </c>
      <c r="B10799" t="str">
        <f>T("   Allemagne")</f>
        <v xml:space="preserve">   Allemagne</v>
      </c>
      <c r="C10799">
        <v>1881726</v>
      </c>
      <c r="D10799">
        <v>8</v>
      </c>
    </row>
    <row r="10800" spans="1:4" x14ac:dyDescent="0.25">
      <c r="A10800" t="str">
        <f>T("   DK")</f>
        <v xml:space="preserve">   DK</v>
      </c>
      <c r="B10800" t="str">
        <f>T("   Danemark")</f>
        <v xml:space="preserve">   Danemark</v>
      </c>
      <c r="C10800">
        <v>31473</v>
      </c>
      <c r="D10800">
        <v>34</v>
      </c>
    </row>
    <row r="10801" spans="1:4" x14ac:dyDescent="0.25">
      <c r="A10801" t="str">
        <f>T("   FR")</f>
        <v xml:space="preserve">   FR</v>
      </c>
      <c r="B10801" t="str">
        <f>T("   France")</f>
        <v xml:space="preserve">   France</v>
      </c>
      <c r="C10801">
        <v>69328710</v>
      </c>
      <c r="D10801">
        <v>26855.200000000001</v>
      </c>
    </row>
    <row r="10802" spans="1:4" x14ac:dyDescent="0.25">
      <c r="A10802" t="str">
        <f>T("   IT")</f>
        <v xml:space="preserve">   IT</v>
      </c>
      <c r="B10802" t="str">
        <f>T("   Italie")</f>
        <v xml:space="preserve">   Italie</v>
      </c>
      <c r="C10802">
        <v>14324199</v>
      </c>
      <c r="D10802">
        <v>4768</v>
      </c>
    </row>
    <row r="10803" spans="1:4" x14ac:dyDescent="0.25">
      <c r="A10803" t="str">
        <f>T("   NG")</f>
        <v xml:space="preserve">   NG</v>
      </c>
      <c r="B10803" t="str">
        <f>T("   Nigéria")</f>
        <v xml:space="preserve">   Nigéria</v>
      </c>
      <c r="C10803">
        <v>10370000</v>
      </c>
      <c r="D10803">
        <v>6966</v>
      </c>
    </row>
    <row r="10804" spans="1:4" x14ac:dyDescent="0.25">
      <c r="A10804" t="str">
        <f>T("   SG")</f>
        <v xml:space="preserve">   SG</v>
      </c>
      <c r="B10804" t="str">
        <f>T("   Singapour")</f>
        <v xml:space="preserve">   Singapour</v>
      </c>
      <c r="C10804">
        <v>38846</v>
      </c>
      <c r="D10804">
        <v>109</v>
      </c>
    </row>
    <row r="10805" spans="1:4" x14ac:dyDescent="0.25">
      <c r="A10805" t="str">
        <f>T("   TG")</f>
        <v xml:space="preserve">   TG</v>
      </c>
      <c r="B10805" t="str">
        <f>T("   Togo")</f>
        <v xml:space="preserve">   Togo</v>
      </c>
      <c r="C10805">
        <v>100000</v>
      </c>
      <c r="D10805">
        <v>50</v>
      </c>
    </row>
    <row r="10806" spans="1:4" x14ac:dyDescent="0.25">
      <c r="A10806" t="str">
        <f>T("   TH")</f>
        <v xml:space="preserve">   TH</v>
      </c>
      <c r="B10806" t="str">
        <f>T("   Thaïlande")</f>
        <v xml:space="preserve">   Thaïlande</v>
      </c>
      <c r="C10806">
        <v>38828</v>
      </c>
      <c r="D10806">
        <v>18</v>
      </c>
    </row>
    <row r="10807" spans="1:4" x14ac:dyDescent="0.25">
      <c r="A10807" t="str">
        <f>T("   Z2")</f>
        <v xml:space="preserve">   Z2</v>
      </c>
      <c r="B10807" t="str">
        <f>T("   Pays non défini")</f>
        <v xml:space="preserve">   Pays non défini</v>
      </c>
      <c r="C10807">
        <v>2309000</v>
      </c>
      <c r="D10807">
        <v>5260</v>
      </c>
    </row>
    <row r="10808" spans="1:4" x14ac:dyDescent="0.25">
      <c r="A10808" t="str">
        <f>T("841919")</f>
        <v>841919</v>
      </c>
      <c r="B10808" t="str">
        <f>T("Chauffe-eau non-électriques, à chauffage instantané ou à accumulation (à l'excl. des chauffe-eau instantanés à gaz et des chaudières ou générateurs mixtes pour chauffage central)")</f>
        <v>Chauffe-eau non-électriques, à chauffage instantané ou à accumulation (à l'excl. des chauffe-eau instantanés à gaz et des chaudières ou générateurs mixtes pour chauffage central)</v>
      </c>
    </row>
    <row r="10809" spans="1:4" x14ac:dyDescent="0.25">
      <c r="A10809" t="str">
        <f>T("   ZZZ_Monde")</f>
        <v xml:space="preserve">   ZZZ_Monde</v>
      </c>
      <c r="B10809" t="str">
        <f>T("   ZZZ_Monde")</f>
        <v xml:space="preserve">   ZZZ_Monde</v>
      </c>
      <c r="C10809">
        <v>8628401</v>
      </c>
      <c r="D10809">
        <v>13113</v>
      </c>
    </row>
    <row r="10810" spans="1:4" x14ac:dyDescent="0.25">
      <c r="A10810" t="str">
        <f>T("   CN")</f>
        <v xml:space="preserve">   CN</v>
      </c>
      <c r="B10810" t="str">
        <f>T("   Chine")</f>
        <v xml:space="preserve">   Chine</v>
      </c>
      <c r="C10810">
        <v>965002</v>
      </c>
      <c r="D10810">
        <v>1153</v>
      </c>
    </row>
    <row r="10811" spans="1:4" x14ac:dyDescent="0.25">
      <c r="A10811" t="str">
        <f>T("   ES")</f>
        <v xml:space="preserve">   ES</v>
      </c>
      <c r="B10811" t="str">
        <f>T("   Espagne")</f>
        <v xml:space="preserve">   Espagne</v>
      </c>
      <c r="C10811">
        <v>16399</v>
      </c>
      <c r="D10811">
        <v>10</v>
      </c>
    </row>
    <row r="10812" spans="1:4" x14ac:dyDescent="0.25">
      <c r="A10812" t="str">
        <f>T("   MY")</f>
        <v xml:space="preserve">   MY</v>
      </c>
      <c r="B10812" t="str">
        <f>T("   Malaisie")</f>
        <v xml:space="preserve">   Malaisie</v>
      </c>
      <c r="C10812">
        <v>7647000</v>
      </c>
      <c r="D10812">
        <v>11950</v>
      </c>
    </row>
    <row r="10813" spans="1:4" x14ac:dyDescent="0.25">
      <c r="A10813" t="str">
        <f>T("841920")</f>
        <v>841920</v>
      </c>
      <c r="B10813" t="str">
        <f>T("Stérilisateurs médico-chirurgicaux ou de laboratoire")</f>
        <v>Stérilisateurs médico-chirurgicaux ou de laboratoire</v>
      </c>
    </row>
    <row r="10814" spans="1:4" x14ac:dyDescent="0.25">
      <c r="A10814" t="str">
        <f>T("   ZZZ_Monde")</f>
        <v xml:space="preserve">   ZZZ_Monde</v>
      </c>
      <c r="B10814" t="str">
        <f>T("   ZZZ_Monde")</f>
        <v xml:space="preserve">   ZZZ_Monde</v>
      </c>
      <c r="C10814">
        <v>14347239</v>
      </c>
      <c r="D10814">
        <v>1244</v>
      </c>
    </row>
    <row r="10815" spans="1:4" x14ac:dyDescent="0.25">
      <c r="A10815" t="str">
        <f>T("   CN")</f>
        <v xml:space="preserve">   CN</v>
      </c>
      <c r="B10815" t="str">
        <f>T("   Chine")</f>
        <v xml:space="preserve">   Chine</v>
      </c>
      <c r="C10815">
        <v>383656</v>
      </c>
      <c r="D10815">
        <v>225</v>
      </c>
    </row>
    <row r="10816" spans="1:4" x14ac:dyDescent="0.25">
      <c r="A10816" t="str">
        <f>T("   FR")</f>
        <v xml:space="preserve">   FR</v>
      </c>
      <c r="B10816" t="str">
        <f>T("   France")</f>
        <v xml:space="preserve">   France</v>
      </c>
      <c r="C10816">
        <v>8215547</v>
      </c>
      <c r="D10816">
        <v>740</v>
      </c>
    </row>
    <row r="10817" spans="1:4" x14ac:dyDescent="0.25">
      <c r="A10817" t="str">
        <f>T("   IN")</f>
        <v xml:space="preserve">   IN</v>
      </c>
      <c r="B10817" t="str">
        <f>T("   Inde")</f>
        <v xml:space="preserve">   Inde</v>
      </c>
      <c r="C10817">
        <v>1210902</v>
      </c>
      <c r="D10817">
        <v>86</v>
      </c>
    </row>
    <row r="10818" spans="1:4" x14ac:dyDescent="0.25">
      <c r="A10818" t="str">
        <f>T("   IT")</f>
        <v xml:space="preserve">   IT</v>
      </c>
      <c r="B10818" t="str">
        <f>T("   Italie")</f>
        <v xml:space="preserve">   Italie</v>
      </c>
      <c r="C10818">
        <v>4362134</v>
      </c>
      <c r="D10818">
        <v>63</v>
      </c>
    </row>
    <row r="10819" spans="1:4" x14ac:dyDescent="0.25">
      <c r="A10819" t="str">
        <f>T("   NG")</f>
        <v xml:space="preserve">   NG</v>
      </c>
      <c r="B10819" t="str">
        <f>T("   Nigéria")</f>
        <v xml:space="preserve">   Nigéria</v>
      </c>
      <c r="C10819">
        <v>175000</v>
      </c>
      <c r="D10819">
        <v>130</v>
      </c>
    </row>
    <row r="10820" spans="1:4" x14ac:dyDescent="0.25">
      <c r="A10820" t="str">
        <f>T("841931")</f>
        <v>841931</v>
      </c>
      <c r="B10820" t="str">
        <f>T("Séchoirs pour produits agricoles")</f>
        <v>Séchoirs pour produits agricoles</v>
      </c>
    </row>
    <row r="10821" spans="1:4" x14ac:dyDescent="0.25">
      <c r="A10821" t="str">
        <f>T("   ZZZ_Monde")</f>
        <v xml:space="preserve">   ZZZ_Monde</v>
      </c>
      <c r="B10821" t="str">
        <f>T("   ZZZ_Monde")</f>
        <v xml:space="preserve">   ZZZ_Monde</v>
      </c>
      <c r="C10821">
        <v>13437345</v>
      </c>
      <c r="D10821">
        <v>5550</v>
      </c>
    </row>
    <row r="10822" spans="1:4" x14ac:dyDescent="0.25">
      <c r="A10822" t="str">
        <f>T("   IN")</f>
        <v xml:space="preserve">   IN</v>
      </c>
      <c r="B10822" t="str">
        <f>T("   Inde")</f>
        <v xml:space="preserve">   Inde</v>
      </c>
      <c r="C10822">
        <v>13437345</v>
      </c>
      <c r="D10822">
        <v>5550</v>
      </c>
    </row>
    <row r="10823" spans="1:4" x14ac:dyDescent="0.25">
      <c r="A10823" t="str">
        <f>T("841939")</f>
        <v>841939</v>
      </c>
      <c r="B10823" t="str">
        <f>T("Séchoirs (sauf pour produits agricoles, pâtes à papier, papier ou carton, pour fils, tissus ou autres matières textiles, pour bouteilles ou autres récipients, sèche-cheveux, sèche-mains et sauf appareils ménagers)")</f>
        <v>Séchoirs (sauf pour produits agricoles, pâtes à papier, papier ou carton, pour fils, tissus ou autres matières textiles, pour bouteilles ou autres récipients, sèche-cheveux, sèche-mains et sauf appareils ménagers)</v>
      </c>
    </row>
    <row r="10824" spans="1:4" x14ac:dyDescent="0.25">
      <c r="A10824" t="str">
        <f>T("   ZZZ_Monde")</f>
        <v xml:space="preserve">   ZZZ_Monde</v>
      </c>
      <c r="B10824" t="str">
        <f>T("   ZZZ_Monde")</f>
        <v xml:space="preserve">   ZZZ_Monde</v>
      </c>
      <c r="C10824">
        <v>74506621</v>
      </c>
      <c r="D10824">
        <v>9333</v>
      </c>
    </row>
    <row r="10825" spans="1:4" x14ac:dyDescent="0.25">
      <c r="A10825" t="str">
        <f>T("   CN")</f>
        <v xml:space="preserve">   CN</v>
      </c>
      <c r="B10825" t="str">
        <f>T("   Chine")</f>
        <v xml:space="preserve">   Chine</v>
      </c>
      <c r="C10825">
        <v>61834</v>
      </c>
      <c r="D10825">
        <v>2200</v>
      </c>
    </row>
    <row r="10826" spans="1:4" x14ac:dyDescent="0.25">
      <c r="A10826" t="str">
        <f>T("   IE")</f>
        <v xml:space="preserve">   IE</v>
      </c>
      <c r="B10826" t="str">
        <f>T("   Irlande")</f>
        <v xml:space="preserve">   Irlande</v>
      </c>
      <c r="C10826">
        <v>6982884</v>
      </c>
      <c r="D10826">
        <v>163</v>
      </c>
    </row>
    <row r="10827" spans="1:4" x14ac:dyDescent="0.25">
      <c r="A10827" t="str">
        <f>T("   IT")</f>
        <v xml:space="preserve">   IT</v>
      </c>
      <c r="B10827" t="str">
        <f>T("   Italie")</f>
        <v xml:space="preserve">   Italie</v>
      </c>
      <c r="C10827">
        <v>67461903</v>
      </c>
      <c r="D10827">
        <v>6970</v>
      </c>
    </row>
    <row r="10828" spans="1:4" x14ac:dyDescent="0.25">
      <c r="A10828" t="str">
        <f>T("841950")</f>
        <v>841950</v>
      </c>
      <c r="B10828" t="str">
        <f>T("Echangeurs de chaleur (à l'excl. des chauffe-eau à chauffage instantané ou à accumulation, des chaudières de chauffage central et des appareils dans lesquels l'échange thermique ne s'effectue pas à travers une paroi)")</f>
        <v>Echangeurs de chaleur (à l'excl. des chauffe-eau à chauffage instantané ou à accumulation, des chaudières de chauffage central et des appareils dans lesquels l'échange thermique ne s'effectue pas à travers une paroi)</v>
      </c>
    </row>
    <row r="10829" spans="1:4" x14ac:dyDescent="0.25">
      <c r="A10829" t="str">
        <f>T("   ZZZ_Monde")</f>
        <v xml:space="preserve">   ZZZ_Monde</v>
      </c>
      <c r="B10829" t="str">
        <f>T("   ZZZ_Monde")</f>
        <v xml:space="preserve">   ZZZ_Monde</v>
      </c>
      <c r="C10829">
        <v>33681047</v>
      </c>
      <c r="D10829">
        <v>1026</v>
      </c>
    </row>
    <row r="10830" spans="1:4" x14ac:dyDescent="0.25">
      <c r="A10830" t="str">
        <f>T("   DE")</f>
        <v xml:space="preserve">   DE</v>
      </c>
      <c r="B10830" t="str">
        <f>T("   Allemagne")</f>
        <v xml:space="preserve">   Allemagne</v>
      </c>
      <c r="C10830">
        <v>17681297</v>
      </c>
      <c r="D10830">
        <v>429</v>
      </c>
    </row>
    <row r="10831" spans="1:4" x14ac:dyDescent="0.25">
      <c r="A10831" t="str">
        <f>T("   FR")</f>
        <v xml:space="preserve">   FR</v>
      </c>
      <c r="B10831" t="str">
        <f>T("   France")</f>
        <v xml:space="preserve">   France</v>
      </c>
      <c r="C10831">
        <v>15999750</v>
      </c>
      <c r="D10831">
        <v>597</v>
      </c>
    </row>
    <row r="10832" spans="1:4" x14ac:dyDescent="0.25">
      <c r="A10832" t="str">
        <f>T("841981")</f>
        <v>841981</v>
      </c>
      <c r="B10832" t="str">
        <f>T("Appareils et dispositifs pour la préparation de boissons chaudes ou la cuisson ou le chauffage des aliments (sauf appareils domestiques)")</f>
        <v>Appareils et dispositifs pour la préparation de boissons chaudes ou la cuisson ou le chauffage des aliments (sauf appareils domestiques)</v>
      </c>
    </row>
    <row r="10833" spans="1:4" x14ac:dyDescent="0.25">
      <c r="A10833" t="str">
        <f>T("   ZZZ_Monde")</f>
        <v xml:space="preserve">   ZZZ_Monde</v>
      </c>
      <c r="B10833" t="str">
        <f>T("   ZZZ_Monde")</f>
        <v xml:space="preserve">   ZZZ_Monde</v>
      </c>
      <c r="C10833">
        <v>27546636</v>
      </c>
      <c r="D10833">
        <v>1971</v>
      </c>
    </row>
    <row r="10834" spans="1:4" x14ac:dyDescent="0.25">
      <c r="A10834" t="str">
        <f>T("   CN")</f>
        <v xml:space="preserve">   CN</v>
      </c>
      <c r="B10834" t="str">
        <f>T("   Chine")</f>
        <v xml:space="preserve">   Chine</v>
      </c>
      <c r="C10834">
        <v>1114009</v>
      </c>
      <c r="D10834">
        <v>210</v>
      </c>
    </row>
    <row r="10835" spans="1:4" x14ac:dyDescent="0.25">
      <c r="A10835" t="str">
        <f>T("   US")</f>
        <v xml:space="preserve">   US</v>
      </c>
      <c r="B10835" t="str">
        <f>T("   Etats-Unis")</f>
        <v xml:space="preserve">   Etats-Unis</v>
      </c>
      <c r="C10835">
        <v>26432627</v>
      </c>
      <c r="D10835">
        <v>1761</v>
      </c>
    </row>
    <row r="10836" spans="1:4" x14ac:dyDescent="0.25">
      <c r="A10836" t="str">
        <f>T("841989")</f>
        <v>841989</v>
      </c>
      <c r="B10836" t="str">
        <f>T("Appareils et dispositifs, même chauffés électriquement, pour le traitement de matières par des opérations impliquant un changement de température telles que le chauffage, la cuisson, la torréfaction, la stérilisation, la pasteurisation, l'étuvage,  l'évap")</f>
        <v>Appareils et dispositifs, même chauffés électriquement, pour le traitement de matières par des opérations impliquant un changement de température telles que le chauffage, la cuisson, la torréfaction, la stérilisation, la pasteurisation, l'étuvage,  l'évap</v>
      </c>
    </row>
    <row r="10837" spans="1:4" x14ac:dyDescent="0.25">
      <c r="A10837" t="str">
        <f>T("   ZZZ_Monde")</f>
        <v xml:space="preserve">   ZZZ_Monde</v>
      </c>
      <c r="B10837" t="str">
        <f>T("   ZZZ_Monde")</f>
        <v xml:space="preserve">   ZZZ_Monde</v>
      </c>
      <c r="C10837">
        <v>147906979</v>
      </c>
      <c r="D10837">
        <v>12635</v>
      </c>
    </row>
    <row r="10838" spans="1:4" x14ac:dyDescent="0.25">
      <c r="A10838" t="str">
        <f>T("   CN")</f>
        <v xml:space="preserve">   CN</v>
      </c>
      <c r="B10838" t="str">
        <f>T("   Chine")</f>
        <v xml:space="preserve">   Chine</v>
      </c>
      <c r="C10838">
        <v>2756501</v>
      </c>
      <c r="D10838">
        <v>1643</v>
      </c>
    </row>
    <row r="10839" spans="1:4" x14ac:dyDescent="0.25">
      <c r="A10839" t="str">
        <f>T("   DE")</f>
        <v xml:space="preserve">   DE</v>
      </c>
      <c r="B10839" t="str">
        <f>T("   Allemagne")</f>
        <v xml:space="preserve">   Allemagne</v>
      </c>
      <c r="C10839">
        <v>20866757</v>
      </c>
      <c r="D10839">
        <v>1078</v>
      </c>
    </row>
    <row r="10840" spans="1:4" x14ac:dyDescent="0.25">
      <c r="A10840" t="str">
        <f>T("   FR")</f>
        <v xml:space="preserve">   FR</v>
      </c>
      <c r="B10840" t="str">
        <f>T("   France")</f>
        <v xml:space="preserve">   France</v>
      </c>
      <c r="C10840">
        <v>82471967</v>
      </c>
      <c r="D10840">
        <v>4299</v>
      </c>
    </row>
    <row r="10841" spans="1:4" x14ac:dyDescent="0.25">
      <c r="A10841" t="str">
        <f>T("   GB")</f>
        <v xml:space="preserve">   GB</v>
      </c>
      <c r="B10841" t="str">
        <f>T("   Royaume-Uni")</f>
        <v xml:space="preserve">   Royaume-Uni</v>
      </c>
      <c r="C10841">
        <v>100000</v>
      </c>
      <c r="D10841">
        <v>100</v>
      </c>
    </row>
    <row r="10842" spans="1:4" x14ac:dyDescent="0.25">
      <c r="A10842" t="str">
        <f>T("   IN")</f>
        <v xml:space="preserve">   IN</v>
      </c>
      <c r="B10842" t="str">
        <f>T("   Inde")</f>
        <v xml:space="preserve">   Inde</v>
      </c>
      <c r="C10842">
        <v>1133917</v>
      </c>
      <c r="D10842">
        <v>2088</v>
      </c>
    </row>
    <row r="10843" spans="1:4" x14ac:dyDescent="0.25">
      <c r="A10843" t="str">
        <f>T("   IT")</f>
        <v xml:space="preserve">   IT</v>
      </c>
      <c r="B10843" t="str">
        <f>T("   Italie")</f>
        <v xml:space="preserve">   Italie</v>
      </c>
      <c r="C10843">
        <v>40577837</v>
      </c>
      <c r="D10843">
        <v>3427</v>
      </c>
    </row>
    <row r="10844" spans="1:4" x14ac:dyDescent="0.25">
      <c r="A10844" t="str">
        <f>T("841990")</f>
        <v>841990</v>
      </c>
      <c r="B10844" t="str">
        <f>T("Parties d'appareils et dispositifs, même chauffés électriquement, pour le traitement de matières par des opérations impliquant un changement de température, ainsi que de chauffe-eau non-électriques à chauffage instantané ou à accumulation, n.d.a.")</f>
        <v>Parties d'appareils et dispositifs, même chauffés électriquement, pour le traitement de matières par des opérations impliquant un changement de température, ainsi que de chauffe-eau non-électriques à chauffage instantané ou à accumulation, n.d.a.</v>
      </c>
    </row>
    <row r="10845" spans="1:4" x14ac:dyDescent="0.25">
      <c r="A10845" t="str">
        <f>T("   ZZZ_Monde")</f>
        <v xml:space="preserve">   ZZZ_Monde</v>
      </c>
      <c r="B10845" t="str">
        <f>T("   ZZZ_Monde")</f>
        <v xml:space="preserve">   ZZZ_Monde</v>
      </c>
      <c r="C10845">
        <v>36557190</v>
      </c>
      <c r="D10845">
        <v>4414</v>
      </c>
    </row>
    <row r="10846" spans="1:4" x14ac:dyDescent="0.25">
      <c r="A10846" t="str">
        <f>T("   BE")</f>
        <v xml:space="preserve">   BE</v>
      </c>
      <c r="B10846" t="str">
        <f>T("   Belgique")</f>
        <v xml:space="preserve">   Belgique</v>
      </c>
      <c r="C10846">
        <v>4318841</v>
      </c>
      <c r="D10846">
        <v>130</v>
      </c>
    </row>
    <row r="10847" spans="1:4" x14ac:dyDescent="0.25">
      <c r="A10847" t="str">
        <f>T("   CH")</f>
        <v xml:space="preserve">   CH</v>
      </c>
      <c r="B10847" t="str">
        <f>T("   Suisse")</f>
        <v xml:space="preserve">   Suisse</v>
      </c>
      <c r="C10847">
        <v>3015330</v>
      </c>
      <c r="D10847">
        <v>260</v>
      </c>
    </row>
    <row r="10848" spans="1:4" x14ac:dyDescent="0.25">
      <c r="A10848" t="str">
        <f>T("   FR")</f>
        <v xml:space="preserve">   FR</v>
      </c>
      <c r="B10848" t="str">
        <f>T("   France")</f>
        <v xml:space="preserve">   France</v>
      </c>
      <c r="C10848">
        <v>29223019</v>
      </c>
      <c r="D10848">
        <v>4024</v>
      </c>
    </row>
    <row r="10849" spans="1:4" x14ac:dyDescent="0.25">
      <c r="A10849" t="str">
        <f>T("842099")</f>
        <v>842099</v>
      </c>
      <c r="B10849" t="str">
        <f>T("Parties de calandres et laminoirs (autres que pour les métaux ou le verre et autres que les cylindres), n.d.a.")</f>
        <v>Parties de calandres et laminoirs (autres que pour les métaux ou le verre et autres que les cylindres), n.d.a.</v>
      </c>
    </row>
    <row r="10850" spans="1:4" x14ac:dyDescent="0.25">
      <c r="A10850" t="str">
        <f>T("   ZZZ_Monde")</f>
        <v xml:space="preserve">   ZZZ_Monde</v>
      </c>
      <c r="B10850" t="str">
        <f>T("   ZZZ_Monde")</f>
        <v xml:space="preserve">   ZZZ_Monde</v>
      </c>
      <c r="C10850">
        <v>2768000</v>
      </c>
      <c r="D10850">
        <v>800</v>
      </c>
    </row>
    <row r="10851" spans="1:4" x14ac:dyDescent="0.25">
      <c r="A10851" t="str">
        <f>T("   FR")</f>
        <v xml:space="preserve">   FR</v>
      </c>
      <c r="B10851" t="str">
        <f>T("   France")</f>
        <v xml:space="preserve">   France</v>
      </c>
      <c r="C10851">
        <v>2768000</v>
      </c>
      <c r="D10851">
        <v>800</v>
      </c>
    </row>
    <row r="10852" spans="1:4" x14ac:dyDescent="0.25">
      <c r="A10852" t="str">
        <f>T("842119")</f>
        <v>842119</v>
      </c>
      <c r="B10852" t="str">
        <f>T("Centrifugeuses, y.c. les essoreuses centrifuges (autres que pour la séparation isotopique et sauf écrémeuses et essoreuses à linge)")</f>
        <v>Centrifugeuses, y.c. les essoreuses centrifuges (autres que pour la séparation isotopique et sauf écrémeuses et essoreuses à linge)</v>
      </c>
    </row>
    <row r="10853" spans="1:4" x14ac:dyDescent="0.25">
      <c r="A10853" t="str">
        <f>T("   ZZZ_Monde")</f>
        <v xml:space="preserve">   ZZZ_Monde</v>
      </c>
      <c r="B10853" t="str">
        <f>T("   ZZZ_Monde")</f>
        <v xml:space="preserve">   ZZZ_Monde</v>
      </c>
      <c r="C10853">
        <v>78501357</v>
      </c>
      <c r="D10853">
        <v>6191</v>
      </c>
    </row>
    <row r="10854" spans="1:4" x14ac:dyDescent="0.25">
      <c r="A10854" t="str">
        <f>T("   FR")</f>
        <v xml:space="preserve">   FR</v>
      </c>
      <c r="B10854" t="str">
        <f>T("   France")</f>
        <v xml:space="preserve">   France</v>
      </c>
      <c r="C10854">
        <v>78501357</v>
      </c>
      <c r="D10854">
        <v>6191</v>
      </c>
    </row>
    <row r="10855" spans="1:4" x14ac:dyDescent="0.25">
      <c r="A10855" t="str">
        <f>T("842121")</f>
        <v>842121</v>
      </c>
      <c r="B10855" t="str">
        <f>T("Appareils pour la filtration ou l'épuration des eaux")</f>
        <v>Appareils pour la filtration ou l'épuration des eaux</v>
      </c>
    </row>
    <row r="10856" spans="1:4" x14ac:dyDescent="0.25">
      <c r="A10856" t="str">
        <f>T("   ZZZ_Monde")</f>
        <v xml:space="preserve">   ZZZ_Monde</v>
      </c>
      <c r="B10856" t="str">
        <f>T("   ZZZ_Monde")</f>
        <v xml:space="preserve">   ZZZ_Monde</v>
      </c>
      <c r="C10856">
        <v>238123340</v>
      </c>
      <c r="D10856">
        <v>20579</v>
      </c>
    </row>
    <row r="10857" spans="1:4" x14ac:dyDescent="0.25">
      <c r="A10857" t="str">
        <f>T("   AE")</f>
        <v xml:space="preserve">   AE</v>
      </c>
      <c r="B10857" t="str">
        <f>T("   Emirats Arabes Unis")</f>
        <v xml:space="preserve">   Emirats Arabes Unis</v>
      </c>
      <c r="C10857">
        <v>20478</v>
      </c>
      <c r="D10857">
        <v>500</v>
      </c>
    </row>
    <row r="10858" spans="1:4" x14ac:dyDescent="0.25">
      <c r="A10858" t="str">
        <f>T("   CN")</f>
        <v xml:space="preserve">   CN</v>
      </c>
      <c r="B10858" t="str">
        <f>T("   Chine")</f>
        <v xml:space="preserve">   Chine</v>
      </c>
      <c r="C10858">
        <v>3468878</v>
      </c>
      <c r="D10858">
        <v>2407</v>
      </c>
    </row>
    <row r="10859" spans="1:4" x14ac:dyDescent="0.25">
      <c r="A10859" t="str">
        <f>T("   DE")</f>
        <v xml:space="preserve">   DE</v>
      </c>
      <c r="B10859" t="str">
        <f>T("   Allemagne")</f>
        <v xml:space="preserve">   Allemagne</v>
      </c>
      <c r="C10859">
        <v>179058818</v>
      </c>
      <c r="D10859">
        <v>7990</v>
      </c>
    </row>
    <row r="10860" spans="1:4" x14ac:dyDescent="0.25">
      <c r="A10860" t="str">
        <f>T("   ES")</f>
        <v xml:space="preserve">   ES</v>
      </c>
      <c r="B10860" t="str">
        <f>T("   Espagne")</f>
        <v xml:space="preserve">   Espagne</v>
      </c>
      <c r="C10860">
        <v>1774201</v>
      </c>
      <c r="D10860">
        <v>708</v>
      </c>
    </row>
    <row r="10861" spans="1:4" x14ac:dyDescent="0.25">
      <c r="A10861" t="str">
        <f>T("   FR")</f>
        <v xml:space="preserve">   FR</v>
      </c>
      <c r="B10861" t="str">
        <f>T("   France")</f>
        <v xml:space="preserve">   France</v>
      </c>
      <c r="C10861">
        <v>50118126</v>
      </c>
      <c r="D10861">
        <v>5512</v>
      </c>
    </row>
    <row r="10862" spans="1:4" x14ac:dyDescent="0.25">
      <c r="A10862" t="str">
        <f>T("   IN")</f>
        <v xml:space="preserve">   IN</v>
      </c>
      <c r="B10862" t="str">
        <f>T("   Inde")</f>
        <v xml:space="preserve">   Inde</v>
      </c>
      <c r="C10862">
        <v>1853849</v>
      </c>
      <c r="D10862">
        <v>3162</v>
      </c>
    </row>
    <row r="10863" spans="1:4" x14ac:dyDescent="0.25">
      <c r="A10863" t="str">
        <f>T("   NG")</f>
        <v xml:space="preserve">   NG</v>
      </c>
      <c r="B10863" t="str">
        <f>T("   Nigéria")</f>
        <v xml:space="preserve">   Nigéria</v>
      </c>
      <c r="C10863">
        <v>40000</v>
      </c>
      <c r="D10863">
        <v>50</v>
      </c>
    </row>
    <row r="10864" spans="1:4" x14ac:dyDescent="0.25">
      <c r="A10864" t="str">
        <f>T("   TR")</f>
        <v xml:space="preserve">   TR</v>
      </c>
      <c r="B10864" t="str">
        <f>T("   Turquie")</f>
        <v xml:space="preserve">   Turquie</v>
      </c>
      <c r="C10864">
        <v>450645</v>
      </c>
      <c r="D10864">
        <v>80</v>
      </c>
    </row>
    <row r="10865" spans="1:4" x14ac:dyDescent="0.25">
      <c r="A10865" t="str">
        <f>T("   US")</f>
        <v xml:space="preserve">   US</v>
      </c>
      <c r="B10865" t="str">
        <f>T("   Etats-Unis")</f>
        <v xml:space="preserve">   Etats-Unis</v>
      </c>
      <c r="C10865">
        <v>1338345</v>
      </c>
      <c r="D10865">
        <v>170</v>
      </c>
    </row>
    <row r="10866" spans="1:4" x14ac:dyDescent="0.25">
      <c r="A10866" t="str">
        <f>T("842122")</f>
        <v>842122</v>
      </c>
      <c r="B10866" t="str">
        <f>T("Appareils pour la filtration ou l'épuration des boissons (autres que l'eau)")</f>
        <v>Appareils pour la filtration ou l'épuration des boissons (autres que l'eau)</v>
      </c>
    </row>
    <row r="10867" spans="1:4" x14ac:dyDescent="0.25">
      <c r="A10867" t="str">
        <f>T("   ZZZ_Monde")</f>
        <v xml:space="preserve">   ZZZ_Monde</v>
      </c>
      <c r="B10867" t="str">
        <f>T("   ZZZ_Monde")</f>
        <v xml:space="preserve">   ZZZ_Monde</v>
      </c>
      <c r="C10867">
        <v>586135</v>
      </c>
      <c r="D10867">
        <v>17</v>
      </c>
    </row>
    <row r="10868" spans="1:4" x14ac:dyDescent="0.25">
      <c r="A10868" t="str">
        <f>T("   US")</f>
        <v xml:space="preserve">   US</v>
      </c>
      <c r="B10868" t="str">
        <f>T("   Etats-Unis")</f>
        <v xml:space="preserve">   Etats-Unis</v>
      </c>
      <c r="C10868">
        <v>586135</v>
      </c>
      <c r="D10868">
        <v>17</v>
      </c>
    </row>
    <row r="10869" spans="1:4" x14ac:dyDescent="0.25">
      <c r="A10869" t="str">
        <f>T("842123")</f>
        <v>842123</v>
      </c>
      <c r="B10869" t="str">
        <f>T("Appareils pour la filtration des huiles minérales et carburants pour les moteurs à allumage par étincelles ou par compression")</f>
        <v>Appareils pour la filtration des huiles minérales et carburants pour les moteurs à allumage par étincelles ou par compression</v>
      </c>
    </row>
    <row r="10870" spans="1:4" x14ac:dyDescent="0.25">
      <c r="A10870" t="str">
        <f>T("   ZZZ_Monde")</f>
        <v xml:space="preserve">   ZZZ_Monde</v>
      </c>
      <c r="B10870" t="str">
        <f>T("   ZZZ_Monde")</f>
        <v xml:space="preserve">   ZZZ_Monde</v>
      </c>
      <c r="C10870">
        <v>163840864</v>
      </c>
      <c r="D10870">
        <v>33070.43</v>
      </c>
    </row>
    <row r="10871" spans="1:4" x14ac:dyDescent="0.25">
      <c r="A10871" t="str">
        <f>T("   BE")</f>
        <v xml:space="preserve">   BE</v>
      </c>
      <c r="B10871" t="str">
        <f>T("   Belgique")</f>
        <v xml:space="preserve">   Belgique</v>
      </c>
      <c r="C10871">
        <v>1087214</v>
      </c>
      <c r="D10871">
        <v>41</v>
      </c>
    </row>
    <row r="10872" spans="1:4" x14ac:dyDescent="0.25">
      <c r="A10872" t="str">
        <f>T("   CH")</f>
        <v xml:space="preserve">   CH</v>
      </c>
      <c r="B10872" t="str">
        <f>T("   Suisse")</f>
        <v xml:space="preserve">   Suisse</v>
      </c>
      <c r="C10872">
        <v>95114</v>
      </c>
      <c r="D10872">
        <v>10</v>
      </c>
    </row>
    <row r="10873" spans="1:4" x14ac:dyDescent="0.25">
      <c r="A10873" t="str">
        <f>T("   CN")</f>
        <v xml:space="preserve">   CN</v>
      </c>
      <c r="B10873" t="str">
        <f>T("   Chine")</f>
        <v xml:space="preserve">   Chine</v>
      </c>
      <c r="C10873">
        <v>1896904</v>
      </c>
      <c r="D10873">
        <v>10636</v>
      </c>
    </row>
    <row r="10874" spans="1:4" x14ac:dyDescent="0.25">
      <c r="A10874" t="str">
        <f>T("   CZ")</f>
        <v xml:space="preserve">   CZ</v>
      </c>
      <c r="B10874" t="str">
        <f>T("   Tchèque, République")</f>
        <v xml:space="preserve">   Tchèque, République</v>
      </c>
      <c r="C10874">
        <v>228274</v>
      </c>
      <c r="D10874">
        <v>14</v>
      </c>
    </row>
    <row r="10875" spans="1:4" x14ac:dyDescent="0.25">
      <c r="A10875" t="str">
        <f>T("   DE")</f>
        <v xml:space="preserve">   DE</v>
      </c>
      <c r="B10875" t="str">
        <f>T("   Allemagne")</f>
        <v xml:space="preserve">   Allemagne</v>
      </c>
      <c r="C10875">
        <v>252472</v>
      </c>
      <c r="D10875">
        <v>12</v>
      </c>
    </row>
    <row r="10876" spans="1:4" x14ac:dyDescent="0.25">
      <c r="A10876" t="str">
        <f>T("   FR")</f>
        <v xml:space="preserve">   FR</v>
      </c>
      <c r="B10876" t="str">
        <f>T("   France")</f>
        <v xml:space="preserve">   France</v>
      </c>
      <c r="C10876">
        <v>147326771</v>
      </c>
      <c r="D10876">
        <v>21475.43</v>
      </c>
    </row>
    <row r="10877" spans="1:4" x14ac:dyDescent="0.25">
      <c r="A10877" t="str">
        <f>T("   IT")</f>
        <v xml:space="preserve">   IT</v>
      </c>
      <c r="B10877" t="str">
        <f>T("   Italie")</f>
        <v xml:space="preserve">   Italie</v>
      </c>
      <c r="C10877">
        <v>38046</v>
      </c>
      <c r="D10877">
        <v>6</v>
      </c>
    </row>
    <row r="10878" spans="1:4" x14ac:dyDescent="0.25">
      <c r="A10878" t="str">
        <f>T("   NG")</f>
        <v xml:space="preserve">   NG</v>
      </c>
      <c r="B10878" t="str">
        <f>T("   Nigéria")</f>
        <v xml:space="preserve">   Nigéria</v>
      </c>
      <c r="C10878">
        <v>1733702</v>
      </c>
      <c r="D10878">
        <v>133</v>
      </c>
    </row>
    <row r="10879" spans="1:4" x14ac:dyDescent="0.25">
      <c r="A10879" t="str">
        <f>T("   NL")</f>
        <v xml:space="preserve">   NL</v>
      </c>
      <c r="B10879" t="str">
        <f>T("   Pays-bas")</f>
        <v xml:space="preserve">   Pays-bas</v>
      </c>
      <c r="C10879">
        <v>129880</v>
      </c>
      <c r="D10879">
        <v>4</v>
      </c>
    </row>
    <row r="10880" spans="1:4" x14ac:dyDescent="0.25">
      <c r="A10880" t="str">
        <f>T("   NO")</f>
        <v xml:space="preserve">   NO</v>
      </c>
      <c r="B10880" t="str">
        <f>T("   Norvège")</f>
        <v xml:space="preserve">   Norvège</v>
      </c>
      <c r="C10880">
        <v>320121</v>
      </c>
      <c r="D10880">
        <v>19</v>
      </c>
    </row>
    <row r="10881" spans="1:4" x14ac:dyDescent="0.25">
      <c r="A10881" t="str">
        <f>T("   SE")</f>
        <v xml:space="preserve">   SE</v>
      </c>
      <c r="B10881" t="str">
        <f>T("   Suède")</f>
        <v xml:space="preserve">   Suède</v>
      </c>
      <c r="C10881">
        <v>1546747</v>
      </c>
      <c r="D10881">
        <v>394</v>
      </c>
    </row>
    <row r="10882" spans="1:4" x14ac:dyDescent="0.25">
      <c r="A10882" t="str">
        <f>T("   US")</f>
        <v xml:space="preserve">   US</v>
      </c>
      <c r="B10882" t="str">
        <f>T("   Etats-Unis")</f>
        <v xml:space="preserve">   Etats-Unis</v>
      </c>
      <c r="C10882">
        <v>8970391</v>
      </c>
      <c r="D10882">
        <v>311</v>
      </c>
    </row>
    <row r="10883" spans="1:4" x14ac:dyDescent="0.25">
      <c r="A10883" t="str">
        <f>T("   ZA")</f>
        <v xml:space="preserve">   ZA</v>
      </c>
      <c r="B10883" t="str">
        <f>T("   Afrique du Sud")</f>
        <v xml:space="preserve">   Afrique du Sud</v>
      </c>
      <c r="C10883">
        <v>215228</v>
      </c>
      <c r="D10883">
        <v>15</v>
      </c>
    </row>
    <row r="10884" spans="1:4" x14ac:dyDescent="0.25">
      <c r="A10884" t="str">
        <f>T("842129")</f>
        <v>842129</v>
      </c>
      <c r="B10884" t="str">
        <f>T("Appareils pour la filtration ou l'épuration des liquides (à l'excl. de l'eau ou des boissons, des huiles minérales et carburants pour les moteurs à allumage par étincelles ou par compression ainsi que les reins artificiels)")</f>
        <v>Appareils pour la filtration ou l'épuration des liquides (à l'excl. de l'eau ou des boissons, des huiles minérales et carburants pour les moteurs à allumage par étincelles ou par compression ainsi que les reins artificiels)</v>
      </c>
    </row>
    <row r="10885" spans="1:4" x14ac:dyDescent="0.25">
      <c r="A10885" t="str">
        <f>T("   ZZZ_Monde")</f>
        <v xml:space="preserve">   ZZZ_Monde</v>
      </c>
      <c r="B10885" t="str">
        <f>T("   ZZZ_Monde")</f>
        <v xml:space="preserve">   ZZZ_Monde</v>
      </c>
      <c r="C10885">
        <v>93921350</v>
      </c>
      <c r="D10885">
        <v>9396.6</v>
      </c>
    </row>
    <row r="10886" spans="1:4" x14ac:dyDescent="0.25">
      <c r="A10886" t="str">
        <f>T("   AT")</f>
        <v xml:space="preserve">   AT</v>
      </c>
      <c r="B10886" t="str">
        <f>T("   Autriche")</f>
        <v xml:space="preserve">   Autriche</v>
      </c>
      <c r="C10886">
        <v>23615308</v>
      </c>
      <c r="D10886">
        <v>534</v>
      </c>
    </row>
    <row r="10887" spans="1:4" x14ac:dyDescent="0.25">
      <c r="A10887" t="str">
        <f>T("   BE")</f>
        <v xml:space="preserve">   BE</v>
      </c>
      <c r="B10887" t="str">
        <f>T("   Belgique")</f>
        <v xml:space="preserve">   Belgique</v>
      </c>
      <c r="C10887">
        <v>5749835</v>
      </c>
      <c r="D10887">
        <v>233</v>
      </c>
    </row>
    <row r="10888" spans="1:4" x14ac:dyDescent="0.25">
      <c r="A10888" t="str">
        <f>T("   CN")</f>
        <v xml:space="preserve">   CN</v>
      </c>
      <c r="B10888" t="str">
        <f>T("   Chine")</f>
        <v xml:space="preserve">   Chine</v>
      </c>
      <c r="C10888">
        <v>1654865</v>
      </c>
      <c r="D10888">
        <v>1467</v>
      </c>
    </row>
    <row r="10889" spans="1:4" x14ac:dyDescent="0.25">
      <c r="A10889" t="str">
        <f>T("   FR")</f>
        <v xml:space="preserve">   FR</v>
      </c>
      <c r="B10889" t="str">
        <f>T("   France")</f>
        <v xml:space="preserve">   France</v>
      </c>
      <c r="C10889">
        <v>57536199</v>
      </c>
      <c r="D10889">
        <v>6726</v>
      </c>
    </row>
    <row r="10890" spans="1:4" x14ac:dyDescent="0.25">
      <c r="A10890" t="str">
        <f>T("   GH")</f>
        <v xml:space="preserve">   GH</v>
      </c>
      <c r="B10890" t="str">
        <f>T("   Ghana")</f>
        <v xml:space="preserve">   Ghana</v>
      </c>
      <c r="C10890">
        <v>596799</v>
      </c>
      <c r="D10890">
        <v>88.6</v>
      </c>
    </row>
    <row r="10891" spans="1:4" x14ac:dyDescent="0.25">
      <c r="A10891" t="str">
        <f>T("   HK")</f>
        <v xml:space="preserve">   HK</v>
      </c>
      <c r="B10891" t="str">
        <f>T("   Hong-Kong")</f>
        <v xml:space="preserve">   Hong-Kong</v>
      </c>
      <c r="C10891">
        <v>2331817</v>
      </c>
      <c r="D10891">
        <v>160</v>
      </c>
    </row>
    <row r="10892" spans="1:4" x14ac:dyDescent="0.25">
      <c r="A10892" t="str">
        <f>T("   IT")</f>
        <v xml:space="preserve">   IT</v>
      </c>
      <c r="B10892" t="str">
        <f>T("   Italie")</f>
        <v xml:space="preserve">   Italie</v>
      </c>
      <c r="C10892">
        <v>614831</v>
      </c>
      <c r="D10892">
        <v>6</v>
      </c>
    </row>
    <row r="10893" spans="1:4" x14ac:dyDescent="0.25">
      <c r="A10893" t="str">
        <f>T("   LB")</f>
        <v xml:space="preserve">   LB</v>
      </c>
      <c r="B10893" t="str">
        <f>T("   Liban")</f>
        <v xml:space="preserve">   Liban</v>
      </c>
      <c r="C10893">
        <v>49311</v>
      </c>
      <c r="D10893">
        <v>138</v>
      </c>
    </row>
    <row r="10894" spans="1:4" x14ac:dyDescent="0.25">
      <c r="A10894" t="str">
        <f>T("   NL")</f>
        <v xml:space="preserve">   NL</v>
      </c>
      <c r="B10894" t="str">
        <f>T("   Pays-bas")</f>
        <v xml:space="preserve">   Pays-bas</v>
      </c>
      <c r="C10894">
        <v>147401</v>
      </c>
      <c r="D10894">
        <v>6</v>
      </c>
    </row>
    <row r="10895" spans="1:4" x14ac:dyDescent="0.25">
      <c r="A10895" t="str">
        <f>T("   US")</f>
        <v xml:space="preserve">   US</v>
      </c>
      <c r="B10895" t="str">
        <f>T("   Etats-Unis")</f>
        <v xml:space="preserve">   Etats-Unis</v>
      </c>
      <c r="C10895">
        <v>1624984</v>
      </c>
      <c r="D10895">
        <v>38</v>
      </c>
    </row>
    <row r="10896" spans="1:4" x14ac:dyDescent="0.25">
      <c r="A10896" t="str">
        <f>T("842131")</f>
        <v>842131</v>
      </c>
      <c r="B10896" t="str">
        <f>T("Filtres d'entrée d'air pour moteurs à allumage par étincelles ou par compression")</f>
        <v>Filtres d'entrée d'air pour moteurs à allumage par étincelles ou par compression</v>
      </c>
    </row>
    <row r="10897" spans="1:4" x14ac:dyDescent="0.25">
      <c r="A10897" t="str">
        <f>T("   ZZZ_Monde")</f>
        <v xml:space="preserve">   ZZZ_Monde</v>
      </c>
      <c r="B10897" t="str">
        <f>T("   ZZZ_Monde")</f>
        <v xml:space="preserve">   ZZZ_Monde</v>
      </c>
      <c r="C10897">
        <v>53290297</v>
      </c>
      <c r="D10897">
        <v>6002.5</v>
      </c>
    </row>
    <row r="10898" spans="1:4" x14ac:dyDescent="0.25">
      <c r="A10898" t="str">
        <f>T("   DE")</f>
        <v xml:space="preserve">   DE</v>
      </c>
      <c r="B10898" t="str">
        <f>T("   Allemagne")</f>
        <v xml:space="preserve">   Allemagne</v>
      </c>
      <c r="C10898">
        <v>2723546</v>
      </c>
      <c r="D10898">
        <v>176</v>
      </c>
    </row>
    <row r="10899" spans="1:4" x14ac:dyDescent="0.25">
      <c r="A10899" t="str">
        <f>T("   FR")</f>
        <v xml:space="preserve">   FR</v>
      </c>
      <c r="B10899" t="str">
        <f>T("   France")</f>
        <v xml:space="preserve">   France</v>
      </c>
      <c r="C10899">
        <v>39909197</v>
      </c>
      <c r="D10899">
        <v>5068</v>
      </c>
    </row>
    <row r="10900" spans="1:4" x14ac:dyDescent="0.25">
      <c r="A10900" t="str">
        <f>T("   GB")</f>
        <v xml:space="preserve">   GB</v>
      </c>
      <c r="B10900" t="str">
        <f>T("   Royaume-Uni")</f>
        <v xml:space="preserve">   Royaume-Uni</v>
      </c>
      <c r="C10900">
        <v>3538760</v>
      </c>
      <c r="D10900">
        <v>147</v>
      </c>
    </row>
    <row r="10901" spans="1:4" x14ac:dyDescent="0.25">
      <c r="A10901" t="str">
        <f>T("   JP")</f>
        <v xml:space="preserve">   JP</v>
      </c>
      <c r="B10901" t="str">
        <f>T("   Japon")</f>
        <v xml:space="preserve">   Japon</v>
      </c>
      <c r="C10901">
        <v>222955</v>
      </c>
      <c r="D10901">
        <v>2.5</v>
      </c>
    </row>
    <row r="10902" spans="1:4" x14ac:dyDescent="0.25">
      <c r="A10902" t="str">
        <f>T("   NL")</f>
        <v xml:space="preserve">   NL</v>
      </c>
      <c r="B10902" t="str">
        <f>T("   Pays-bas")</f>
        <v xml:space="preserve">   Pays-bas</v>
      </c>
      <c r="C10902">
        <v>4249696</v>
      </c>
      <c r="D10902">
        <v>478</v>
      </c>
    </row>
    <row r="10903" spans="1:4" x14ac:dyDescent="0.25">
      <c r="A10903" t="str">
        <f>T("   US")</f>
        <v xml:space="preserve">   US</v>
      </c>
      <c r="B10903" t="str">
        <f>T("   Etats-Unis")</f>
        <v xml:space="preserve">   Etats-Unis</v>
      </c>
      <c r="C10903">
        <v>2646143</v>
      </c>
      <c r="D10903">
        <v>131</v>
      </c>
    </row>
    <row r="10904" spans="1:4" x14ac:dyDescent="0.25">
      <c r="A10904" t="str">
        <f>T("842139")</f>
        <v>842139</v>
      </c>
      <c r="B10904" t="str">
        <f>T("Appareils pour la filtration ou l'épuration des gaz (autres que pour la séparation isotopique et sauf les filtres d'entrée d'air pour moteurs à allumage par étincelles ou par compression)")</f>
        <v>Appareils pour la filtration ou l'épuration des gaz (autres que pour la séparation isotopique et sauf les filtres d'entrée d'air pour moteurs à allumage par étincelles ou par compression)</v>
      </c>
    </row>
    <row r="10905" spans="1:4" x14ac:dyDescent="0.25">
      <c r="A10905" t="str">
        <f>T("   ZZZ_Monde")</f>
        <v xml:space="preserve">   ZZZ_Monde</v>
      </c>
      <c r="B10905" t="str">
        <f>T("   ZZZ_Monde")</f>
        <v xml:space="preserve">   ZZZ_Monde</v>
      </c>
      <c r="C10905">
        <v>92846123</v>
      </c>
      <c r="D10905">
        <v>5462.42</v>
      </c>
    </row>
    <row r="10906" spans="1:4" x14ac:dyDescent="0.25">
      <c r="A10906" t="str">
        <f>T("   BE")</f>
        <v xml:space="preserve">   BE</v>
      </c>
      <c r="B10906" t="str">
        <f>T("   Belgique")</f>
        <v xml:space="preserve">   Belgique</v>
      </c>
      <c r="C10906">
        <v>7768341</v>
      </c>
      <c r="D10906">
        <v>912</v>
      </c>
    </row>
    <row r="10907" spans="1:4" x14ac:dyDescent="0.25">
      <c r="A10907" t="str">
        <f>T("   DE")</f>
        <v xml:space="preserve">   DE</v>
      </c>
      <c r="B10907" t="str">
        <f>T("   Allemagne")</f>
        <v xml:space="preserve">   Allemagne</v>
      </c>
      <c r="C10907">
        <v>1273988</v>
      </c>
      <c r="D10907">
        <v>10.42</v>
      </c>
    </row>
    <row r="10908" spans="1:4" x14ac:dyDescent="0.25">
      <c r="A10908" t="str">
        <f>T("   DK")</f>
        <v xml:space="preserve">   DK</v>
      </c>
      <c r="B10908" t="str">
        <f>T("   Danemark")</f>
        <v xml:space="preserve">   Danemark</v>
      </c>
      <c r="C10908">
        <v>587740</v>
      </c>
      <c r="D10908">
        <v>3</v>
      </c>
    </row>
    <row r="10909" spans="1:4" x14ac:dyDescent="0.25">
      <c r="A10909" t="str">
        <f>T("   ES")</f>
        <v xml:space="preserve">   ES</v>
      </c>
      <c r="B10909" t="str">
        <f>T("   Espagne")</f>
        <v xml:space="preserve">   Espagne</v>
      </c>
      <c r="C10909">
        <v>6045328</v>
      </c>
      <c r="D10909">
        <v>207</v>
      </c>
    </row>
    <row r="10910" spans="1:4" x14ac:dyDescent="0.25">
      <c r="A10910" t="str">
        <f>T("   FR")</f>
        <v xml:space="preserve">   FR</v>
      </c>
      <c r="B10910" t="str">
        <f>T("   France")</f>
        <v xml:space="preserve">   France</v>
      </c>
      <c r="C10910">
        <v>66972316</v>
      </c>
      <c r="D10910">
        <v>3733</v>
      </c>
    </row>
    <row r="10911" spans="1:4" x14ac:dyDescent="0.25">
      <c r="A10911" t="str">
        <f>T("   GB")</f>
        <v xml:space="preserve">   GB</v>
      </c>
      <c r="B10911" t="str">
        <f>T("   Royaume-Uni")</f>
        <v xml:space="preserve">   Royaume-Uni</v>
      </c>
      <c r="C10911">
        <v>240495</v>
      </c>
      <c r="D10911">
        <v>11</v>
      </c>
    </row>
    <row r="10912" spans="1:4" x14ac:dyDescent="0.25">
      <c r="A10912" t="str">
        <f>T("   JP")</f>
        <v xml:space="preserve">   JP</v>
      </c>
      <c r="B10912" t="str">
        <f>T("   Japon")</f>
        <v xml:space="preserve">   Japon</v>
      </c>
      <c r="C10912">
        <v>7839031</v>
      </c>
      <c r="D10912">
        <v>483</v>
      </c>
    </row>
    <row r="10913" spans="1:4" x14ac:dyDescent="0.25">
      <c r="A10913" t="str">
        <f>T("   NL")</f>
        <v xml:space="preserve">   NL</v>
      </c>
      <c r="B10913" t="str">
        <f>T("   Pays-bas")</f>
        <v xml:space="preserve">   Pays-bas</v>
      </c>
      <c r="C10913">
        <v>1799862</v>
      </c>
      <c r="D10913">
        <v>100</v>
      </c>
    </row>
    <row r="10914" spans="1:4" x14ac:dyDescent="0.25">
      <c r="A10914" t="str">
        <f>T("   US")</f>
        <v xml:space="preserve">   US</v>
      </c>
      <c r="B10914" t="str">
        <f>T("   Etats-Unis")</f>
        <v xml:space="preserve">   Etats-Unis</v>
      </c>
      <c r="C10914">
        <v>319022</v>
      </c>
      <c r="D10914">
        <v>3</v>
      </c>
    </row>
    <row r="10915" spans="1:4" x14ac:dyDescent="0.25">
      <c r="A10915" t="str">
        <f>T("842191")</f>
        <v>842191</v>
      </c>
      <c r="B10915" t="str">
        <f>T("Parties de centrifugeuses, y.c. d'essoreuses centrifuges, n.d.a.")</f>
        <v>Parties de centrifugeuses, y.c. d'essoreuses centrifuges, n.d.a.</v>
      </c>
    </row>
    <row r="10916" spans="1:4" x14ac:dyDescent="0.25">
      <c r="A10916" t="str">
        <f>T("   ZZZ_Monde")</f>
        <v xml:space="preserve">   ZZZ_Monde</v>
      </c>
      <c r="B10916" t="str">
        <f>T("   ZZZ_Monde")</f>
        <v xml:space="preserve">   ZZZ_Monde</v>
      </c>
      <c r="C10916">
        <v>7040497</v>
      </c>
      <c r="D10916">
        <v>177</v>
      </c>
    </row>
    <row r="10917" spans="1:4" x14ac:dyDescent="0.25">
      <c r="A10917" t="str">
        <f>T("   FR")</f>
        <v xml:space="preserve">   FR</v>
      </c>
      <c r="B10917" t="str">
        <f>T("   France")</f>
        <v xml:space="preserve">   France</v>
      </c>
      <c r="C10917">
        <v>7040497</v>
      </c>
      <c r="D10917">
        <v>177</v>
      </c>
    </row>
    <row r="10918" spans="1:4" x14ac:dyDescent="0.25">
      <c r="A10918" t="str">
        <f>T("842199")</f>
        <v>842199</v>
      </c>
      <c r="B10918" t="str">
        <f>T("Parties d'appareils pour la filtration ou l'épuration des liquides ou des gaz, n.d.a.")</f>
        <v>Parties d'appareils pour la filtration ou l'épuration des liquides ou des gaz, n.d.a.</v>
      </c>
    </row>
    <row r="10919" spans="1:4" x14ac:dyDescent="0.25">
      <c r="A10919" t="str">
        <f>T("   ZZZ_Monde")</f>
        <v xml:space="preserve">   ZZZ_Monde</v>
      </c>
      <c r="B10919" t="str">
        <f>T("   ZZZ_Monde")</f>
        <v xml:space="preserve">   ZZZ_Monde</v>
      </c>
      <c r="C10919">
        <v>55883963</v>
      </c>
      <c r="D10919">
        <v>5264.5</v>
      </c>
    </row>
    <row r="10920" spans="1:4" x14ac:dyDescent="0.25">
      <c r="A10920" t="str">
        <f>T("   CN")</f>
        <v xml:space="preserve">   CN</v>
      </c>
      <c r="B10920" t="str">
        <f>T("   Chine")</f>
        <v xml:space="preserve">   Chine</v>
      </c>
      <c r="C10920">
        <v>750222</v>
      </c>
      <c r="D10920">
        <v>905</v>
      </c>
    </row>
    <row r="10921" spans="1:4" x14ac:dyDescent="0.25">
      <c r="A10921" t="str">
        <f>T("   DE")</f>
        <v xml:space="preserve">   DE</v>
      </c>
      <c r="B10921" t="str">
        <f>T("   Allemagne")</f>
        <v xml:space="preserve">   Allemagne</v>
      </c>
      <c r="C10921">
        <v>155463</v>
      </c>
      <c r="D10921">
        <v>4</v>
      </c>
    </row>
    <row r="10922" spans="1:4" x14ac:dyDescent="0.25">
      <c r="A10922" t="str">
        <f>T("   DK")</f>
        <v xml:space="preserve">   DK</v>
      </c>
      <c r="B10922" t="str">
        <f>T("   Danemark")</f>
        <v xml:space="preserve">   Danemark</v>
      </c>
      <c r="C10922">
        <v>4221503</v>
      </c>
      <c r="D10922">
        <v>125</v>
      </c>
    </row>
    <row r="10923" spans="1:4" x14ac:dyDescent="0.25">
      <c r="A10923" t="str">
        <f>T("   FR")</f>
        <v xml:space="preserve">   FR</v>
      </c>
      <c r="B10923" t="str">
        <f>T("   France")</f>
        <v xml:space="preserve">   France</v>
      </c>
      <c r="C10923">
        <v>47236578</v>
      </c>
      <c r="D10923">
        <v>4042.5</v>
      </c>
    </row>
    <row r="10924" spans="1:4" x14ac:dyDescent="0.25">
      <c r="A10924" t="str">
        <f>T("   IT")</f>
        <v xml:space="preserve">   IT</v>
      </c>
      <c r="B10924" t="str">
        <f>T("   Italie")</f>
        <v xml:space="preserve">   Italie</v>
      </c>
      <c r="C10924">
        <v>162101</v>
      </c>
      <c r="D10924">
        <v>1</v>
      </c>
    </row>
    <row r="10925" spans="1:4" x14ac:dyDescent="0.25">
      <c r="A10925" t="str">
        <f>T("   TR")</f>
        <v xml:space="preserve">   TR</v>
      </c>
      <c r="B10925" t="str">
        <f>T("   Turquie")</f>
        <v xml:space="preserve">   Turquie</v>
      </c>
      <c r="C10925">
        <v>624873</v>
      </c>
      <c r="D10925">
        <v>1</v>
      </c>
    </row>
    <row r="10926" spans="1:4" x14ac:dyDescent="0.25">
      <c r="A10926" t="str">
        <f>T("   UA")</f>
        <v xml:space="preserve">   UA</v>
      </c>
      <c r="B10926" t="str">
        <f>T("   Ukraine")</f>
        <v xml:space="preserve">   Ukraine</v>
      </c>
      <c r="C10926">
        <v>524810</v>
      </c>
      <c r="D10926">
        <v>1</v>
      </c>
    </row>
    <row r="10927" spans="1:4" x14ac:dyDescent="0.25">
      <c r="A10927" t="str">
        <f>T("   US")</f>
        <v xml:space="preserve">   US</v>
      </c>
      <c r="B10927" t="str">
        <f>T("   Etats-Unis")</f>
        <v xml:space="preserve">   Etats-Unis</v>
      </c>
      <c r="C10927">
        <v>2208413</v>
      </c>
      <c r="D10927">
        <v>185</v>
      </c>
    </row>
    <row r="10928" spans="1:4" x14ac:dyDescent="0.25">
      <c r="A10928" t="str">
        <f>T("842211")</f>
        <v>842211</v>
      </c>
      <c r="B10928" t="str">
        <f>T("Machines à laver la vaisselle, de type ménager")</f>
        <v>Machines à laver la vaisselle, de type ménager</v>
      </c>
    </row>
    <row r="10929" spans="1:4" x14ac:dyDescent="0.25">
      <c r="A10929" t="str">
        <f>T("   ZZZ_Monde")</f>
        <v xml:space="preserve">   ZZZ_Monde</v>
      </c>
      <c r="B10929" t="str">
        <f>T("   ZZZ_Monde")</f>
        <v xml:space="preserve">   ZZZ_Monde</v>
      </c>
      <c r="C10929">
        <v>1137553</v>
      </c>
      <c r="D10929">
        <v>439</v>
      </c>
    </row>
    <row r="10930" spans="1:4" x14ac:dyDescent="0.25">
      <c r="A10930" t="str">
        <f>T("   IT")</f>
        <v xml:space="preserve">   IT</v>
      </c>
      <c r="B10930" t="str">
        <f>T("   Italie")</f>
        <v xml:space="preserve">   Italie</v>
      </c>
      <c r="C10930">
        <v>1137553</v>
      </c>
      <c r="D10930">
        <v>439</v>
      </c>
    </row>
    <row r="10931" spans="1:4" x14ac:dyDescent="0.25">
      <c r="A10931" t="str">
        <f>T("842219")</f>
        <v>842219</v>
      </c>
      <c r="B10931" t="str">
        <f>T("Machines à laver la vaisselle (autres que de type ménager)")</f>
        <v>Machines à laver la vaisselle (autres que de type ménager)</v>
      </c>
    </row>
    <row r="10932" spans="1:4" x14ac:dyDescent="0.25">
      <c r="A10932" t="str">
        <f>T("   ZZZ_Monde")</f>
        <v xml:space="preserve">   ZZZ_Monde</v>
      </c>
      <c r="B10932" t="str">
        <f>T("   ZZZ_Monde")</f>
        <v xml:space="preserve">   ZZZ_Monde</v>
      </c>
      <c r="C10932">
        <v>2494443</v>
      </c>
      <c r="D10932">
        <v>6633</v>
      </c>
    </row>
    <row r="10933" spans="1:4" x14ac:dyDescent="0.25">
      <c r="A10933" t="str">
        <f>T("   CN")</f>
        <v xml:space="preserve">   CN</v>
      </c>
      <c r="B10933" t="str">
        <f>T("   Chine")</f>
        <v xml:space="preserve">   Chine</v>
      </c>
      <c r="C10933">
        <v>1006947</v>
      </c>
      <c r="D10933">
        <v>1144</v>
      </c>
    </row>
    <row r="10934" spans="1:4" x14ac:dyDescent="0.25">
      <c r="A10934" t="str">
        <f>T("   FR")</f>
        <v xml:space="preserve">   FR</v>
      </c>
      <c r="B10934" t="str">
        <f>T("   France")</f>
        <v xml:space="preserve">   France</v>
      </c>
      <c r="C10934">
        <v>657272</v>
      </c>
      <c r="D10934">
        <v>289</v>
      </c>
    </row>
    <row r="10935" spans="1:4" x14ac:dyDescent="0.25">
      <c r="A10935" t="str">
        <f>T("   KW")</f>
        <v xml:space="preserve">   KW</v>
      </c>
      <c r="B10935" t="str">
        <f>T("   Koweit")</f>
        <v xml:space="preserve">   Koweit</v>
      </c>
      <c r="C10935">
        <v>293071</v>
      </c>
      <c r="D10935">
        <v>2400</v>
      </c>
    </row>
    <row r="10936" spans="1:4" x14ac:dyDescent="0.25">
      <c r="A10936" t="str">
        <f>T("   TG")</f>
        <v xml:space="preserve">   TG</v>
      </c>
      <c r="B10936" t="str">
        <f>T("   Togo")</f>
        <v xml:space="preserve">   Togo</v>
      </c>
      <c r="C10936">
        <v>537153</v>
      </c>
      <c r="D10936">
        <v>2800</v>
      </c>
    </row>
    <row r="10937" spans="1:4" x14ac:dyDescent="0.25">
      <c r="A10937" t="str">
        <f>T("842220")</f>
        <v>842220</v>
      </c>
      <c r="B10937" t="str">
        <f>T("Machines et appareils à nettoyer ou à sécher les bouteilles ou autres récipients (à l'excl. des machines à laver la vaisselle)")</f>
        <v>Machines et appareils à nettoyer ou à sécher les bouteilles ou autres récipients (à l'excl. des machines à laver la vaisselle)</v>
      </c>
    </row>
    <row r="10938" spans="1:4" x14ac:dyDescent="0.25">
      <c r="A10938" t="str">
        <f>T("   ZZZ_Monde")</f>
        <v xml:space="preserve">   ZZZ_Monde</v>
      </c>
      <c r="B10938" t="str">
        <f>T("   ZZZ_Monde")</f>
        <v xml:space="preserve">   ZZZ_Monde</v>
      </c>
      <c r="C10938">
        <v>858613661</v>
      </c>
      <c r="D10938">
        <v>106422</v>
      </c>
    </row>
    <row r="10939" spans="1:4" x14ac:dyDescent="0.25">
      <c r="A10939" t="str">
        <f>T("   FR")</f>
        <v xml:space="preserve">   FR</v>
      </c>
      <c r="B10939" t="str">
        <f>T("   France")</f>
        <v xml:space="preserve">   France</v>
      </c>
      <c r="C10939">
        <v>858613661</v>
      </c>
      <c r="D10939">
        <v>106422</v>
      </c>
    </row>
    <row r="10940" spans="1:4" x14ac:dyDescent="0.25">
      <c r="A10940" t="str">
        <f>T("842230")</f>
        <v>842230</v>
      </c>
      <c r="B10940" t="str">
        <f>T("Machines et appareils à remplir, fermer, boucher ou étiqueter les bouteilles, boîtes, sacs ou autres contenants; machines et appareils à capsuler les bouteilles, pots, tubes et contenants analogues; appareils à gazéifier les boissons")</f>
        <v>Machines et appareils à remplir, fermer, boucher ou étiqueter les bouteilles, boîtes, sacs ou autres contenants; machines et appareils à capsuler les bouteilles, pots, tubes et contenants analogues; appareils à gazéifier les boissons</v>
      </c>
    </row>
    <row r="10941" spans="1:4" x14ac:dyDescent="0.25">
      <c r="A10941" t="str">
        <f>T("   ZZZ_Monde")</f>
        <v xml:space="preserve">   ZZZ_Monde</v>
      </c>
      <c r="B10941" t="str">
        <f>T("   ZZZ_Monde")</f>
        <v xml:space="preserve">   ZZZ_Monde</v>
      </c>
      <c r="C10941">
        <v>1041893858</v>
      </c>
      <c r="D10941">
        <v>113945</v>
      </c>
    </row>
    <row r="10942" spans="1:4" x14ac:dyDescent="0.25">
      <c r="A10942" t="str">
        <f>T("   BE")</f>
        <v xml:space="preserve">   BE</v>
      </c>
      <c r="B10942" t="str">
        <f>T("   Belgique")</f>
        <v xml:space="preserve">   Belgique</v>
      </c>
      <c r="C10942">
        <v>647146521</v>
      </c>
      <c r="D10942">
        <v>7640</v>
      </c>
    </row>
    <row r="10943" spans="1:4" x14ac:dyDescent="0.25">
      <c r="A10943" t="str">
        <f>T("   CN")</f>
        <v xml:space="preserve">   CN</v>
      </c>
      <c r="B10943" t="str">
        <f>T("   Chine")</f>
        <v xml:space="preserve">   Chine</v>
      </c>
      <c r="C10943">
        <v>27462493</v>
      </c>
      <c r="D10943">
        <v>18755</v>
      </c>
    </row>
    <row r="10944" spans="1:4" x14ac:dyDescent="0.25">
      <c r="A10944" t="str">
        <f>T("   DE")</f>
        <v xml:space="preserve">   DE</v>
      </c>
      <c r="B10944" t="str">
        <f>T("   Allemagne")</f>
        <v xml:space="preserve">   Allemagne</v>
      </c>
      <c r="C10944">
        <v>359940682</v>
      </c>
      <c r="D10944">
        <v>81130</v>
      </c>
    </row>
    <row r="10945" spans="1:4" x14ac:dyDescent="0.25">
      <c r="A10945" t="str">
        <f>T("   IN")</f>
        <v xml:space="preserve">   IN</v>
      </c>
      <c r="B10945" t="str">
        <f>T("   Inde")</f>
        <v xml:space="preserve">   Inde</v>
      </c>
      <c r="C10945">
        <v>1966148</v>
      </c>
      <c r="D10945">
        <v>4050</v>
      </c>
    </row>
    <row r="10946" spans="1:4" x14ac:dyDescent="0.25">
      <c r="A10946" t="str">
        <f>T("   IT")</f>
        <v xml:space="preserve">   IT</v>
      </c>
      <c r="B10946" t="str">
        <f>T("   Italie")</f>
        <v xml:space="preserve">   Italie</v>
      </c>
      <c r="C10946">
        <v>377833</v>
      </c>
      <c r="D10946">
        <v>520</v>
      </c>
    </row>
    <row r="10947" spans="1:4" x14ac:dyDescent="0.25">
      <c r="A10947" t="str">
        <f>T("   NG")</f>
        <v xml:space="preserve">   NG</v>
      </c>
      <c r="B10947" t="str">
        <f>T("   Nigéria")</f>
        <v xml:space="preserve">   Nigéria</v>
      </c>
      <c r="C10947">
        <v>3500000</v>
      </c>
      <c r="D10947">
        <v>1400</v>
      </c>
    </row>
    <row r="10948" spans="1:4" x14ac:dyDescent="0.25">
      <c r="A10948" t="str">
        <f>T("   SN")</f>
        <v xml:space="preserve">   SN</v>
      </c>
      <c r="B10948" t="str">
        <f>T("   Sénégal")</f>
        <v xml:space="preserve">   Sénégal</v>
      </c>
      <c r="C10948">
        <v>1500181</v>
      </c>
      <c r="D10948">
        <v>450</v>
      </c>
    </row>
    <row r="10949" spans="1:4" x14ac:dyDescent="0.25">
      <c r="A10949" t="str">
        <f>T("842240")</f>
        <v>842240</v>
      </c>
      <c r="B10949" t="str">
        <f>T("Machines et appareils à empaqueter ou à emballer les marchandises, y.c. les machines et appareils à emballer sous film thermorétractable (à l'excl. des machines et appareils à remplir, fermer, boucher ou étiqueter les bouteilles, boîtes, sacs ou autres co")</f>
        <v>Machines et appareils à empaqueter ou à emballer les marchandises, y.c. les machines et appareils à emballer sous film thermorétractable (à l'excl. des machines et appareils à remplir, fermer, boucher ou étiqueter les bouteilles, boîtes, sacs ou autres co</v>
      </c>
    </row>
    <row r="10950" spans="1:4" x14ac:dyDescent="0.25">
      <c r="A10950" t="str">
        <f>T("   ZZZ_Monde")</f>
        <v xml:space="preserve">   ZZZ_Monde</v>
      </c>
      <c r="B10950" t="str">
        <f>T("   ZZZ_Monde")</f>
        <v xml:space="preserve">   ZZZ_Monde</v>
      </c>
      <c r="C10950">
        <v>37964953</v>
      </c>
      <c r="D10950">
        <v>12331</v>
      </c>
    </row>
    <row r="10951" spans="1:4" x14ac:dyDescent="0.25">
      <c r="A10951" t="str">
        <f>T("   CN")</f>
        <v xml:space="preserve">   CN</v>
      </c>
      <c r="B10951" t="str">
        <f>T("   Chine")</f>
        <v xml:space="preserve">   Chine</v>
      </c>
      <c r="C10951">
        <v>13496413</v>
      </c>
      <c r="D10951">
        <v>6588</v>
      </c>
    </row>
    <row r="10952" spans="1:4" x14ac:dyDescent="0.25">
      <c r="A10952" t="str">
        <f>T("   DE")</f>
        <v xml:space="preserve">   DE</v>
      </c>
      <c r="B10952" t="str">
        <f>T("   Allemagne")</f>
        <v xml:space="preserve">   Allemagne</v>
      </c>
      <c r="C10952">
        <v>6789303</v>
      </c>
      <c r="D10952">
        <v>250</v>
      </c>
    </row>
    <row r="10953" spans="1:4" x14ac:dyDescent="0.25">
      <c r="A10953" t="str">
        <f>T("   FR")</f>
        <v xml:space="preserve">   FR</v>
      </c>
      <c r="B10953" t="str">
        <f>T("   France")</f>
        <v xml:space="preserve">   France</v>
      </c>
      <c r="C10953">
        <v>5286412</v>
      </c>
      <c r="D10953">
        <v>469</v>
      </c>
    </row>
    <row r="10954" spans="1:4" x14ac:dyDescent="0.25">
      <c r="A10954" t="str">
        <f>T("   IN")</f>
        <v xml:space="preserve">   IN</v>
      </c>
      <c r="B10954" t="str">
        <f>T("   Inde")</f>
        <v xml:space="preserve">   Inde</v>
      </c>
      <c r="C10954">
        <v>10708199</v>
      </c>
      <c r="D10954">
        <v>3500</v>
      </c>
    </row>
    <row r="10955" spans="1:4" x14ac:dyDescent="0.25">
      <c r="A10955" t="str">
        <f>T("   LB")</f>
        <v xml:space="preserve">   LB</v>
      </c>
      <c r="B10955" t="str">
        <f>T("   Liban")</f>
        <v xml:space="preserve">   Liban</v>
      </c>
      <c r="C10955">
        <v>184626</v>
      </c>
      <c r="D10955">
        <v>574</v>
      </c>
    </row>
    <row r="10956" spans="1:4" x14ac:dyDescent="0.25">
      <c r="A10956" t="str">
        <f>T("   NG")</f>
        <v xml:space="preserve">   NG</v>
      </c>
      <c r="B10956" t="str">
        <f>T("   Nigéria")</f>
        <v xml:space="preserve">   Nigéria</v>
      </c>
      <c r="C10956">
        <v>1500000</v>
      </c>
      <c r="D10956">
        <v>950</v>
      </c>
    </row>
    <row r="10957" spans="1:4" x14ac:dyDescent="0.25">
      <c r="A10957" t="str">
        <f>T("842290")</f>
        <v>842290</v>
      </c>
      <c r="B10957" t="str">
        <f>T("Parties des machines à laver la vaisselle, des machines à empaqueter ou à emballer les marchandises et autres machines et appareils du n° 8422, n.d.a.")</f>
        <v>Parties des machines à laver la vaisselle, des machines à empaqueter ou à emballer les marchandises et autres machines et appareils du n° 8422, n.d.a.</v>
      </c>
    </row>
    <row r="10958" spans="1:4" x14ac:dyDescent="0.25">
      <c r="A10958" t="str">
        <f>T("   ZZZ_Monde")</f>
        <v xml:space="preserve">   ZZZ_Monde</v>
      </c>
      <c r="B10958" t="str">
        <f>T("   ZZZ_Monde")</f>
        <v xml:space="preserve">   ZZZ_Monde</v>
      </c>
      <c r="C10958">
        <v>1021777350</v>
      </c>
      <c r="D10958">
        <v>56022.7</v>
      </c>
    </row>
    <row r="10959" spans="1:4" x14ac:dyDescent="0.25">
      <c r="A10959" t="str">
        <f>T("   AF")</f>
        <v xml:space="preserve">   AF</v>
      </c>
      <c r="B10959" t="str">
        <f>T("   Afghanistan")</f>
        <v xml:space="preserve">   Afghanistan</v>
      </c>
      <c r="C10959">
        <v>11723</v>
      </c>
      <c r="D10959">
        <v>50</v>
      </c>
    </row>
    <row r="10960" spans="1:4" x14ac:dyDescent="0.25">
      <c r="A10960" t="str">
        <f>T("   BE")</f>
        <v xml:space="preserve">   BE</v>
      </c>
      <c r="B10960" t="str">
        <f>T("   Belgique")</f>
        <v xml:space="preserve">   Belgique</v>
      </c>
      <c r="C10960">
        <v>48124362</v>
      </c>
      <c r="D10960">
        <v>1872</v>
      </c>
    </row>
    <row r="10961" spans="1:4" x14ac:dyDescent="0.25">
      <c r="A10961" t="str">
        <f>T("   CH")</f>
        <v xml:space="preserve">   CH</v>
      </c>
      <c r="B10961" t="str">
        <f>T("   Suisse")</f>
        <v xml:space="preserve">   Suisse</v>
      </c>
      <c r="C10961">
        <v>100932309</v>
      </c>
      <c r="D10961">
        <v>2054</v>
      </c>
    </row>
    <row r="10962" spans="1:4" x14ac:dyDescent="0.25">
      <c r="A10962" t="str">
        <f>T("   CN")</f>
        <v xml:space="preserve">   CN</v>
      </c>
      <c r="B10962" t="str">
        <f>T("   Chine")</f>
        <v xml:space="preserve">   Chine</v>
      </c>
      <c r="C10962">
        <v>9668954</v>
      </c>
      <c r="D10962">
        <v>3065</v>
      </c>
    </row>
    <row r="10963" spans="1:4" x14ac:dyDescent="0.25">
      <c r="A10963" t="str">
        <f>T("   DE")</f>
        <v xml:space="preserve">   DE</v>
      </c>
      <c r="B10963" t="str">
        <f>T("   Allemagne")</f>
        <v xml:space="preserve">   Allemagne</v>
      </c>
      <c r="C10963">
        <v>159453229</v>
      </c>
      <c r="D10963">
        <v>18693.7</v>
      </c>
    </row>
    <row r="10964" spans="1:4" x14ac:dyDescent="0.25">
      <c r="A10964" t="str">
        <f>T("   DK")</f>
        <v xml:space="preserve">   DK</v>
      </c>
      <c r="B10964" t="str">
        <f>T("   Danemark")</f>
        <v xml:space="preserve">   Danemark</v>
      </c>
      <c r="C10964">
        <v>4873783</v>
      </c>
      <c r="D10964">
        <v>43</v>
      </c>
    </row>
    <row r="10965" spans="1:4" x14ac:dyDescent="0.25">
      <c r="A10965" t="str">
        <f>T("   FR")</f>
        <v xml:space="preserve">   FR</v>
      </c>
      <c r="B10965" t="str">
        <f>T("   France")</f>
        <v xml:space="preserve">   France</v>
      </c>
      <c r="C10965">
        <v>660419813</v>
      </c>
      <c r="D10965">
        <v>13647</v>
      </c>
    </row>
    <row r="10966" spans="1:4" x14ac:dyDescent="0.25">
      <c r="A10966" t="str">
        <f>T("   GB")</f>
        <v xml:space="preserve">   GB</v>
      </c>
      <c r="B10966" t="str">
        <f>T("   Royaume-Uni")</f>
        <v xml:space="preserve">   Royaume-Uni</v>
      </c>
      <c r="C10966">
        <v>482918</v>
      </c>
      <c r="D10966">
        <v>3</v>
      </c>
    </row>
    <row r="10967" spans="1:4" x14ac:dyDescent="0.25">
      <c r="A10967" t="str">
        <f>T("   GR")</f>
        <v xml:space="preserve">   GR</v>
      </c>
      <c r="B10967" t="str">
        <f>T("   Grèce")</f>
        <v xml:space="preserve">   Grèce</v>
      </c>
      <c r="C10967">
        <v>789294</v>
      </c>
      <c r="D10967">
        <v>3</v>
      </c>
    </row>
    <row r="10968" spans="1:4" x14ac:dyDescent="0.25">
      <c r="A10968" t="str">
        <f>T("   IE")</f>
        <v xml:space="preserve">   IE</v>
      </c>
      <c r="B10968" t="str">
        <f>T("   Irlande")</f>
        <v xml:space="preserve">   Irlande</v>
      </c>
      <c r="C10968">
        <v>16853482</v>
      </c>
      <c r="D10968">
        <v>2417</v>
      </c>
    </row>
    <row r="10969" spans="1:4" x14ac:dyDescent="0.25">
      <c r="A10969" t="str">
        <f>T("   IT")</f>
        <v xml:space="preserve">   IT</v>
      </c>
      <c r="B10969" t="str">
        <f>T("   Italie")</f>
        <v xml:space="preserve">   Italie</v>
      </c>
      <c r="C10969">
        <v>6756991</v>
      </c>
      <c r="D10969">
        <v>2865</v>
      </c>
    </row>
    <row r="10970" spans="1:4" x14ac:dyDescent="0.25">
      <c r="A10970" t="str">
        <f>T("   NO")</f>
        <v xml:space="preserve">   NO</v>
      </c>
      <c r="B10970" t="str">
        <f>T("   Norvège")</f>
        <v xml:space="preserve">   Norvège</v>
      </c>
      <c r="C10970">
        <v>10957485</v>
      </c>
      <c r="D10970">
        <v>10624</v>
      </c>
    </row>
    <row r="10971" spans="1:4" x14ac:dyDescent="0.25">
      <c r="A10971" t="str">
        <f>T("   NR")</f>
        <v xml:space="preserve">   NR</v>
      </c>
      <c r="B10971" t="str">
        <f>T("   Nauru")</f>
        <v xml:space="preserve">   Nauru</v>
      </c>
      <c r="C10971">
        <v>1704141</v>
      </c>
      <c r="D10971">
        <v>1</v>
      </c>
    </row>
    <row r="10972" spans="1:4" x14ac:dyDescent="0.25">
      <c r="A10972" t="str">
        <f>T("   SG")</f>
        <v xml:space="preserve">   SG</v>
      </c>
      <c r="B10972" t="str">
        <f>T("   Singapour")</f>
        <v xml:space="preserve">   Singapour</v>
      </c>
      <c r="C10972">
        <v>748866</v>
      </c>
      <c r="D10972">
        <v>685</v>
      </c>
    </row>
    <row r="10973" spans="1:4" x14ac:dyDescent="0.25">
      <c r="A10973" t="str">
        <f>T("842310")</f>
        <v>842310</v>
      </c>
      <c r="B10973" t="str">
        <f>T("Pèse-personnes, y.c. les pèse-bébés; balances de ménage")</f>
        <v>Pèse-personnes, y.c. les pèse-bébés; balances de ménage</v>
      </c>
    </row>
    <row r="10974" spans="1:4" x14ac:dyDescent="0.25">
      <c r="A10974" t="str">
        <f>T("   ZZZ_Monde")</f>
        <v xml:space="preserve">   ZZZ_Monde</v>
      </c>
      <c r="B10974" t="str">
        <f>T("   ZZZ_Monde")</f>
        <v xml:space="preserve">   ZZZ_Monde</v>
      </c>
      <c r="C10974">
        <v>9015729</v>
      </c>
      <c r="D10974">
        <v>8659</v>
      </c>
    </row>
    <row r="10975" spans="1:4" x14ac:dyDescent="0.25">
      <c r="A10975" t="str">
        <f>T("   BE")</f>
        <v xml:space="preserve">   BE</v>
      </c>
      <c r="B10975" t="str">
        <f>T("   Belgique")</f>
        <v xml:space="preserve">   Belgique</v>
      </c>
      <c r="C10975">
        <v>70844</v>
      </c>
      <c r="D10975">
        <v>20</v>
      </c>
    </row>
    <row r="10976" spans="1:4" x14ac:dyDescent="0.25">
      <c r="A10976" t="str">
        <f>T("   CN")</f>
        <v xml:space="preserve">   CN</v>
      </c>
      <c r="B10976" t="str">
        <f>T("   Chine")</f>
        <v xml:space="preserve">   Chine</v>
      </c>
      <c r="C10976">
        <v>3781450</v>
      </c>
      <c r="D10976">
        <v>7196</v>
      </c>
    </row>
    <row r="10977" spans="1:4" x14ac:dyDescent="0.25">
      <c r="A10977" t="str">
        <f>T("   FR")</f>
        <v xml:space="preserve">   FR</v>
      </c>
      <c r="B10977" t="str">
        <f>T("   France")</f>
        <v xml:space="preserve">   France</v>
      </c>
      <c r="C10977">
        <v>3567111</v>
      </c>
      <c r="D10977">
        <v>783</v>
      </c>
    </row>
    <row r="10978" spans="1:4" x14ac:dyDescent="0.25">
      <c r="A10978" t="str">
        <f>T("   IT")</f>
        <v xml:space="preserve">   IT</v>
      </c>
      <c r="B10978" t="str">
        <f>T("   Italie")</f>
        <v xml:space="preserve">   Italie</v>
      </c>
      <c r="C10978">
        <v>1246324</v>
      </c>
      <c r="D10978">
        <v>500</v>
      </c>
    </row>
    <row r="10979" spans="1:4" x14ac:dyDescent="0.25">
      <c r="A10979" t="str">
        <f>T("   SN")</f>
        <v xml:space="preserve">   SN</v>
      </c>
      <c r="B10979" t="str">
        <f>T("   Sénégal")</f>
        <v xml:space="preserve">   Sénégal</v>
      </c>
      <c r="C10979">
        <v>350000</v>
      </c>
      <c r="D10979">
        <v>160</v>
      </c>
    </row>
    <row r="10980" spans="1:4" x14ac:dyDescent="0.25">
      <c r="A10980" t="str">
        <f>T("842320")</f>
        <v>842320</v>
      </c>
      <c r="B10980" t="str">
        <f>T("Bascules à pesage continu sur transporteurs")</f>
        <v>Bascules à pesage continu sur transporteurs</v>
      </c>
    </row>
    <row r="10981" spans="1:4" x14ac:dyDescent="0.25">
      <c r="A10981" t="str">
        <f>T("   ZZZ_Monde")</f>
        <v xml:space="preserve">   ZZZ_Monde</v>
      </c>
      <c r="B10981" t="str">
        <f>T("   ZZZ_Monde")</f>
        <v xml:space="preserve">   ZZZ_Monde</v>
      </c>
      <c r="C10981">
        <v>153118</v>
      </c>
      <c r="D10981">
        <v>4</v>
      </c>
    </row>
    <row r="10982" spans="1:4" x14ac:dyDescent="0.25">
      <c r="A10982" t="str">
        <f>T("   FR")</f>
        <v xml:space="preserve">   FR</v>
      </c>
      <c r="B10982" t="str">
        <f>T("   France")</f>
        <v xml:space="preserve">   France</v>
      </c>
      <c r="C10982">
        <v>153118</v>
      </c>
      <c r="D10982">
        <v>4</v>
      </c>
    </row>
    <row r="10983" spans="1:4" x14ac:dyDescent="0.25">
      <c r="A10983" t="str">
        <f>T("842330")</f>
        <v>842330</v>
      </c>
      <c r="B10983" t="str">
        <f>T("Bascules à pesées constantes et balances et bascules ensacheuses ou doseuses (à l'excl. des balances à pesage continu sur transporteurs)")</f>
        <v>Bascules à pesées constantes et balances et bascules ensacheuses ou doseuses (à l'excl. des balances à pesage continu sur transporteurs)</v>
      </c>
    </row>
    <row r="10984" spans="1:4" x14ac:dyDescent="0.25">
      <c r="A10984" t="str">
        <f>T("   ZZZ_Monde")</f>
        <v xml:space="preserve">   ZZZ_Monde</v>
      </c>
      <c r="B10984" t="str">
        <f>T("   ZZZ_Monde")</f>
        <v xml:space="preserve">   ZZZ_Monde</v>
      </c>
      <c r="C10984">
        <v>9670410</v>
      </c>
      <c r="D10984">
        <v>5366</v>
      </c>
    </row>
    <row r="10985" spans="1:4" x14ac:dyDescent="0.25">
      <c r="A10985" t="str">
        <f>T("   CN")</f>
        <v xml:space="preserve">   CN</v>
      </c>
      <c r="B10985" t="str">
        <f>T("   Chine")</f>
        <v xml:space="preserve">   Chine</v>
      </c>
      <c r="C10985">
        <v>3685232</v>
      </c>
      <c r="D10985">
        <v>5219</v>
      </c>
    </row>
    <row r="10986" spans="1:4" x14ac:dyDescent="0.25">
      <c r="A10986" t="str">
        <f>T("   FR")</f>
        <v xml:space="preserve">   FR</v>
      </c>
      <c r="B10986" t="str">
        <f>T("   France")</f>
        <v xml:space="preserve">   France</v>
      </c>
      <c r="C10986">
        <v>555763</v>
      </c>
      <c r="D10986">
        <v>33</v>
      </c>
    </row>
    <row r="10987" spans="1:4" x14ac:dyDescent="0.25">
      <c r="A10987" t="str">
        <f>T("   IT")</f>
        <v xml:space="preserve">   IT</v>
      </c>
      <c r="B10987" t="str">
        <f>T("   Italie")</f>
        <v xml:space="preserve">   Italie</v>
      </c>
      <c r="C10987">
        <v>5429415</v>
      </c>
      <c r="D10987">
        <v>114</v>
      </c>
    </row>
    <row r="10988" spans="1:4" x14ac:dyDescent="0.25">
      <c r="A10988" t="str">
        <f>T("842381")</f>
        <v>842381</v>
      </c>
      <c r="B10988" t="str">
        <f>T("Appareils et instruments de pesage, portée &lt;= 30 kg (à l'excl. des balances sensibles à un poids de 50 mg ou moins, des pèse-personnes, balances de ménage, balances à pesage continu sur transporteurs et sauf balances et bascules ensacheuses ou doseuses et")</f>
        <v>Appareils et instruments de pesage, portée &lt;= 30 kg (à l'excl. des balances sensibles à un poids de 50 mg ou moins, des pèse-personnes, balances de ménage, balances à pesage continu sur transporteurs et sauf balances et bascules ensacheuses ou doseuses et</v>
      </c>
    </row>
    <row r="10989" spans="1:4" x14ac:dyDescent="0.25">
      <c r="A10989" t="str">
        <f>T("   ZZZ_Monde")</f>
        <v xml:space="preserve">   ZZZ_Monde</v>
      </c>
      <c r="B10989" t="str">
        <f>T("   ZZZ_Monde")</f>
        <v xml:space="preserve">   ZZZ_Monde</v>
      </c>
      <c r="C10989">
        <v>23241975</v>
      </c>
      <c r="D10989">
        <v>2351</v>
      </c>
    </row>
    <row r="10990" spans="1:4" x14ac:dyDescent="0.25">
      <c r="A10990" t="str">
        <f>T("   FR")</f>
        <v xml:space="preserve">   FR</v>
      </c>
      <c r="B10990" t="str">
        <f>T("   France")</f>
        <v xml:space="preserve">   France</v>
      </c>
      <c r="C10990">
        <v>23241975</v>
      </c>
      <c r="D10990">
        <v>2351</v>
      </c>
    </row>
    <row r="10991" spans="1:4" x14ac:dyDescent="0.25">
      <c r="A10991" t="str">
        <f>T("842382")</f>
        <v>842382</v>
      </c>
      <c r="B10991" t="str">
        <f>T("Appareils et instruments de pesage, portée &gt; 30 kg mais &lt;= 5000 kg (à l'excl. des pèse-personnes, bascules à pesage continu sur transporteurs, bascules à pesées constantes et balances et bascules ensacheuses ou doseuses)")</f>
        <v>Appareils et instruments de pesage, portée &gt; 30 kg mais &lt;= 5000 kg (à l'excl. des pèse-personnes, bascules à pesage continu sur transporteurs, bascules à pesées constantes et balances et bascules ensacheuses ou doseuses)</v>
      </c>
    </row>
    <row r="10992" spans="1:4" x14ac:dyDescent="0.25">
      <c r="A10992" t="str">
        <f>T("   ZZZ_Monde")</f>
        <v xml:space="preserve">   ZZZ_Monde</v>
      </c>
      <c r="B10992" t="str">
        <f>T("   ZZZ_Monde")</f>
        <v xml:space="preserve">   ZZZ_Monde</v>
      </c>
      <c r="C10992">
        <v>4185589</v>
      </c>
      <c r="D10992">
        <v>3918</v>
      </c>
    </row>
    <row r="10993" spans="1:4" x14ac:dyDescent="0.25">
      <c r="A10993" t="str">
        <f>T("   FR")</f>
        <v xml:space="preserve">   FR</v>
      </c>
      <c r="B10993" t="str">
        <f>T("   France")</f>
        <v xml:space="preserve">   France</v>
      </c>
      <c r="C10993">
        <v>4013833</v>
      </c>
      <c r="D10993">
        <v>3413</v>
      </c>
    </row>
    <row r="10994" spans="1:4" x14ac:dyDescent="0.25">
      <c r="A10994" t="str">
        <f>T("   IT")</f>
        <v xml:space="preserve">   IT</v>
      </c>
      <c r="B10994" t="str">
        <f>T("   Italie")</f>
        <v xml:space="preserve">   Italie</v>
      </c>
      <c r="C10994">
        <v>171756</v>
      </c>
      <c r="D10994">
        <v>505</v>
      </c>
    </row>
    <row r="10995" spans="1:4" x14ac:dyDescent="0.25">
      <c r="A10995" t="str">
        <f>T("842389")</f>
        <v>842389</v>
      </c>
      <c r="B10995" t="str">
        <f>T("Appareils et instruments de pesage, portée &gt; 5000 kg")</f>
        <v>Appareils et instruments de pesage, portée &gt; 5000 kg</v>
      </c>
    </row>
    <row r="10996" spans="1:4" x14ac:dyDescent="0.25">
      <c r="A10996" t="str">
        <f>T("   ZZZ_Monde")</f>
        <v xml:space="preserve">   ZZZ_Monde</v>
      </c>
      <c r="B10996" t="str">
        <f>T("   ZZZ_Monde")</f>
        <v xml:space="preserve">   ZZZ_Monde</v>
      </c>
      <c r="C10996">
        <v>41732384</v>
      </c>
      <c r="D10996">
        <v>46238</v>
      </c>
    </row>
    <row r="10997" spans="1:4" x14ac:dyDescent="0.25">
      <c r="A10997" t="str">
        <f>T("   AE")</f>
        <v xml:space="preserve">   AE</v>
      </c>
      <c r="B10997" t="str">
        <f>T("   Emirats Arabes Unis")</f>
        <v xml:space="preserve">   Emirats Arabes Unis</v>
      </c>
      <c r="C10997">
        <v>5591138</v>
      </c>
      <c r="D10997">
        <v>13074</v>
      </c>
    </row>
    <row r="10998" spans="1:4" x14ac:dyDescent="0.25">
      <c r="A10998" t="str">
        <f>T("   CN")</f>
        <v xml:space="preserve">   CN</v>
      </c>
      <c r="B10998" t="str">
        <f>T("   Chine")</f>
        <v xml:space="preserve">   Chine</v>
      </c>
      <c r="C10998">
        <v>20938400</v>
      </c>
      <c r="D10998">
        <v>22448</v>
      </c>
    </row>
    <row r="10999" spans="1:4" x14ac:dyDescent="0.25">
      <c r="A10999" t="str">
        <f>T("   FR")</f>
        <v xml:space="preserve">   FR</v>
      </c>
      <c r="B10999" t="str">
        <f>T("   France")</f>
        <v xml:space="preserve">   France</v>
      </c>
      <c r="C10999">
        <v>2226099</v>
      </c>
      <c r="D10999">
        <v>1316</v>
      </c>
    </row>
    <row r="11000" spans="1:4" x14ac:dyDescent="0.25">
      <c r="A11000" t="str">
        <f>T("   GE")</f>
        <v xml:space="preserve">   GE</v>
      </c>
      <c r="B11000" t="str">
        <f>T("   Géorgie")</f>
        <v xml:space="preserve">   Géorgie</v>
      </c>
      <c r="C11000">
        <v>1268108</v>
      </c>
      <c r="D11000">
        <v>70</v>
      </c>
    </row>
    <row r="11001" spans="1:4" x14ac:dyDescent="0.25">
      <c r="A11001" t="str">
        <f>T("   IN")</f>
        <v xml:space="preserve">   IN</v>
      </c>
      <c r="B11001" t="str">
        <f>T("   Inde")</f>
        <v xml:space="preserve">   Inde</v>
      </c>
      <c r="C11001">
        <v>81643</v>
      </c>
      <c r="D11001">
        <v>100</v>
      </c>
    </row>
    <row r="11002" spans="1:4" x14ac:dyDescent="0.25">
      <c r="A11002" t="str">
        <f>T("   NO")</f>
        <v xml:space="preserve">   NO</v>
      </c>
      <c r="B11002" t="str">
        <f>T("   Norvège")</f>
        <v xml:space="preserve">   Norvège</v>
      </c>
      <c r="C11002">
        <v>11626996</v>
      </c>
      <c r="D11002">
        <v>9230</v>
      </c>
    </row>
    <row r="11003" spans="1:4" x14ac:dyDescent="0.25">
      <c r="A11003" t="str">
        <f>T("842390")</f>
        <v>842390</v>
      </c>
      <c r="B11003" t="str">
        <f>T("Poids pour balances de tous genres; parties d'appareils et instruments de pesage, n.d.a.")</f>
        <v>Poids pour balances de tous genres; parties d'appareils et instruments de pesage, n.d.a.</v>
      </c>
    </row>
    <row r="11004" spans="1:4" x14ac:dyDescent="0.25">
      <c r="A11004" t="str">
        <f>T("   ZZZ_Monde")</f>
        <v xml:space="preserve">   ZZZ_Monde</v>
      </c>
      <c r="B11004" t="str">
        <f>T("   ZZZ_Monde")</f>
        <v xml:space="preserve">   ZZZ_Monde</v>
      </c>
      <c r="C11004">
        <v>47499971</v>
      </c>
      <c r="D11004">
        <v>12318.5</v>
      </c>
    </row>
    <row r="11005" spans="1:4" x14ac:dyDescent="0.25">
      <c r="A11005" t="str">
        <f>T("   AE")</f>
        <v xml:space="preserve">   AE</v>
      </c>
      <c r="B11005" t="str">
        <f>T("   Emirats Arabes Unis")</f>
        <v xml:space="preserve">   Emirats Arabes Unis</v>
      </c>
      <c r="C11005">
        <v>6504240</v>
      </c>
      <c r="D11005">
        <v>11000</v>
      </c>
    </row>
    <row r="11006" spans="1:4" x14ac:dyDescent="0.25">
      <c r="A11006" t="str">
        <f>T("   FR")</f>
        <v xml:space="preserve">   FR</v>
      </c>
      <c r="B11006" t="str">
        <f>T("   France")</f>
        <v xml:space="preserve">   France</v>
      </c>
      <c r="C11006">
        <v>32550620</v>
      </c>
      <c r="D11006">
        <v>1149.5</v>
      </c>
    </row>
    <row r="11007" spans="1:4" x14ac:dyDescent="0.25">
      <c r="A11007" t="str">
        <f>T("   GB")</f>
        <v xml:space="preserve">   GB</v>
      </c>
      <c r="B11007" t="str">
        <f>T("   Royaume-Uni")</f>
        <v xml:space="preserve">   Royaume-Uni</v>
      </c>
      <c r="C11007">
        <v>476122</v>
      </c>
      <c r="D11007">
        <v>90</v>
      </c>
    </row>
    <row r="11008" spans="1:4" x14ac:dyDescent="0.25">
      <c r="A11008" t="str">
        <f>T("   NO")</f>
        <v xml:space="preserve">   NO</v>
      </c>
      <c r="B11008" t="str">
        <f>T("   Norvège")</f>
        <v xml:space="preserve">   Norvège</v>
      </c>
      <c r="C11008">
        <v>7968989</v>
      </c>
      <c r="D11008">
        <v>79</v>
      </c>
    </row>
    <row r="11009" spans="1:4" x14ac:dyDescent="0.25">
      <c r="A11009" t="str">
        <f>T("842410")</f>
        <v>842410</v>
      </c>
      <c r="B11009" t="str">
        <f>T("Extincteurs mécaniques, même chargés (sauf bombes et grenades d'extinction d'incendie)")</f>
        <v>Extincteurs mécaniques, même chargés (sauf bombes et grenades d'extinction d'incendie)</v>
      </c>
    </row>
    <row r="11010" spans="1:4" x14ac:dyDescent="0.25">
      <c r="A11010" t="str">
        <f>T("   ZZZ_Monde")</f>
        <v xml:space="preserve">   ZZZ_Monde</v>
      </c>
      <c r="B11010" t="str">
        <f>T("   ZZZ_Monde")</f>
        <v xml:space="preserve">   ZZZ_Monde</v>
      </c>
      <c r="C11010">
        <v>28787730</v>
      </c>
      <c r="D11010">
        <v>12531</v>
      </c>
    </row>
    <row r="11011" spans="1:4" x14ac:dyDescent="0.25">
      <c r="A11011" t="str">
        <f>T("   AE")</f>
        <v xml:space="preserve">   AE</v>
      </c>
      <c r="B11011" t="str">
        <f>T("   Emirats Arabes Unis")</f>
        <v xml:space="preserve">   Emirats Arabes Unis</v>
      </c>
      <c r="C11011">
        <v>1226087</v>
      </c>
      <c r="D11011">
        <v>1450</v>
      </c>
    </row>
    <row r="11012" spans="1:4" x14ac:dyDescent="0.25">
      <c r="A11012" t="str">
        <f>T("   CI")</f>
        <v xml:space="preserve">   CI</v>
      </c>
      <c r="B11012" t="str">
        <f>T("   Côte d'Ivoire")</f>
        <v xml:space="preserve">   Côte d'Ivoire</v>
      </c>
      <c r="C11012">
        <v>10737040</v>
      </c>
      <c r="D11012">
        <v>365</v>
      </c>
    </row>
    <row r="11013" spans="1:4" x14ac:dyDescent="0.25">
      <c r="A11013" t="str">
        <f>T("   FR")</f>
        <v xml:space="preserve">   FR</v>
      </c>
      <c r="B11013" t="str">
        <f>T("   France")</f>
        <v xml:space="preserve">   France</v>
      </c>
      <c r="C11013">
        <v>15012195</v>
      </c>
      <c r="D11013">
        <v>10196</v>
      </c>
    </row>
    <row r="11014" spans="1:4" x14ac:dyDescent="0.25">
      <c r="A11014" t="str">
        <f>T("   NG")</f>
        <v xml:space="preserve">   NG</v>
      </c>
      <c r="B11014" t="str">
        <f>T("   Nigéria")</f>
        <v xml:space="preserve">   Nigéria</v>
      </c>
      <c r="C11014">
        <v>380000</v>
      </c>
      <c r="D11014">
        <v>430</v>
      </c>
    </row>
    <row r="11015" spans="1:4" x14ac:dyDescent="0.25">
      <c r="A11015" t="str">
        <f>T("   TG")</f>
        <v xml:space="preserve">   TG</v>
      </c>
      <c r="B11015" t="str">
        <f>T("   Togo")</f>
        <v xml:space="preserve">   Togo</v>
      </c>
      <c r="C11015">
        <v>1432408</v>
      </c>
      <c r="D11015">
        <v>90</v>
      </c>
    </row>
    <row r="11016" spans="1:4" x14ac:dyDescent="0.25">
      <c r="A11016" t="str">
        <f>T("842420")</f>
        <v>842420</v>
      </c>
      <c r="B11016" t="str">
        <f>T("PISTOLETS AÉROGRAPHES ET APPAREILS SIMIL. (À L'EXCL. DES MACHINES ET APPAREILS ÉLECTRIQUES POUR LA PROJECTION À CHAUD DE MÉTAUX OU DE CARBURES MÉTALLIQUES FRITTÉS [N¦ 8515] AINSI QUE DES MACHINES ET APPAREILS À JET DE SABLE, VAPEUR, ETC.) [01/01/1988-31/1")</f>
        <v>PISTOLETS AÉROGRAPHES ET APPAREILS SIMIL. (À L'EXCL. DES MACHINES ET APPAREILS ÉLECTRIQUES POUR LA PROJECTION À CHAUD DE MÉTAUX OU DE CARBURES MÉTALLIQUES FRITTÉS [N¦ 8515] AINSI QUE DES MACHINES ET APPAREILS À JET DE SABLE, VAPEUR, ETC.) [01/01/1988-31/1</v>
      </c>
    </row>
    <row r="11017" spans="1:4" x14ac:dyDescent="0.25">
      <c r="A11017" t="str">
        <f>T("   ZZZ_Monde")</f>
        <v xml:space="preserve">   ZZZ_Monde</v>
      </c>
      <c r="B11017" t="str">
        <f>T("   ZZZ_Monde")</f>
        <v xml:space="preserve">   ZZZ_Monde</v>
      </c>
      <c r="C11017">
        <v>7475455</v>
      </c>
      <c r="D11017">
        <v>5271.5</v>
      </c>
    </row>
    <row r="11018" spans="1:4" x14ac:dyDescent="0.25">
      <c r="A11018" t="str">
        <f>T("   CH")</f>
        <v xml:space="preserve">   CH</v>
      </c>
      <c r="B11018" t="str">
        <f>T("   Suisse")</f>
        <v xml:space="preserve">   Suisse</v>
      </c>
      <c r="C11018">
        <v>3364963</v>
      </c>
      <c r="D11018">
        <v>110</v>
      </c>
    </row>
    <row r="11019" spans="1:4" x14ac:dyDescent="0.25">
      <c r="A11019" t="str">
        <f>T("   CN")</f>
        <v xml:space="preserve">   CN</v>
      </c>
      <c r="B11019" t="str">
        <f>T("   Chine")</f>
        <v xml:space="preserve">   Chine</v>
      </c>
      <c r="C11019">
        <v>1065327</v>
      </c>
      <c r="D11019">
        <v>4451</v>
      </c>
    </row>
    <row r="11020" spans="1:4" x14ac:dyDescent="0.25">
      <c r="A11020" t="str">
        <f>T("   DE")</f>
        <v xml:space="preserve">   DE</v>
      </c>
      <c r="B11020" t="str">
        <f>T("   Allemagne")</f>
        <v xml:space="preserve">   Allemagne</v>
      </c>
      <c r="C11020">
        <v>2604</v>
      </c>
      <c r="D11020">
        <v>0.5</v>
      </c>
    </row>
    <row r="11021" spans="1:4" x14ac:dyDescent="0.25">
      <c r="A11021" t="str">
        <f>T("   FR")</f>
        <v xml:space="preserve">   FR</v>
      </c>
      <c r="B11021" t="str">
        <f>T("   France")</f>
        <v xml:space="preserve">   France</v>
      </c>
      <c r="C11021">
        <v>2858129</v>
      </c>
      <c r="D11021">
        <v>211</v>
      </c>
    </row>
    <row r="11022" spans="1:4" x14ac:dyDescent="0.25">
      <c r="A11022" t="str">
        <f>T("   LB")</f>
        <v xml:space="preserve">   LB</v>
      </c>
      <c r="B11022" t="str">
        <f>T("   Liban")</f>
        <v xml:space="preserve">   Liban</v>
      </c>
      <c r="C11022">
        <v>184432</v>
      </c>
      <c r="D11022">
        <v>499</v>
      </c>
    </row>
    <row r="11023" spans="1:4" x14ac:dyDescent="0.25">
      <c r="A11023" t="str">
        <f>T("842430")</f>
        <v>842430</v>
      </c>
      <c r="B11023" t="str">
        <f>T("Machines et appareils à jet de sable, à jet de vapeur et appareils à jet simil., y.c. les appareils de nettoyage à eau à moteur incorporé -appareils de nettoyage à haute pression- (à l'excl. des machines et appareils pour le nettoyage de contenants spécia")</f>
        <v>Machines et appareils à jet de sable, à jet de vapeur et appareils à jet simil., y.c. les appareils de nettoyage à eau à moteur incorporé -appareils de nettoyage à haute pression- (à l'excl. des machines et appareils pour le nettoyage de contenants spécia</v>
      </c>
    </row>
    <row r="11024" spans="1:4" x14ac:dyDescent="0.25">
      <c r="A11024" t="str">
        <f>T("   ZZZ_Monde")</f>
        <v xml:space="preserve">   ZZZ_Monde</v>
      </c>
      <c r="B11024" t="str">
        <f>T("   ZZZ_Monde")</f>
        <v xml:space="preserve">   ZZZ_Monde</v>
      </c>
      <c r="C11024">
        <v>20087922</v>
      </c>
      <c r="D11024">
        <v>2668</v>
      </c>
    </row>
    <row r="11025" spans="1:4" x14ac:dyDescent="0.25">
      <c r="A11025" t="str">
        <f>T("   BE")</f>
        <v xml:space="preserve">   BE</v>
      </c>
      <c r="B11025" t="str">
        <f>T("   Belgique")</f>
        <v xml:space="preserve">   Belgique</v>
      </c>
      <c r="C11025">
        <v>1412741</v>
      </c>
      <c r="D11025">
        <v>43</v>
      </c>
    </row>
    <row r="11026" spans="1:4" x14ac:dyDescent="0.25">
      <c r="A11026" t="str">
        <f>T("   FR")</f>
        <v xml:space="preserve">   FR</v>
      </c>
      <c r="B11026" t="str">
        <f>T("   France")</f>
        <v xml:space="preserve">   France</v>
      </c>
      <c r="C11026">
        <v>18675181</v>
      </c>
      <c r="D11026">
        <v>2625</v>
      </c>
    </row>
    <row r="11027" spans="1:4" x14ac:dyDescent="0.25">
      <c r="A11027" t="str">
        <f>T("842481")</f>
        <v>842481</v>
      </c>
      <c r="B11027" t="str">
        <f>T("Machines et appareils mécaniques, même à main, à projeter, disperser ou pulvériser des matières liquides ou en poudre, pour l'agriculture ou l'horticulture")</f>
        <v>Machines et appareils mécaniques, même à main, à projeter, disperser ou pulvériser des matières liquides ou en poudre, pour l'agriculture ou l'horticulture</v>
      </c>
    </row>
    <row r="11028" spans="1:4" x14ac:dyDescent="0.25">
      <c r="A11028" t="str">
        <f>T("   ZZZ_Monde")</f>
        <v xml:space="preserve">   ZZZ_Monde</v>
      </c>
      <c r="B11028" t="str">
        <f>T("   ZZZ_Monde")</f>
        <v xml:space="preserve">   ZZZ_Monde</v>
      </c>
      <c r="C11028">
        <v>6621813</v>
      </c>
      <c r="D11028">
        <v>700</v>
      </c>
    </row>
    <row r="11029" spans="1:4" x14ac:dyDescent="0.25">
      <c r="A11029" t="str">
        <f>T("   FR")</f>
        <v xml:space="preserve">   FR</v>
      </c>
      <c r="B11029" t="str">
        <f>T("   France")</f>
        <v xml:space="preserve">   France</v>
      </c>
      <c r="C11029">
        <v>6436490</v>
      </c>
      <c r="D11029">
        <v>497</v>
      </c>
    </row>
    <row r="11030" spans="1:4" x14ac:dyDescent="0.25">
      <c r="A11030" t="str">
        <f>T("   TG")</f>
        <v xml:space="preserve">   TG</v>
      </c>
      <c r="B11030" t="str">
        <f>T("   Togo")</f>
        <v xml:space="preserve">   Togo</v>
      </c>
      <c r="C11030">
        <v>185323</v>
      </c>
      <c r="D11030">
        <v>203</v>
      </c>
    </row>
    <row r="11031" spans="1:4" x14ac:dyDescent="0.25">
      <c r="A11031" t="str">
        <f>T("842489")</f>
        <v>842489</v>
      </c>
      <c r="B11031" t="str">
        <f>T("Machines et appareils mécaniques, même à main, à projeter, disperser ou pulvériser des matières liquides ou en poudre, n.d.a.")</f>
        <v>Machines et appareils mécaniques, même à main, à projeter, disperser ou pulvériser des matières liquides ou en poudre, n.d.a.</v>
      </c>
    </row>
    <row r="11032" spans="1:4" x14ac:dyDescent="0.25">
      <c r="A11032" t="str">
        <f>T("   ZZZ_Monde")</f>
        <v xml:space="preserve">   ZZZ_Monde</v>
      </c>
      <c r="B11032" t="str">
        <f>T("   ZZZ_Monde")</f>
        <v xml:space="preserve">   ZZZ_Monde</v>
      </c>
      <c r="C11032">
        <v>28959577</v>
      </c>
      <c r="D11032">
        <v>2100</v>
      </c>
    </row>
    <row r="11033" spans="1:4" x14ac:dyDescent="0.25">
      <c r="A11033" t="str">
        <f>T("   BE")</f>
        <v xml:space="preserve">   BE</v>
      </c>
      <c r="B11033" t="str">
        <f>T("   Belgique")</f>
        <v xml:space="preserve">   Belgique</v>
      </c>
      <c r="C11033">
        <v>21853632</v>
      </c>
      <c r="D11033">
        <v>286</v>
      </c>
    </row>
    <row r="11034" spans="1:4" x14ac:dyDescent="0.25">
      <c r="A11034" t="str">
        <f>T("   CN")</f>
        <v xml:space="preserve">   CN</v>
      </c>
      <c r="B11034" t="str">
        <f>T("   Chine")</f>
        <v xml:space="preserve">   Chine</v>
      </c>
      <c r="C11034">
        <v>417103</v>
      </c>
      <c r="D11034">
        <v>730</v>
      </c>
    </row>
    <row r="11035" spans="1:4" x14ac:dyDescent="0.25">
      <c r="A11035" t="str">
        <f>T("   DE")</f>
        <v xml:space="preserve">   DE</v>
      </c>
      <c r="B11035" t="str">
        <f>T("   Allemagne")</f>
        <v xml:space="preserve">   Allemagne</v>
      </c>
      <c r="C11035">
        <v>6216532</v>
      </c>
      <c r="D11035">
        <v>440</v>
      </c>
    </row>
    <row r="11036" spans="1:4" x14ac:dyDescent="0.25">
      <c r="A11036" t="str">
        <f>T("   FR")</f>
        <v xml:space="preserve">   FR</v>
      </c>
      <c r="B11036" t="str">
        <f>T("   France")</f>
        <v xml:space="preserve">   France</v>
      </c>
      <c r="C11036">
        <v>277471</v>
      </c>
      <c r="D11036">
        <v>94</v>
      </c>
    </row>
    <row r="11037" spans="1:4" x14ac:dyDescent="0.25">
      <c r="A11037" t="str">
        <f>T("   LB")</f>
        <v xml:space="preserve">   LB</v>
      </c>
      <c r="B11037" t="str">
        <f>T("   Liban")</f>
        <v xml:space="preserve">   Liban</v>
      </c>
      <c r="C11037">
        <v>194839</v>
      </c>
      <c r="D11037">
        <v>550</v>
      </c>
    </row>
    <row r="11038" spans="1:4" x14ac:dyDescent="0.25">
      <c r="A11038" t="str">
        <f>T("842490")</f>
        <v>842490</v>
      </c>
      <c r="B11038" t="str">
        <f>T("Parties d'extincteurs, de pistolets aérographes et appareils simil., de machines et appareils à jet de sable, à jet de vapeur et appareils à jet simil. ainsi que de machines et appareils mécaniques à projeter, disperser ou pulvériser des matières liquides")</f>
        <v>Parties d'extincteurs, de pistolets aérographes et appareils simil., de machines et appareils à jet de sable, à jet de vapeur et appareils à jet simil. ainsi que de machines et appareils mécaniques à projeter, disperser ou pulvériser des matières liquides</v>
      </c>
    </row>
    <row r="11039" spans="1:4" x14ac:dyDescent="0.25">
      <c r="A11039" t="str">
        <f>T("   ZZZ_Monde")</f>
        <v xml:space="preserve">   ZZZ_Monde</v>
      </c>
      <c r="B11039" t="str">
        <f>T("   ZZZ_Monde")</f>
        <v xml:space="preserve">   ZZZ_Monde</v>
      </c>
      <c r="C11039">
        <v>17481965</v>
      </c>
      <c r="D11039">
        <v>4709</v>
      </c>
    </row>
    <row r="11040" spans="1:4" x14ac:dyDescent="0.25">
      <c r="A11040" t="str">
        <f>T("   AE")</f>
        <v xml:space="preserve">   AE</v>
      </c>
      <c r="B11040" t="str">
        <f>T("   Emirats Arabes Unis")</f>
        <v xml:space="preserve">   Emirats Arabes Unis</v>
      </c>
      <c r="C11040">
        <v>824784</v>
      </c>
      <c r="D11040">
        <v>2000</v>
      </c>
    </row>
    <row r="11041" spans="1:4" x14ac:dyDescent="0.25">
      <c r="A11041" t="str">
        <f>T("   FR")</f>
        <v xml:space="preserve">   FR</v>
      </c>
      <c r="B11041" t="str">
        <f>T("   France")</f>
        <v xml:space="preserve">   France</v>
      </c>
      <c r="C11041">
        <v>16225181</v>
      </c>
      <c r="D11041">
        <v>2209</v>
      </c>
    </row>
    <row r="11042" spans="1:4" x14ac:dyDescent="0.25">
      <c r="A11042" t="str">
        <f>T("   NG")</f>
        <v xml:space="preserve">   NG</v>
      </c>
      <c r="B11042" t="str">
        <f>T("   Nigéria")</f>
        <v xml:space="preserve">   Nigéria</v>
      </c>
      <c r="C11042">
        <v>432000</v>
      </c>
      <c r="D11042">
        <v>500</v>
      </c>
    </row>
    <row r="11043" spans="1:4" x14ac:dyDescent="0.25">
      <c r="A11043" t="str">
        <f>T("842511")</f>
        <v>842511</v>
      </c>
      <c r="B11043" t="str">
        <f>T("Palans à moteur électrique")</f>
        <v>Palans à moteur électrique</v>
      </c>
    </row>
    <row r="11044" spans="1:4" x14ac:dyDescent="0.25">
      <c r="A11044" t="str">
        <f>T("   ZZZ_Monde")</f>
        <v xml:space="preserve">   ZZZ_Monde</v>
      </c>
      <c r="B11044" t="str">
        <f>T("   ZZZ_Monde")</f>
        <v xml:space="preserve">   ZZZ_Monde</v>
      </c>
      <c r="C11044">
        <v>66098055</v>
      </c>
      <c r="D11044">
        <v>24686</v>
      </c>
    </row>
    <row r="11045" spans="1:4" x14ac:dyDescent="0.25">
      <c r="A11045" t="str">
        <f>T("   CN")</f>
        <v xml:space="preserve">   CN</v>
      </c>
      <c r="B11045" t="str">
        <f>T("   Chine")</f>
        <v xml:space="preserve">   Chine</v>
      </c>
      <c r="C11045">
        <v>792985</v>
      </c>
      <c r="D11045">
        <v>1696</v>
      </c>
    </row>
    <row r="11046" spans="1:4" x14ac:dyDescent="0.25">
      <c r="A11046" t="str">
        <f>T("   FR")</f>
        <v xml:space="preserve">   FR</v>
      </c>
      <c r="B11046" t="str">
        <f>T("   France")</f>
        <v xml:space="preserve">   France</v>
      </c>
      <c r="C11046">
        <v>64767917</v>
      </c>
      <c r="D11046">
        <v>22610</v>
      </c>
    </row>
    <row r="11047" spans="1:4" x14ac:dyDescent="0.25">
      <c r="A11047" t="str">
        <f>T("   TG")</f>
        <v xml:space="preserve">   TG</v>
      </c>
      <c r="B11047" t="str">
        <f>T("   Togo")</f>
        <v xml:space="preserve">   Togo</v>
      </c>
      <c r="C11047">
        <v>537153</v>
      </c>
      <c r="D11047">
        <v>380</v>
      </c>
    </row>
    <row r="11048" spans="1:4" x14ac:dyDescent="0.25">
      <c r="A11048" t="str">
        <f>T("842519")</f>
        <v>842519</v>
      </c>
      <c r="B11048" t="str">
        <f>T("Palans autres qu'à moteur électrique")</f>
        <v>Palans autres qu'à moteur électrique</v>
      </c>
    </row>
    <row r="11049" spans="1:4" x14ac:dyDescent="0.25">
      <c r="A11049" t="str">
        <f>T("   ZZZ_Monde")</f>
        <v xml:space="preserve">   ZZZ_Monde</v>
      </c>
      <c r="B11049" t="str">
        <f>T("   ZZZ_Monde")</f>
        <v xml:space="preserve">   ZZZ_Monde</v>
      </c>
      <c r="C11049">
        <v>10676099</v>
      </c>
      <c r="D11049">
        <v>4705</v>
      </c>
    </row>
    <row r="11050" spans="1:4" x14ac:dyDescent="0.25">
      <c r="A11050" t="str">
        <f>T("   BE")</f>
        <v xml:space="preserve">   BE</v>
      </c>
      <c r="B11050" t="str">
        <f>T("   Belgique")</f>
        <v xml:space="preserve">   Belgique</v>
      </c>
      <c r="C11050">
        <v>3435767</v>
      </c>
      <c r="D11050">
        <v>1252</v>
      </c>
    </row>
    <row r="11051" spans="1:4" x14ac:dyDescent="0.25">
      <c r="A11051" t="str">
        <f>T("   CN")</f>
        <v xml:space="preserve">   CN</v>
      </c>
      <c r="B11051" t="str">
        <f>T("   Chine")</f>
        <v xml:space="preserve">   Chine</v>
      </c>
      <c r="C11051">
        <v>3290258</v>
      </c>
      <c r="D11051">
        <v>1000</v>
      </c>
    </row>
    <row r="11052" spans="1:4" x14ac:dyDescent="0.25">
      <c r="A11052" t="str">
        <f>T("   DE")</f>
        <v xml:space="preserve">   DE</v>
      </c>
      <c r="B11052" t="str">
        <f>T("   Allemagne")</f>
        <v xml:space="preserve">   Allemagne</v>
      </c>
      <c r="C11052">
        <v>350166</v>
      </c>
      <c r="D11052">
        <v>1230</v>
      </c>
    </row>
    <row r="11053" spans="1:4" x14ac:dyDescent="0.25">
      <c r="A11053" t="str">
        <f>T("   FR")</f>
        <v xml:space="preserve">   FR</v>
      </c>
      <c r="B11053" t="str">
        <f>T("   France")</f>
        <v xml:space="preserve">   France</v>
      </c>
      <c r="C11053">
        <v>3599908</v>
      </c>
      <c r="D11053">
        <v>1223</v>
      </c>
    </row>
    <row r="11054" spans="1:4" x14ac:dyDescent="0.25">
      <c r="A11054" t="str">
        <f>T("842531")</f>
        <v>842531</v>
      </c>
      <c r="B11054" t="str">
        <f>T("Treuils et cabestans, à moteur électrique (sauf treuils pour puits de mines et treuils spécialement conçus pour mines au fond)")</f>
        <v>Treuils et cabestans, à moteur électrique (sauf treuils pour puits de mines et treuils spécialement conçus pour mines au fond)</v>
      </c>
    </row>
    <row r="11055" spans="1:4" x14ac:dyDescent="0.25">
      <c r="A11055" t="str">
        <f>T("   ZZZ_Monde")</f>
        <v xml:space="preserve">   ZZZ_Monde</v>
      </c>
      <c r="B11055" t="str">
        <f>T("   ZZZ_Monde")</f>
        <v xml:space="preserve">   ZZZ_Monde</v>
      </c>
      <c r="C11055">
        <v>11552768</v>
      </c>
      <c r="D11055">
        <v>1767</v>
      </c>
    </row>
    <row r="11056" spans="1:4" x14ac:dyDescent="0.25">
      <c r="A11056" t="str">
        <f>T("   FR")</f>
        <v xml:space="preserve">   FR</v>
      </c>
      <c r="B11056" t="str">
        <f>T("   France")</f>
        <v xml:space="preserve">   France</v>
      </c>
      <c r="C11056">
        <v>11552768</v>
      </c>
      <c r="D11056">
        <v>1767</v>
      </c>
    </row>
    <row r="11057" spans="1:4" x14ac:dyDescent="0.25">
      <c r="A11057" t="str">
        <f>T("842539")</f>
        <v>842539</v>
      </c>
      <c r="B11057" t="str">
        <f>T("Treuils et cabestans, autres qu'à moteur électrique (sauf treuils pour puits de mines et sauf treuils spécialement conçus pour mines au fond)")</f>
        <v>Treuils et cabestans, autres qu'à moteur électrique (sauf treuils pour puits de mines et sauf treuils spécialement conçus pour mines au fond)</v>
      </c>
    </row>
    <row r="11058" spans="1:4" x14ac:dyDescent="0.25">
      <c r="A11058" t="str">
        <f>T("   ZZZ_Monde")</f>
        <v xml:space="preserve">   ZZZ_Monde</v>
      </c>
      <c r="B11058" t="str">
        <f>T("   ZZZ_Monde")</f>
        <v xml:space="preserve">   ZZZ_Monde</v>
      </c>
      <c r="C11058">
        <v>21949230</v>
      </c>
      <c r="D11058">
        <v>4149</v>
      </c>
    </row>
    <row r="11059" spans="1:4" x14ac:dyDescent="0.25">
      <c r="A11059" t="str">
        <f>T("   BE")</f>
        <v xml:space="preserve">   BE</v>
      </c>
      <c r="B11059" t="str">
        <f>T("   Belgique")</f>
        <v xml:space="preserve">   Belgique</v>
      </c>
      <c r="C11059">
        <v>320000</v>
      </c>
      <c r="D11059">
        <v>2000</v>
      </c>
    </row>
    <row r="11060" spans="1:4" x14ac:dyDescent="0.25">
      <c r="A11060" t="str">
        <f>T("   CN")</f>
        <v xml:space="preserve">   CN</v>
      </c>
      <c r="B11060" t="str">
        <f>T("   Chine")</f>
        <v xml:space="preserve">   Chine</v>
      </c>
      <c r="C11060">
        <v>1516184</v>
      </c>
      <c r="D11060">
        <v>685</v>
      </c>
    </row>
    <row r="11061" spans="1:4" x14ac:dyDescent="0.25">
      <c r="A11061" t="str">
        <f>T("   FR")</f>
        <v xml:space="preserve">   FR</v>
      </c>
      <c r="B11061" t="str">
        <f>T("   France")</f>
        <v xml:space="preserve">   France</v>
      </c>
      <c r="C11061">
        <v>20113046</v>
      </c>
      <c r="D11061">
        <v>1464</v>
      </c>
    </row>
    <row r="11062" spans="1:4" x14ac:dyDescent="0.25">
      <c r="A11062" t="str">
        <f>T("842541")</f>
        <v>842541</v>
      </c>
      <c r="B11062" t="str">
        <f>T("Elévateurs fixes des types utilisés dans les garages pour voitures")</f>
        <v>Elévateurs fixes des types utilisés dans les garages pour voitures</v>
      </c>
    </row>
    <row r="11063" spans="1:4" x14ac:dyDescent="0.25">
      <c r="A11063" t="str">
        <f>T("   ZZZ_Monde")</f>
        <v xml:space="preserve">   ZZZ_Monde</v>
      </c>
      <c r="B11063" t="str">
        <f>T("   ZZZ_Monde")</f>
        <v xml:space="preserve">   ZZZ_Monde</v>
      </c>
      <c r="C11063">
        <v>10225738</v>
      </c>
      <c r="D11063">
        <v>14250</v>
      </c>
    </row>
    <row r="11064" spans="1:4" x14ac:dyDescent="0.25">
      <c r="A11064" t="str">
        <f>T("   BE")</f>
        <v xml:space="preserve">   BE</v>
      </c>
      <c r="B11064" t="str">
        <f>T("   Belgique")</f>
        <v xml:space="preserve">   Belgique</v>
      </c>
      <c r="C11064">
        <v>25582</v>
      </c>
      <c r="D11064">
        <v>50</v>
      </c>
    </row>
    <row r="11065" spans="1:4" x14ac:dyDescent="0.25">
      <c r="A11065" t="str">
        <f>T("   FR")</f>
        <v xml:space="preserve">   FR</v>
      </c>
      <c r="B11065" t="str">
        <f>T("   France")</f>
        <v xml:space="preserve">   France</v>
      </c>
      <c r="C11065">
        <v>10200156</v>
      </c>
      <c r="D11065">
        <v>14200</v>
      </c>
    </row>
    <row r="11066" spans="1:4" x14ac:dyDescent="0.25">
      <c r="A11066" t="str">
        <f>T("842542")</f>
        <v>842542</v>
      </c>
      <c r="B11066" t="str">
        <f>T("Crics et vérins, hydrauliques (sauf élévateurs fixes des types utilisés dans les garages pour voitures)")</f>
        <v>Crics et vérins, hydrauliques (sauf élévateurs fixes des types utilisés dans les garages pour voitures)</v>
      </c>
    </row>
    <row r="11067" spans="1:4" x14ac:dyDescent="0.25">
      <c r="A11067" t="str">
        <f>T("   ZZZ_Monde")</f>
        <v xml:space="preserve">   ZZZ_Monde</v>
      </c>
      <c r="B11067" t="str">
        <f>T("   ZZZ_Monde")</f>
        <v xml:space="preserve">   ZZZ_Monde</v>
      </c>
      <c r="C11067">
        <v>43185931</v>
      </c>
      <c r="D11067">
        <v>3590</v>
      </c>
    </row>
    <row r="11068" spans="1:4" x14ac:dyDescent="0.25">
      <c r="A11068" t="str">
        <f>T("   DE")</f>
        <v xml:space="preserve">   DE</v>
      </c>
      <c r="B11068" t="str">
        <f>T("   Allemagne")</f>
        <v xml:space="preserve">   Allemagne</v>
      </c>
      <c r="C11068">
        <v>6186103</v>
      </c>
      <c r="D11068">
        <v>75</v>
      </c>
    </row>
    <row r="11069" spans="1:4" x14ac:dyDescent="0.25">
      <c r="A11069" t="str">
        <f>T("   FR")</f>
        <v xml:space="preserve">   FR</v>
      </c>
      <c r="B11069" t="str">
        <f>T("   France")</f>
        <v xml:space="preserve">   France</v>
      </c>
      <c r="C11069">
        <v>32780741</v>
      </c>
      <c r="D11069">
        <v>3033</v>
      </c>
    </row>
    <row r="11070" spans="1:4" x14ac:dyDescent="0.25">
      <c r="A11070" t="str">
        <f>T("   IT")</f>
        <v xml:space="preserve">   IT</v>
      </c>
      <c r="B11070" t="str">
        <f>T("   Italie")</f>
        <v xml:space="preserve">   Italie</v>
      </c>
      <c r="C11070">
        <v>302398</v>
      </c>
      <c r="D11070">
        <v>261</v>
      </c>
    </row>
    <row r="11071" spans="1:4" x14ac:dyDescent="0.25">
      <c r="A11071" t="str">
        <f>T("   NL")</f>
        <v xml:space="preserve">   NL</v>
      </c>
      <c r="B11071" t="str">
        <f>T("   Pays-bas")</f>
        <v xml:space="preserve">   Pays-bas</v>
      </c>
      <c r="C11071">
        <v>1889985</v>
      </c>
      <c r="D11071">
        <v>150</v>
      </c>
    </row>
    <row r="11072" spans="1:4" x14ac:dyDescent="0.25">
      <c r="A11072" t="str">
        <f>T("   SN")</f>
        <v xml:space="preserve">   SN</v>
      </c>
      <c r="B11072" t="str">
        <f>T("   Sénégal")</f>
        <v xml:space="preserve">   Sénégal</v>
      </c>
      <c r="C11072">
        <v>715671</v>
      </c>
      <c r="D11072">
        <v>6</v>
      </c>
    </row>
    <row r="11073" spans="1:4" x14ac:dyDescent="0.25">
      <c r="A11073" t="str">
        <f>T("   SR")</f>
        <v xml:space="preserve">   SR</v>
      </c>
      <c r="B11073" t="str">
        <f>T("   Suriname")</f>
        <v xml:space="preserve">   Suriname</v>
      </c>
      <c r="C11073">
        <v>294914</v>
      </c>
      <c r="D11073">
        <v>20</v>
      </c>
    </row>
    <row r="11074" spans="1:4" x14ac:dyDescent="0.25">
      <c r="A11074" t="str">
        <f>T("   US")</f>
        <v xml:space="preserve">   US</v>
      </c>
      <c r="B11074" t="str">
        <f>T("   Etats-Unis")</f>
        <v xml:space="preserve">   Etats-Unis</v>
      </c>
      <c r="C11074">
        <v>1016119</v>
      </c>
      <c r="D11074">
        <v>45</v>
      </c>
    </row>
    <row r="11075" spans="1:4" x14ac:dyDescent="0.25">
      <c r="A11075" t="str">
        <f>T("842549")</f>
        <v>842549</v>
      </c>
      <c r="B11075" t="str">
        <f>T("Crics et vérins, non hydrauliques")</f>
        <v>Crics et vérins, non hydrauliques</v>
      </c>
    </row>
    <row r="11076" spans="1:4" x14ac:dyDescent="0.25">
      <c r="A11076" t="str">
        <f>T("   ZZZ_Monde")</f>
        <v xml:space="preserve">   ZZZ_Monde</v>
      </c>
      <c r="B11076" t="str">
        <f>T("   ZZZ_Monde")</f>
        <v xml:space="preserve">   ZZZ_Monde</v>
      </c>
      <c r="C11076">
        <v>36786112</v>
      </c>
      <c r="D11076">
        <v>6608</v>
      </c>
    </row>
    <row r="11077" spans="1:4" x14ac:dyDescent="0.25">
      <c r="A11077" t="str">
        <f>T("   AE")</f>
        <v xml:space="preserve">   AE</v>
      </c>
      <c r="B11077" t="str">
        <f>T("   Emirats Arabes Unis")</f>
        <v xml:space="preserve">   Emirats Arabes Unis</v>
      </c>
      <c r="C11077">
        <v>193748</v>
      </c>
      <c r="D11077">
        <v>250</v>
      </c>
    </row>
    <row r="11078" spans="1:4" x14ac:dyDescent="0.25">
      <c r="A11078" t="str">
        <f>T("   CN")</f>
        <v xml:space="preserve">   CN</v>
      </c>
      <c r="B11078" t="str">
        <f>T("   Chine")</f>
        <v xml:space="preserve">   Chine</v>
      </c>
      <c r="C11078">
        <v>26364</v>
      </c>
      <c r="D11078">
        <v>150</v>
      </c>
    </row>
    <row r="11079" spans="1:4" x14ac:dyDescent="0.25">
      <c r="A11079" t="str">
        <f>T("   DE")</f>
        <v xml:space="preserve">   DE</v>
      </c>
      <c r="B11079" t="str">
        <f>T("   Allemagne")</f>
        <v xml:space="preserve">   Allemagne</v>
      </c>
      <c r="C11079">
        <v>7128199</v>
      </c>
      <c r="D11079">
        <v>13</v>
      </c>
    </row>
    <row r="11080" spans="1:4" x14ac:dyDescent="0.25">
      <c r="A11080" t="str">
        <f>T("   FR")</f>
        <v xml:space="preserve">   FR</v>
      </c>
      <c r="B11080" t="str">
        <f>T("   France")</f>
        <v xml:space="preserve">   France</v>
      </c>
      <c r="C11080">
        <v>17816544</v>
      </c>
      <c r="D11080">
        <v>5500</v>
      </c>
    </row>
    <row r="11081" spans="1:4" x14ac:dyDescent="0.25">
      <c r="A11081" t="str">
        <f>T("   JP")</f>
        <v xml:space="preserve">   JP</v>
      </c>
      <c r="B11081" t="str">
        <f>T("   Japon")</f>
        <v xml:space="preserve">   Japon</v>
      </c>
      <c r="C11081">
        <v>16071</v>
      </c>
      <c r="D11081">
        <v>1</v>
      </c>
    </row>
    <row r="11082" spans="1:4" x14ac:dyDescent="0.25">
      <c r="A11082" t="str">
        <f>T("   SY")</f>
        <v xml:space="preserve">   SY</v>
      </c>
      <c r="B11082" t="str">
        <f>T("   Syrienne, République arabe")</f>
        <v xml:space="preserve">   Syrienne, République arabe</v>
      </c>
      <c r="C11082">
        <v>6753371</v>
      </c>
      <c r="D11082">
        <v>380</v>
      </c>
    </row>
    <row r="11083" spans="1:4" x14ac:dyDescent="0.25">
      <c r="A11083" t="str">
        <f>T("   US")</f>
        <v xml:space="preserve">   US</v>
      </c>
      <c r="B11083" t="str">
        <f>T("   Etats-Unis")</f>
        <v xml:space="preserve">   Etats-Unis</v>
      </c>
      <c r="C11083">
        <v>4851815</v>
      </c>
      <c r="D11083">
        <v>314</v>
      </c>
    </row>
    <row r="11084" spans="1:4" x14ac:dyDescent="0.25">
      <c r="A11084" t="str">
        <f>T("842611")</f>
        <v>842611</v>
      </c>
      <c r="B11084" t="str">
        <f>T("Ponts roulants et poutres roulantes sur supports fixes")</f>
        <v>Ponts roulants et poutres roulantes sur supports fixes</v>
      </c>
    </row>
    <row r="11085" spans="1:4" x14ac:dyDescent="0.25">
      <c r="A11085" t="str">
        <f>T("   ZZZ_Monde")</f>
        <v xml:space="preserve">   ZZZ_Monde</v>
      </c>
      <c r="B11085" t="str">
        <f>T("   ZZZ_Monde")</f>
        <v xml:space="preserve">   ZZZ_Monde</v>
      </c>
      <c r="C11085">
        <v>117416840</v>
      </c>
      <c r="D11085">
        <v>86589</v>
      </c>
    </row>
    <row r="11086" spans="1:4" x14ac:dyDescent="0.25">
      <c r="A11086" t="str">
        <f>T("   TR")</f>
        <v xml:space="preserve">   TR</v>
      </c>
      <c r="B11086" t="str">
        <f>T("   Turquie")</f>
        <v xml:space="preserve">   Turquie</v>
      </c>
      <c r="C11086">
        <v>117416840</v>
      </c>
      <c r="D11086">
        <v>86589</v>
      </c>
    </row>
    <row r="11087" spans="1:4" x14ac:dyDescent="0.25">
      <c r="A11087" t="str">
        <f>T("842620")</f>
        <v>842620</v>
      </c>
      <c r="B11087" t="str">
        <f>T("Grues à tour")</f>
        <v>Grues à tour</v>
      </c>
    </row>
    <row r="11088" spans="1:4" x14ac:dyDescent="0.25">
      <c r="A11088" t="str">
        <f>T("   ZZZ_Monde")</f>
        <v xml:space="preserve">   ZZZ_Monde</v>
      </c>
      <c r="B11088" t="str">
        <f>T("   ZZZ_Monde")</f>
        <v xml:space="preserve">   ZZZ_Monde</v>
      </c>
      <c r="C11088">
        <v>3525904582</v>
      </c>
      <c r="D11088">
        <v>846527</v>
      </c>
    </row>
    <row r="11089" spans="1:4" x14ac:dyDescent="0.25">
      <c r="A11089" t="str">
        <f>T("   CN")</f>
        <v xml:space="preserve">   CN</v>
      </c>
      <c r="B11089" t="str">
        <f>T("   Chine")</f>
        <v xml:space="preserve">   Chine</v>
      </c>
      <c r="C11089">
        <v>364848888</v>
      </c>
      <c r="D11089">
        <v>228830</v>
      </c>
    </row>
    <row r="11090" spans="1:4" x14ac:dyDescent="0.25">
      <c r="A11090" t="str">
        <f>T("   DK")</f>
        <v xml:space="preserve">   DK</v>
      </c>
      <c r="B11090" t="str">
        <f>T("   Danemark")</f>
        <v xml:space="preserve">   Danemark</v>
      </c>
      <c r="C11090">
        <v>2336624634</v>
      </c>
      <c r="D11090">
        <v>484822</v>
      </c>
    </row>
    <row r="11091" spans="1:4" x14ac:dyDescent="0.25">
      <c r="A11091" t="str">
        <f>T("   FR")</f>
        <v xml:space="preserve">   FR</v>
      </c>
      <c r="B11091" t="str">
        <f>T("   France")</f>
        <v xml:space="preserve">   France</v>
      </c>
      <c r="C11091">
        <v>792080424</v>
      </c>
      <c r="D11091">
        <v>65000</v>
      </c>
    </row>
    <row r="11092" spans="1:4" x14ac:dyDescent="0.25">
      <c r="A11092" t="str">
        <f>T("   GN")</f>
        <v xml:space="preserve">   GN</v>
      </c>
      <c r="B11092" t="str">
        <f>T("   Guinée")</f>
        <v xml:space="preserve">   Guinée</v>
      </c>
      <c r="C11092">
        <v>32350636</v>
      </c>
      <c r="D11092">
        <v>67875</v>
      </c>
    </row>
    <row r="11093" spans="1:4" x14ac:dyDescent="0.25">
      <c r="A11093" t="str">
        <f>T("842641")</f>
        <v>842641</v>
      </c>
      <c r="B11093" t="str">
        <f>T("Bigues et chariots-grues et autres machines et appareils autopropulsés, sur pneumatiques (à l'excl. des grues automotrices, portiques mobiles se déplaçant sur pneumatiques et sauf chariots-cavaliers)")</f>
        <v>Bigues et chariots-grues et autres machines et appareils autopropulsés, sur pneumatiques (à l'excl. des grues automotrices, portiques mobiles se déplaçant sur pneumatiques et sauf chariots-cavaliers)</v>
      </c>
    </row>
    <row r="11094" spans="1:4" x14ac:dyDescent="0.25">
      <c r="A11094" t="str">
        <f>T("   ZZZ_Monde")</f>
        <v xml:space="preserve">   ZZZ_Monde</v>
      </c>
      <c r="B11094" t="str">
        <f>T("   ZZZ_Monde")</f>
        <v xml:space="preserve">   ZZZ_Monde</v>
      </c>
      <c r="C11094">
        <v>131880849</v>
      </c>
      <c r="D11094">
        <v>26600</v>
      </c>
    </row>
    <row r="11095" spans="1:4" x14ac:dyDescent="0.25">
      <c r="A11095" t="str">
        <f>T("   CA")</f>
        <v xml:space="preserve">   CA</v>
      </c>
      <c r="B11095" t="str">
        <f>T("   Canada")</f>
        <v xml:space="preserve">   Canada</v>
      </c>
      <c r="C11095">
        <v>700000</v>
      </c>
      <c r="D11095">
        <v>6000</v>
      </c>
    </row>
    <row r="11096" spans="1:4" x14ac:dyDescent="0.25">
      <c r="A11096" t="str">
        <f>T("   FR")</f>
        <v xml:space="preserve">   FR</v>
      </c>
      <c r="B11096" t="str">
        <f>T("   France")</f>
        <v xml:space="preserve">   France</v>
      </c>
      <c r="C11096">
        <v>131180849</v>
      </c>
      <c r="D11096">
        <v>20600</v>
      </c>
    </row>
    <row r="11097" spans="1:4" x14ac:dyDescent="0.25">
      <c r="A11097" t="str">
        <f>T("842649")</f>
        <v>842649</v>
      </c>
      <c r="B11097" t="str">
        <f>T("Bigues et chariots-grues et appareils autopropulsés (autres que sur pneumatiques et sauf chariots-cavaliers)")</f>
        <v>Bigues et chariots-grues et appareils autopropulsés (autres que sur pneumatiques et sauf chariots-cavaliers)</v>
      </c>
    </row>
    <row r="11098" spans="1:4" x14ac:dyDescent="0.25">
      <c r="A11098" t="str">
        <f>T("   ZZZ_Monde")</f>
        <v xml:space="preserve">   ZZZ_Monde</v>
      </c>
      <c r="B11098" t="str">
        <f>T("   ZZZ_Monde")</f>
        <v xml:space="preserve">   ZZZ_Monde</v>
      </c>
      <c r="C11098">
        <v>209859971</v>
      </c>
      <c r="D11098">
        <v>72000</v>
      </c>
    </row>
    <row r="11099" spans="1:4" x14ac:dyDescent="0.25">
      <c r="A11099" t="str">
        <f>T("   BE")</f>
        <v xml:space="preserve">   BE</v>
      </c>
      <c r="B11099" t="str">
        <f>T("   Belgique")</f>
        <v xml:space="preserve">   Belgique</v>
      </c>
      <c r="C11099">
        <v>209859971</v>
      </c>
      <c r="D11099">
        <v>72000</v>
      </c>
    </row>
    <row r="11100" spans="1:4" x14ac:dyDescent="0.25">
      <c r="A11100" t="str">
        <f>T("842699")</f>
        <v>842699</v>
      </c>
      <c r="B11100" t="str">
        <f>T("Bigues; grues à câbles et blondins et autres grues (sauf ponts roulants, grues portiques, grues sur portiques, portiques de déchargement, ponts-grues, chariots-cavaliers, grues à tour, chariot-grues, grues autopropulsées et grues conçues pour être montées")</f>
        <v>Bigues; grues à câbles et blondins et autres grues (sauf ponts roulants, grues portiques, grues sur portiques, portiques de déchargement, ponts-grues, chariots-cavaliers, grues à tour, chariot-grues, grues autopropulsées et grues conçues pour être montées</v>
      </c>
    </row>
    <row r="11101" spans="1:4" x14ac:dyDescent="0.25">
      <c r="A11101" t="str">
        <f>T("   ZZZ_Monde")</f>
        <v xml:space="preserve">   ZZZ_Monde</v>
      </c>
      <c r="B11101" t="str">
        <f>T("   ZZZ_Monde")</f>
        <v xml:space="preserve">   ZZZ_Monde</v>
      </c>
      <c r="C11101">
        <v>770753</v>
      </c>
      <c r="D11101">
        <v>23</v>
      </c>
    </row>
    <row r="11102" spans="1:4" x14ac:dyDescent="0.25">
      <c r="A11102" t="str">
        <f>T("   FR")</f>
        <v xml:space="preserve">   FR</v>
      </c>
      <c r="B11102" t="str">
        <f>T("   France")</f>
        <v xml:space="preserve">   France</v>
      </c>
      <c r="C11102">
        <v>770753</v>
      </c>
      <c r="D11102">
        <v>23</v>
      </c>
    </row>
    <row r="11103" spans="1:4" x14ac:dyDescent="0.25">
      <c r="A11103" t="str">
        <f>T("842720")</f>
        <v>842720</v>
      </c>
      <c r="B11103" t="str">
        <f>T("Chariots de manutention autopropulsés, autres qu'à moteur électrique, avec dispositif de levage")</f>
        <v>Chariots de manutention autopropulsés, autres qu'à moteur électrique, avec dispositif de levage</v>
      </c>
    </row>
    <row r="11104" spans="1:4" x14ac:dyDescent="0.25">
      <c r="A11104" t="str">
        <f>T("   ZZZ_Monde")</f>
        <v xml:space="preserve">   ZZZ_Monde</v>
      </c>
      <c r="B11104" t="str">
        <f>T("   ZZZ_Monde")</f>
        <v xml:space="preserve">   ZZZ_Monde</v>
      </c>
      <c r="C11104">
        <v>475415753</v>
      </c>
      <c r="D11104">
        <v>122395</v>
      </c>
    </row>
    <row r="11105" spans="1:4" x14ac:dyDescent="0.25">
      <c r="A11105" t="str">
        <f>T("   BE")</f>
        <v xml:space="preserve">   BE</v>
      </c>
      <c r="B11105" t="str">
        <f>T("   Belgique")</f>
        <v xml:space="preserve">   Belgique</v>
      </c>
      <c r="C11105">
        <v>310796472</v>
      </c>
      <c r="D11105">
        <v>75090</v>
      </c>
    </row>
    <row r="11106" spans="1:4" x14ac:dyDescent="0.25">
      <c r="A11106" t="str">
        <f>T("   CN")</f>
        <v xml:space="preserve">   CN</v>
      </c>
      <c r="B11106" t="str">
        <f>T("   Chine")</f>
        <v xml:space="preserve">   Chine</v>
      </c>
      <c r="C11106">
        <v>4170345</v>
      </c>
      <c r="D11106">
        <v>4370</v>
      </c>
    </row>
    <row r="11107" spans="1:4" x14ac:dyDescent="0.25">
      <c r="A11107" t="str">
        <f>T("   FR")</f>
        <v xml:space="preserve">   FR</v>
      </c>
      <c r="B11107" t="str">
        <f>T("   France")</f>
        <v xml:space="preserve">   France</v>
      </c>
      <c r="C11107">
        <v>99278889</v>
      </c>
      <c r="D11107">
        <v>22150</v>
      </c>
    </row>
    <row r="11108" spans="1:4" x14ac:dyDescent="0.25">
      <c r="A11108" t="str">
        <f>T("   IN")</f>
        <v xml:space="preserve">   IN</v>
      </c>
      <c r="B11108" t="str">
        <f>T("   Inde")</f>
        <v xml:space="preserve">   Inde</v>
      </c>
      <c r="C11108">
        <v>19653829</v>
      </c>
      <c r="D11108">
        <v>8510</v>
      </c>
    </row>
    <row r="11109" spans="1:4" x14ac:dyDescent="0.25">
      <c r="A11109" t="str">
        <f>T("   NL")</f>
        <v xml:space="preserve">   NL</v>
      </c>
      <c r="B11109" t="str">
        <f>T("   Pays-bas")</f>
        <v xml:space="preserve">   Pays-bas</v>
      </c>
      <c r="C11109">
        <v>20136922</v>
      </c>
      <c r="D11109">
        <v>6680</v>
      </c>
    </row>
    <row r="11110" spans="1:4" x14ac:dyDescent="0.25">
      <c r="A11110" t="str">
        <f>T("   NO")</f>
        <v xml:space="preserve">   NO</v>
      </c>
      <c r="B11110" t="str">
        <f>T("   Norvège")</f>
        <v xml:space="preserve">   Norvège</v>
      </c>
      <c r="C11110">
        <v>20104432</v>
      </c>
      <c r="D11110">
        <v>5000</v>
      </c>
    </row>
    <row r="11111" spans="1:4" x14ac:dyDescent="0.25">
      <c r="A11111" t="str">
        <f>T("   SG")</f>
        <v xml:space="preserve">   SG</v>
      </c>
      <c r="B11111" t="str">
        <f>T("   Singapour")</f>
        <v xml:space="preserve">   Singapour</v>
      </c>
      <c r="C11111">
        <v>1274864</v>
      </c>
      <c r="D11111">
        <v>595</v>
      </c>
    </row>
    <row r="11112" spans="1:4" x14ac:dyDescent="0.25">
      <c r="A11112" t="str">
        <f>T("842790")</f>
        <v>842790</v>
      </c>
      <c r="B11112" t="str">
        <f>T("Chariots de manutention munis d'un dispositif de levage mais non autopropulsés")</f>
        <v>Chariots de manutention munis d'un dispositif de levage mais non autopropulsés</v>
      </c>
    </row>
    <row r="11113" spans="1:4" x14ac:dyDescent="0.25">
      <c r="A11113" t="str">
        <f>T("   ZZZ_Monde")</f>
        <v xml:space="preserve">   ZZZ_Monde</v>
      </c>
      <c r="B11113" t="str">
        <f>T("   ZZZ_Monde")</f>
        <v xml:space="preserve">   ZZZ_Monde</v>
      </c>
      <c r="C11113">
        <v>987643444</v>
      </c>
      <c r="D11113">
        <v>327855</v>
      </c>
    </row>
    <row r="11114" spans="1:4" x14ac:dyDescent="0.25">
      <c r="A11114" t="str">
        <f>T("   AE")</f>
        <v xml:space="preserve">   AE</v>
      </c>
      <c r="B11114" t="str">
        <f>T("   Emirats Arabes Unis")</f>
        <v xml:space="preserve">   Emirats Arabes Unis</v>
      </c>
      <c r="C11114">
        <v>213142</v>
      </c>
      <c r="D11114">
        <v>1000</v>
      </c>
    </row>
    <row r="11115" spans="1:4" x14ac:dyDescent="0.25">
      <c r="A11115" t="str">
        <f>T("   BE")</f>
        <v xml:space="preserve">   BE</v>
      </c>
      <c r="B11115" t="str">
        <f>T("   Belgique")</f>
        <v xml:space="preserve">   Belgique</v>
      </c>
      <c r="C11115">
        <v>488690</v>
      </c>
      <c r="D11115">
        <v>436</v>
      </c>
    </row>
    <row r="11116" spans="1:4" x14ac:dyDescent="0.25">
      <c r="A11116" t="str">
        <f>T("   CN")</f>
        <v xml:space="preserve">   CN</v>
      </c>
      <c r="B11116" t="str">
        <f>T("   Chine")</f>
        <v xml:space="preserve">   Chine</v>
      </c>
      <c r="C11116">
        <v>9048429</v>
      </c>
      <c r="D11116">
        <v>9269</v>
      </c>
    </row>
    <row r="11117" spans="1:4" x14ac:dyDescent="0.25">
      <c r="A11117" t="str">
        <f>T("   DK")</f>
        <v xml:space="preserve">   DK</v>
      </c>
      <c r="B11117" t="str">
        <f>T("   Danemark")</f>
        <v xml:space="preserve">   Danemark</v>
      </c>
      <c r="C11117">
        <v>821982570</v>
      </c>
      <c r="D11117">
        <v>285200</v>
      </c>
    </row>
    <row r="11118" spans="1:4" x14ac:dyDescent="0.25">
      <c r="A11118" t="str">
        <f>T("   FR")</f>
        <v xml:space="preserve">   FR</v>
      </c>
      <c r="B11118" t="str">
        <f>T("   France")</f>
        <v xml:space="preserve">   France</v>
      </c>
      <c r="C11118">
        <v>155596408</v>
      </c>
      <c r="D11118">
        <v>31679</v>
      </c>
    </row>
    <row r="11119" spans="1:4" x14ac:dyDescent="0.25">
      <c r="A11119" t="str">
        <f>T("   IT")</f>
        <v xml:space="preserve">   IT</v>
      </c>
      <c r="B11119" t="str">
        <f>T("   Italie")</f>
        <v xml:space="preserve">   Italie</v>
      </c>
      <c r="C11119">
        <v>314205</v>
      </c>
      <c r="D11119">
        <v>271</v>
      </c>
    </row>
    <row r="11120" spans="1:4" x14ac:dyDescent="0.25">
      <c r="A11120" t="str">
        <f>T("842810")</f>
        <v>842810</v>
      </c>
      <c r="B11120" t="str">
        <f>T("Ascenseurs et monte-charge")</f>
        <v>Ascenseurs et monte-charge</v>
      </c>
    </row>
    <row r="11121" spans="1:4" x14ac:dyDescent="0.25">
      <c r="A11121" t="str">
        <f>T("   ZZZ_Monde")</f>
        <v xml:space="preserve">   ZZZ_Monde</v>
      </c>
      <c r="B11121" t="str">
        <f>T("   ZZZ_Monde")</f>
        <v xml:space="preserve">   ZZZ_Monde</v>
      </c>
      <c r="C11121">
        <v>150572376</v>
      </c>
      <c r="D11121">
        <v>38656</v>
      </c>
    </row>
    <row r="11122" spans="1:4" x14ac:dyDescent="0.25">
      <c r="A11122" t="str">
        <f>T("   BE")</f>
        <v xml:space="preserve">   BE</v>
      </c>
      <c r="B11122" t="str">
        <f>T("   Belgique")</f>
        <v xml:space="preserve">   Belgique</v>
      </c>
      <c r="C11122">
        <v>16114969</v>
      </c>
      <c r="D11122">
        <v>4000</v>
      </c>
    </row>
    <row r="11123" spans="1:4" x14ac:dyDescent="0.25">
      <c r="A11123" t="str">
        <f>T("   CN")</f>
        <v xml:space="preserve">   CN</v>
      </c>
      <c r="B11123" t="str">
        <f>T("   Chine")</f>
        <v xml:space="preserve">   Chine</v>
      </c>
      <c r="C11123">
        <v>150799</v>
      </c>
      <c r="D11123">
        <v>244</v>
      </c>
    </row>
    <row r="11124" spans="1:4" x14ac:dyDescent="0.25">
      <c r="A11124" t="str">
        <f>T("   FR")</f>
        <v xml:space="preserve">   FR</v>
      </c>
      <c r="B11124" t="str">
        <f>T("   France")</f>
        <v xml:space="preserve">   France</v>
      </c>
      <c r="C11124">
        <v>134306608</v>
      </c>
      <c r="D11124">
        <v>34412</v>
      </c>
    </row>
    <row r="11125" spans="1:4" x14ac:dyDescent="0.25">
      <c r="A11125" t="str">
        <f>T("842820")</f>
        <v>842820</v>
      </c>
      <c r="B11125" t="str">
        <f>T("Appareils élévateurs ou transporteurs, pneumatiques")</f>
        <v>Appareils élévateurs ou transporteurs, pneumatiques</v>
      </c>
    </row>
    <row r="11126" spans="1:4" x14ac:dyDescent="0.25">
      <c r="A11126" t="str">
        <f>T("   ZZZ_Monde")</f>
        <v xml:space="preserve">   ZZZ_Monde</v>
      </c>
      <c r="B11126" t="str">
        <f>T("   ZZZ_Monde")</f>
        <v xml:space="preserve">   ZZZ_Monde</v>
      </c>
      <c r="C11126">
        <v>459907790</v>
      </c>
      <c r="D11126">
        <v>140100</v>
      </c>
    </row>
    <row r="11127" spans="1:4" x14ac:dyDescent="0.25">
      <c r="A11127" t="str">
        <f>T("   DE")</f>
        <v xml:space="preserve">   DE</v>
      </c>
      <c r="B11127" t="str">
        <f>T("   Allemagne")</f>
        <v xml:space="preserve">   Allemagne</v>
      </c>
      <c r="C11127">
        <v>899781</v>
      </c>
      <c r="D11127">
        <v>3000</v>
      </c>
    </row>
    <row r="11128" spans="1:4" x14ac:dyDescent="0.25">
      <c r="A11128" t="str">
        <f>T("   FR")</f>
        <v xml:space="preserve">   FR</v>
      </c>
      <c r="B11128" t="str">
        <f>T("   France")</f>
        <v xml:space="preserve">   France</v>
      </c>
      <c r="C11128">
        <v>459008009</v>
      </c>
      <c r="D11128">
        <v>137100</v>
      </c>
    </row>
    <row r="11129" spans="1:4" x14ac:dyDescent="0.25">
      <c r="A11129" t="str">
        <f>T("842833")</f>
        <v>842833</v>
      </c>
      <c r="B11129" t="str">
        <f>T("Appareils élévateurs, transporteurs ou convoyeurs pour marchandises, à action continue, à bande ou à courroie (autres que conçus pour mines au fond et autres travaux souterrains)")</f>
        <v>Appareils élévateurs, transporteurs ou convoyeurs pour marchandises, à action continue, à bande ou à courroie (autres que conçus pour mines au fond et autres travaux souterrains)</v>
      </c>
    </row>
    <row r="11130" spans="1:4" x14ac:dyDescent="0.25">
      <c r="A11130" t="str">
        <f>T("   ZZZ_Monde")</f>
        <v xml:space="preserve">   ZZZ_Monde</v>
      </c>
      <c r="B11130" t="str">
        <f>T("   ZZZ_Monde")</f>
        <v xml:space="preserve">   ZZZ_Monde</v>
      </c>
      <c r="C11130">
        <v>96224089</v>
      </c>
      <c r="D11130">
        <v>5983</v>
      </c>
    </row>
    <row r="11131" spans="1:4" x14ac:dyDescent="0.25">
      <c r="A11131" t="str">
        <f>T("   BE")</f>
        <v xml:space="preserve">   BE</v>
      </c>
      <c r="B11131" t="str">
        <f>T("   Belgique")</f>
        <v xml:space="preserve">   Belgique</v>
      </c>
      <c r="C11131">
        <v>4132548</v>
      </c>
      <c r="D11131">
        <v>580</v>
      </c>
    </row>
    <row r="11132" spans="1:4" x14ac:dyDescent="0.25">
      <c r="A11132" t="str">
        <f>T("   DE")</f>
        <v xml:space="preserve">   DE</v>
      </c>
      <c r="B11132" t="str">
        <f>T("   Allemagne")</f>
        <v xml:space="preserve">   Allemagne</v>
      </c>
      <c r="C11132">
        <v>2130210</v>
      </c>
      <c r="D11132">
        <v>1</v>
      </c>
    </row>
    <row r="11133" spans="1:4" x14ac:dyDescent="0.25">
      <c r="A11133" t="str">
        <f>T("   FR")</f>
        <v xml:space="preserve">   FR</v>
      </c>
      <c r="B11133" t="str">
        <f>T("   France")</f>
        <v xml:space="preserve">   France</v>
      </c>
      <c r="C11133">
        <v>68526856</v>
      </c>
      <c r="D11133">
        <v>4280</v>
      </c>
    </row>
    <row r="11134" spans="1:4" x14ac:dyDescent="0.25">
      <c r="A11134" t="str">
        <f>T("   IT")</f>
        <v xml:space="preserve">   IT</v>
      </c>
      <c r="B11134" t="str">
        <f>T("   Italie")</f>
        <v xml:space="preserve">   Italie</v>
      </c>
      <c r="C11134">
        <v>21434475</v>
      </c>
      <c r="D11134">
        <v>1122</v>
      </c>
    </row>
    <row r="11135" spans="1:4" x14ac:dyDescent="0.25">
      <c r="A11135" t="str">
        <f>T("842839")</f>
        <v>842839</v>
      </c>
      <c r="B11135" t="str">
        <f>T("Appareils élévateurs, transporteurs ou convoyeurs pour marchandises, à action continue (autres que conçus pour mines au fond ou pour autres travaux souterrains, autres qu'à benne, à bande ou à courroie et autres que pneumatiques)")</f>
        <v>Appareils élévateurs, transporteurs ou convoyeurs pour marchandises, à action continue (autres que conçus pour mines au fond ou pour autres travaux souterrains, autres qu'à benne, à bande ou à courroie et autres que pneumatiques)</v>
      </c>
    </row>
    <row r="11136" spans="1:4" x14ac:dyDescent="0.25">
      <c r="A11136" t="str">
        <f>T("   ZZZ_Monde")</f>
        <v xml:space="preserve">   ZZZ_Monde</v>
      </c>
      <c r="B11136" t="str">
        <f>T("   ZZZ_Monde")</f>
        <v xml:space="preserve">   ZZZ_Monde</v>
      </c>
      <c r="C11136">
        <v>319294502</v>
      </c>
      <c r="D11136">
        <v>90604</v>
      </c>
    </row>
    <row r="11137" spans="1:4" x14ac:dyDescent="0.25">
      <c r="A11137" t="str">
        <f>T("   BE")</f>
        <v xml:space="preserve">   BE</v>
      </c>
      <c r="B11137" t="str">
        <f>T("   Belgique")</f>
        <v xml:space="preserve">   Belgique</v>
      </c>
      <c r="C11137">
        <v>64507106</v>
      </c>
      <c r="D11137">
        <v>14000</v>
      </c>
    </row>
    <row r="11138" spans="1:4" x14ac:dyDescent="0.25">
      <c r="A11138" t="str">
        <f>T("   CN")</f>
        <v xml:space="preserve">   CN</v>
      </c>
      <c r="B11138" t="str">
        <f>T("   Chine")</f>
        <v xml:space="preserve">   Chine</v>
      </c>
      <c r="C11138">
        <v>344603</v>
      </c>
      <c r="D11138">
        <v>48</v>
      </c>
    </row>
    <row r="11139" spans="1:4" x14ac:dyDescent="0.25">
      <c r="A11139" t="str">
        <f>T("   DE")</f>
        <v xml:space="preserve">   DE</v>
      </c>
      <c r="B11139" t="str">
        <f>T("   Allemagne")</f>
        <v xml:space="preserve">   Allemagne</v>
      </c>
      <c r="C11139">
        <v>2943840</v>
      </c>
      <c r="D11139">
        <v>7000</v>
      </c>
    </row>
    <row r="11140" spans="1:4" x14ac:dyDescent="0.25">
      <c r="A11140" t="str">
        <f>T("   FR")</f>
        <v xml:space="preserve">   FR</v>
      </c>
      <c r="B11140" t="str">
        <f>T("   France")</f>
        <v xml:space="preserve">   France</v>
      </c>
      <c r="C11140">
        <v>79580112</v>
      </c>
      <c r="D11140">
        <v>24260</v>
      </c>
    </row>
    <row r="11141" spans="1:4" x14ac:dyDescent="0.25">
      <c r="A11141" t="str">
        <f>T("   GB")</f>
        <v xml:space="preserve">   GB</v>
      </c>
      <c r="B11141" t="str">
        <f>T("   Royaume-Uni")</f>
        <v xml:space="preserve">   Royaume-Uni</v>
      </c>
      <c r="C11141">
        <v>158742320</v>
      </c>
      <c r="D11141">
        <v>28000</v>
      </c>
    </row>
    <row r="11142" spans="1:4" x14ac:dyDescent="0.25">
      <c r="A11142" t="str">
        <f>T("   IN")</f>
        <v xml:space="preserve">   IN</v>
      </c>
      <c r="B11142" t="str">
        <f>T("   Inde")</f>
        <v xml:space="preserve">   Inde</v>
      </c>
      <c r="C11142">
        <v>419911</v>
      </c>
      <c r="D11142">
        <v>193</v>
      </c>
    </row>
    <row r="11143" spans="1:4" x14ac:dyDescent="0.25">
      <c r="A11143" t="str">
        <f>T("   IT")</f>
        <v xml:space="preserve">   IT</v>
      </c>
      <c r="B11143" t="str">
        <f>T("   Italie")</f>
        <v xml:space="preserve">   Italie</v>
      </c>
      <c r="C11143">
        <v>12756610</v>
      </c>
      <c r="D11143">
        <v>17103</v>
      </c>
    </row>
    <row r="11144" spans="1:4" x14ac:dyDescent="0.25">
      <c r="A11144" t="str">
        <f>T("842840")</f>
        <v>842840</v>
      </c>
      <c r="B11144" t="str">
        <f>T("Escaliers mécaniques et trottoirs roulants")</f>
        <v>Escaliers mécaniques et trottoirs roulants</v>
      </c>
    </row>
    <row r="11145" spans="1:4" x14ac:dyDescent="0.25">
      <c r="A11145" t="str">
        <f>T("   ZZZ_Monde")</f>
        <v xml:space="preserve">   ZZZ_Monde</v>
      </c>
      <c r="B11145" t="str">
        <f>T("   ZZZ_Monde")</f>
        <v xml:space="preserve">   ZZZ_Monde</v>
      </c>
      <c r="C11145">
        <v>14791898</v>
      </c>
      <c r="D11145">
        <v>3500</v>
      </c>
    </row>
    <row r="11146" spans="1:4" x14ac:dyDescent="0.25">
      <c r="A11146" t="str">
        <f>T("   GB")</f>
        <v xml:space="preserve">   GB</v>
      </c>
      <c r="B11146" t="str">
        <f>T("   Royaume-Uni")</f>
        <v xml:space="preserve">   Royaume-Uni</v>
      </c>
      <c r="C11146">
        <v>14791898</v>
      </c>
      <c r="D11146">
        <v>3500</v>
      </c>
    </row>
    <row r="11147" spans="1:4" x14ac:dyDescent="0.25">
      <c r="A11147" t="str">
        <f>T("842890")</f>
        <v>842890</v>
      </c>
      <c r="B11147" t="str">
        <f>T("Machines et appareils de levage, chargement, déchargement ou manutention, n.d.a.")</f>
        <v>Machines et appareils de levage, chargement, déchargement ou manutention, n.d.a.</v>
      </c>
    </row>
    <row r="11148" spans="1:4" x14ac:dyDescent="0.25">
      <c r="A11148" t="str">
        <f>T("   ZZZ_Monde")</f>
        <v xml:space="preserve">   ZZZ_Monde</v>
      </c>
      <c r="B11148" t="str">
        <f>T("   ZZZ_Monde")</f>
        <v xml:space="preserve">   ZZZ_Monde</v>
      </c>
      <c r="C11148">
        <v>227553574</v>
      </c>
      <c r="D11148">
        <v>24980</v>
      </c>
    </row>
    <row r="11149" spans="1:4" x14ac:dyDescent="0.25">
      <c r="A11149" t="str">
        <f>T("   FR")</f>
        <v xml:space="preserve">   FR</v>
      </c>
      <c r="B11149" t="str">
        <f>T("   France")</f>
        <v xml:space="preserve">   France</v>
      </c>
      <c r="C11149">
        <v>224462082</v>
      </c>
      <c r="D11149">
        <v>18980</v>
      </c>
    </row>
    <row r="11150" spans="1:4" x14ac:dyDescent="0.25">
      <c r="A11150" t="str">
        <f>T("   TG")</f>
        <v xml:space="preserve">   TG</v>
      </c>
      <c r="B11150" t="str">
        <f>T("   Togo")</f>
        <v xml:space="preserve">   Togo</v>
      </c>
      <c r="C11150">
        <v>3091492</v>
      </c>
      <c r="D11150">
        <v>6000</v>
      </c>
    </row>
    <row r="11151" spans="1:4" x14ac:dyDescent="0.25">
      <c r="A11151" t="str">
        <f>T("842911")</f>
        <v>842911</v>
      </c>
      <c r="B11151" t="str">
        <f>T("Bouteurs 'bulldozers' et bouteurs biais 'angledozers', à chenilles")</f>
        <v>Bouteurs 'bulldozers' et bouteurs biais 'angledozers', à chenilles</v>
      </c>
    </row>
    <row r="11152" spans="1:4" x14ac:dyDescent="0.25">
      <c r="A11152" t="str">
        <f>T("   ZZZ_Monde")</f>
        <v xml:space="preserve">   ZZZ_Monde</v>
      </c>
      <c r="B11152" t="str">
        <f>T("   ZZZ_Monde")</f>
        <v xml:space="preserve">   ZZZ_Monde</v>
      </c>
      <c r="C11152">
        <v>148969161</v>
      </c>
      <c r="D11152">
        <v>154100</v>
      </c>
    </row>
    <row r="11153" spans="1:4" x14ac:dyDescent="0.25">
      <c r="A11153" t="str">
        <f>T("   BE")</f>
        <v xml:space="preserve">   BE</v>
      </c>
      <c r="B11153" t="str">
        <f>T("   Belgique")</f>
        <v xml:space="preserve">   Belgique</v>
      </c>
      <c r="C11153">
        <v>5004975</v>
      </c>
      <c r="D11153">
        <v>5000</v>
      </c>
    </row>
    <row r="11154" spans="1:4" x14ac:dyDescent="0.25">
      <c r="A11154" t="str">
        <f>T("   FR")</f>
        <v xml:space="preserve">   FR</v>
      </c>
      <c r="B11154" t="str">
        <f>T("   France")</f>
        <v xml:space="preserve">   France</v>
      </c>
      <c r="C11154">
        <v>73964186</v>
      </c>
      <c r="D11154">
        <v>83800</v>
      </c>
    </row>
    <row r="11155" spans="1:4" x14ac:dyDescent="0.25">
      <c r="A11155" t="str">
        <f>T("   TG")</f>
        <v xml:space="preserve">   TG</v>
      </c>
      <c r="B11155" t="str">
        <f>T("   Togo")</f>
        <v xml:space="preserve">   Togo</v>
      </c>
      <c r="C11155">
        <v>70000000</v>
      </c>
      <c r="D11155">
        <v>65300</v>
      </c>
    </row>
    <row r="11156" spans="1:4" x14ac:dyDescent="0.25">
      <c r="A11156" t="str">
        <f>T("842919")</f>
        <v>842919</v>
      </c>
      <c r="B11156" t="str">
        <f>T("Bouteurs 'bulldozers' et bouteurs biais 'angledozers', sur roues")</f>
        <v>Bouteurs 'bulldozers' et bouteurs biais 'angledozers', sur roues</v>
      </c>
    </row>
    <row r="11157" spans="1:4" x14ac:dyDescent="0.25">
      <c r="A11157" t="str">
        <f>T("   ZZZ_Monde")</f>
        <v xml:space="preserve">   ZZZ_Monde</v>
      </c>
      <c r="B11157" t="str">
        <f>T("   ZZZ_Monde")</f>
        <v xml:space="preserve">   ZZZ_Monde</v>
      </c>
      <c r="C11157">
        <v>49484211</v>
      </c>
      <c r="D11157">
        <v>30010</v>
      </c>
    </row>
    <row r="11158" spans="1:4" x14ac:dyDescent="0.25">
      <c r="A11158" t="str">
        <f>T("   FR")</f>
        <v xml:space="preserve">   FR</v>
      </c>
      <c r="B11158" t="str">
        <f>T("   France")</f>
        <v xml:space="preserve">   France</v>
      </c>
      <c r="C11158">
        <v>49448401</v>
      </c>
      <c r="D11158">
        <v>30000</v>
      </c>
    </row>
    <row r="11159" spans="1:4" x14ac:dyDescent="0.25">
      <c r="A11159" t="str">
        <f>T("   TG")</f>
        <v xml:space="preserve">   TG</v>
      </c>
      <c r="B11159" t="str">
        <f>T("   Togo")</f>
        <v xml:space="preserve">   Togo</v>
      </c>
      <c r="C11159">
        <v>35810</v>
      </c>
      <c r="D11159">
        <v>10</v>
      </c>
    </row>
    <row r="11160" spans="1:4" x14ac:dyDescent="0.25">
      <c r="A11160" t="str">
        <f>T("842920")</f>
        <v>842920</v>
      </c>
      <c r="B11160" t="str">
        <f>T("Niveleuses autopropulsées")</f>
        <v>Niveleuses autopropulsées</v>
      </c>
    </row>
    <row r="11161" spans="1:4" x14ac:dyDescent="0.25">
      <c r="A11161" t="str">
        <f>T("   ZZZ_Monde")</f>
        <v xml:space="preserve">   ZZZ_Monde</v>
      </c>
      <c r="B11161" t="str">
        <f>T("   ZZZ_Monde")</f>
        <v xml:space="preserve">   ZZZ_Monde</v>
      </c>
      <c r="C11161">
        <v>222821477</v>
      </c>
      <c r="D11161">
        <v>155600</v>
      </c>
    </row>
    <row r="11162" spans="1:4" x14ac:dyDescent="0.25">
      <c r="A11162" t="str">
        <f>T("   BE")</f>
        <v xml:space="preserve">   BE</v>
      </c>
      <c r="B11162" t="str">
        <f>T("   Belgique")</f>
        <v xml:space="preserve">   Belgique</v>
      </c>
      <c r="C11162">
        <v>49197000</v>
      </c>
      <c r="D11162">
        <v>14500</v>
      </c>
    </row>
    <row r="11163" spans="1:4" x14ac:dyDescent="0.25">
      <c r="A11163" t="str">
        <f>T("   CN")</f>
        <v xml:space="preserve">   CN</v>
      </c>
      <c r="B11163" t="str">
        <f>T("   Chine")</f>
        <v xml:space="preserve">   Chine</v>
      </c>
      <c r="C11163">
        <v>11213421</v>
      </c>
      <c r="D11163">
        <v>8080</v>
      </c>
    </row>
    <row r="11164" spans="1:4" x14ac:dyDescent="0.25">
      <c r="A11164" t="str">
        <f>T("   FR")</f>
        <v xml:space="preserve">   FR</v>
      </c>
      <c r="B11164" t="str">
        <f>T("   France")</f>
        <v xml:space="preserve">   France</v>
      </c>
      <c r="C11164">
        <v>140109276</v>
      </c>
      <c r="D11164">
        <v>84140</v>
      </c>
    </row>
    <row r="11165" spans="1:4" x14ac:dyDescent="0.25">
      <c r="A11165" t="str">
        <f>T("   TG")</f>
        <v xml:space="preserve">   TG</v>
      </c>
      <c r="B11165" t="str">
        <f>T("   Togo")</f>
        <v xml:space="preserve">   Togo</v>
      </c>
      <c r="C11165">
        <v>300000</v>
      </c>
      <c r="D11165">
        <v>800</v>
      </c>
    </row>
    <row r="11166" spans="1:4" x14ac:dyDescent="0.25">
      <c r="A11166" t="str">
        <f>T("   US")</f>
        <v xml:space="preserve">   US</v>
      </c>
      <c r="B11166" t="str">
        <f>T("   Etats-Unis")</f>
        <v xml:space="preserve">   Etats-Unis</v>
      </c>
      <c r="C11166">
        <v>22001780</v>
      </c>
      <c r="D11166">
        <v>48080</v>
      </c>
    </row>
    <row r="11167" spans="1:4" x14ac:dyDescent="0.25">
      <c r="A11167" t="str">
        <f>T("842940")</f>
        <v>842940</v>
      </c>
      <c r="B11167" t="str">
        <f>T("Rouleaux compresseurs et autres compacteuses, autopropulsés")</f>
        <v>Rouleaux compresseurs et autres compacteuses, autopropulsés</v>
      </c>
    </row>
    <row r="11168" spans="1:4" x14ac:dyDescent="0.25">
      <c r="A11168" t="str">
        <f>T("   ZZZ_Monde")</f>
        <v xml:space="preserve">   ZZZ_Monde</v>
      </c>
      <c r="B11168" t="str">
        <f>T("   ZZZ_Monde")</f>
        <v xml:space="preserve">   ZZZ_Monde</v>
      </c>
      <c r="C11168">
        <v>423211614</v>
      </c>
      <c r="D11168">
        <v>196206</v>
      </c>
    </row>
    <row r="11169" spans="1:4" x14ac:dyDescent="0.25">
      <c r="A11169" t="str">
        <f>T("   BE")</f>
        <v xml:space="preserve">   BE</v>
      </c>
      <c r="B11169" t="str">
        <f>T("   Belgique")</f>
        <v xml:space="preserve">   Belgique</v>
      </c>
      <c r="C11169">
        <v>225337293</v>
      </c>
      <c r="D11169">
        <v>73548</v>
      </c>
    </row>
    <row r="11170" spans="1:4" x14ac:dyDescent="0.25">
      <c r="A11170" t="str">
        <f>T("   CN")</f>
        <v xml:space="preserve">   CN</v>
      </c>
      <c r="B11170" t="str">
        <f>T("   Chine")</f>
        <v xml:space="preserve">   Chine</v>
      </c>
      <c r="C11170">
        <v>7708186</v>
      </c>
      <c r="D11170">
        <v>1700</v>
      </c>
    </row>
    <row r="11171" spans="1:4" x14ac:dyDescent="0.25">
      <c r="A11171" t="str">
        <f>T("   DE")</f>
        <v xml:space="preserve">   DE</v>
      </c>
      <c r="B11171" t="str">
        <f>T("   Allemagne")</f>
        <v xml:space="preserve">   Allemagne</v>
      </c>
      <c r="C11171">
        <v>1249761</v>
      </c>
      <c r="D11171">
        <v>3663</v>
      </c>
    </row>
    <row r="11172" spans="1:4" x14ac:dyDescent="0.25">
      <c r="A11172" t="str">
        <f>T("   FR")</f>
        <v xml:space="preserve">   FR</v>
      </c>
      <c r="B11172" t="str">
        <f>T("   France")</f>
        <v xml:space="preserve">   France</v>
      </c>
      <c r="C11172">
        <v>161676029</v>
      </c>
      <c r="D11172">
        <v>72930</v>
      </c>
    </row>
    <row r="11173" spans="1:4" x14ac:dyDescent="0.25">
      <c r="A11173" t="str">
        <f>T("   NL")</f>
        <v xml:space="preserve">   NL</v>
      </c>
      <c r="B11173" t="str">
        <f>T("   Pays-bas")</f>
        <v xml:space="preserve">   Pays-bas</v>
      </c>
      <c r="C11173">
        <v>8930075</v>
      </c>
      <c r="D11173">
        <v>6460</v>
      </c>
    </row>
    <row r="11174" spans="1:4" x14ac:dyDescent="0.25">
      <c r="A11174" t="str">
        <f>T("   TG")</f>
        <v xml:space="preserve">   TG</v>
      </c>
      <c r="B11174" t="str">
        <f>T("   Togo")</f>
        <v xml:space="preserve">   Togo</v>
      </c>
      <c r="C11174">
        <v>18310270</v>
      </c>
      <c r="D11174">
        <v>37905</v>
      </c>
    </row>
    <row r="11175" spans="1:4" x14ac:dyDescent="0.25">
      <c r="A11175" t="str">
        <f>T("842951")</f>
        <v>842951</v>
      </c>
      <c r="B11175" t="str">
        <f>T("Chargeuses et chargeuses-pelleteuses, à chargement frontal, autopropulsées")</f>
        <v>Chargeuses et chargeuses-pelleteuses, à chargement frontal, autopropulsées</v>
      </c>
    </row>
    <row r="11176" spans="1:4" x14ac:dyDescent="0.25">
      <c r="A11176" t="str">
        <f>T("   ZZZ_Monde")</f>
        <v xml:space="preserve">   ZZZ_Monde</v>
      </c>
      <c r="B11176" t="str">
        <f>T("   ZZZ_Monde")</f>
        <v xml:space="preserve">   ZZZ_Monde</v>
      </c>
      <c r="C11176">
        <v>1270319428</v>
      </c>
      <c r="D11176">
        <v>498679</v>
      </c>
    </row>
    <row r="11177" spans="1:4" x14ac:dyDescent="0.25">
      <c r="A11177" t="str">
        <f>T("   BE")</f>
        <v xml:space="preserve">   BE</v>
      </c>
      <c r="B11177" t="str">
        <f>T("   Belgique")</f>
        <v xml:space="preserve">   Belgique</v>
      </c>
      <c r="C11177">
        <v>328681587</v>
      </c>
      <c r="D11177">
        <v>88413</v>
      </c>
    </row>
    <row r="11178" spans="1:4" x14ac:dyDescent="0.25">
      <c r="A11178" t="str">
        <f>T("   CN")</f>
        <v xml:space="preserve">   CN</v>
      </c>
      <c r="B11178" t="str">
        <f>T("   Chine")</f>
        <v xml:space="preserve">   Chine</v>
      </c>
      <c r="C11178">
        <v>197636587</v>
      </c>
      <c r="D11178">
        <v>86000</v>
      </c>
    </row>
    <row r="11179" spans="1:4" x14ac:dyDescent="0.25">
      <c r="A11179" t="str">
        <f>T("   FR")</f>
        <v xml:space="preserve">   FR</v>
      </c>
      <c r="B11179" t="str">
        <f>T("   France")</f>
        <v xml:space="preserve">   France</v>
      </c>
      <c r="C11179">
        <v>594186725</v>
      </c>
      <c r="D11179">
        <v>240266</v>
      </c>
    </row>
    <row r="11180" spans="1:4" x14ac:dyDescent="0.25">
      <c r="A11180" t="str">
        <f>T("   IT")</f>
        <v xml:space="preserve">   IT</v>
      </c>
      <c r="B11180" t="str">
        <f>T("   Italie")</f>
        <v xml:space="preserve">   Italie</v>
      </c>
      <c r="C11180">
        <v>4635013</v>
      </c>
      <c r="D11180">
        <v>15000</v>
      </c>
    </row>
    <row r="11181" spans="1:4" x14ac:dyDescent="0.25">
      <c r="A11181" t="str">
        <f>T("   NL")</f>
        <v xml:space="preserve">   NL</v>
      </c>
      <c r="B11181" t="str">
        <f>T("   Pays-bas")</f>
        <v xml:space="preserve">   Pays-bas</v>
      </c>
      <c r="C11181">
        <v>102493750</v>
      </c>
      <c r="D11181">
        <v>32000</v>
      </c>
    </row>
    <row r="11182" spans="1:4" x14ac:dyDescent="0.25">
      <c r="A11182" t="str">
        <f>T("   TG")</f>
        <v xml:space="preserve">   TG</v>
      </c>
      <c r="B11182" t="str">
        <f>T("   Togo")</f>
        <v xml:space="preserve">   Togo</v>
      </c>
      <c r="C11182">
        <v>42685766</v>
      </c>
      <c r="D11182">
        <v>37000</v>
      </c>
    </row>
    <row r="11183" spans="1:4" x14ac:dyDescent="0.25">
      <c r="A11183" t="str">
        <f>T("842952")</f>
        <v>842952</v>
      </c>
      <c r="B11183" t="str">
        <f>T("Pelles mécaniques, autopropulsées, dont la superstructure peut effectuer une rotation de 360°")</f>
        <v>Pelles mécaniques, autopropulsées, dont la superstructure peut effectuer une rotation de 360°</v>
      </c>
    </row>
    <row r="11184" spans="1:4" x14ac:dyDescent="0.25">
      <c r="A11184" t="str">
        <f>T("   ZZZ_Monde")</f>
        <v xml:space="preserve">   ZZZ_Monde</v>
      </c>
      <c r="B11184" t="str">
        <f>T("   ZZZ_Monde")</f>
        <v xml:space="preserve">   ZZZ_Monde</v>
      </c>
      <c r="C11184">
        <v>142412179</v>
      </c>
      <c r="D11184">
        <v>112400</v>
      </c>
    </row>
    <row r="11185" spans="1:4" x14ac:dyDescent="0.25">
      <c r="A11185" t="str">
        <f>T("   CN")</f>
        <v xml:space="preserve">   CN</v>
      </c>
      <c r="B11185" t="str">
        <f>T("   Chine")</f>
        <v xml:space="preserve">   Chine</v>
      </c>
      <c r="C11185">
        <v>116250890</v>
      </c>
      <c r="D11185">
        <v>51500</v>
      </c>
    </row>
    <row r="11186" spans="1:4" x14ac:dyDescent="0.25">
      <c r="A11186" t="str">
        <f>T("   FR")</f>
        <v xml:space="preserve">   FR</v>
      </c>
      <c r="B11186" t="str">
        <f>T("   France")</f>
        <v xml:space="preserve">   France</v>
      </c>
      <c r="C11186">
        <v>18160456</v>
      </c>
      <c r="D11186">
        <v>45000</v>
      </c>
    </row>
    <row r="11187" spans="1:4" x14ac:dyDescent="0.25">
      <c r="A11187" t="str">
        <f>T("   US")</f>
        <v xml:space="preserve">   US</v>
      </c>
      <c r="B11187" t="str">
        <f>T("   Etats-Unis")</f>
        <v xml:space="preserve">   Etats-Unis</v>
      </c>
      <c r="C11187">
        <v>8000833</v>
      </c>
      <c r="D11187">
        <v>15900</v>
      </c>
    </row>
    <row r="11188" spans="1:4" x14ac:dyDescent="0.25">
      <c r="A11188" t="str">
        <f>T("842959")</f>
        <v>842959</v>
      </c>
      <c r="B11188" t="str">
        <f>T("PELLES MÉCANIQUES, EXCAVATEURS, CHARGEUSES ET CHARGEUSES-PELLETEUSES, AUTOPROPULSÉS (SAUF PELLES-MÉCANIQUES DONT LA SUPERSTRUCTURE PEUT EFFECTUER UNE ROTATION DE 360¦ ET SAUF CHARGEUSES À CHARGEMENT FRONTAL)")</f>
        <v>PELLES MÉCANIQUES, EXCAVATEURS, CHARGEUSES ET CHARGEUSES-PELLETEUSES, AUTOPROPULSÉS (SAUF PELLES-MÉCANIQUES DONT LA SUPERSTRUCTURE PEUT EFFECTUER UNE ROTATION DE 360¦ ET SAUF CHARGEUSES À CHARGEMENT FRONTAL)</v>
      </c>
    </row>
    <row r="11189" spans="1:4" x14ac:dyDescent="0.25">
      <c r="A11189" t="str">
        <f>T("   ZZZ_Monde")</f>
        <v xml:space="preserve">   ZZZ_Monde</v>
      </c>
      <c r="B11189" t="str">
        <f>T("   ZZZ_Monde")</f>
        <v xml:space="preserve">   ZZZ_Monde</v>
      </c>
      <c r="C11189">
        <v>1032599217</v>
      </c>
      <c r="D11189">
        <v>582960</v>
      </c>
    </row>
    <row r="11190" spans="1:4" x14ac:dyDescent="0.25">
      <c r="A11190" t="str">
        <f>T("   BE")</f>
        <v xml:space="preserve">   BE</v>
      </c>
      <c r="B11190" t="str">
        <f>T("   Belgique")</f>
        <v xml:space="preserve">   Belgique</v>
      </c>
      <c r="C11190">
        <v>104638977</v>
      </c>
      <c r="D11190">
        <v>107986</v>
      </c>
    </row>
    <row r="11191" spans="1:4" x14ac:dyDescent="0.25">
      <c r="A11191" t="str">
        <f>T("   FR")</f>
        <v xml:space="preserve">   FR</v>
      </c>
      <c r="B11191" t="str">
        <f>T("   France")</f>
        <v xml:space="preserve">   France</v>
      </c>
      <c r="C11191">
        <v>722624220</v>
      </c>
      <c r="D11191">
        <v>345000</v>
      </c>
    </row>
    <row r="11192" spans="1:4" x14ac:dyDescent="0.25">
      <c r="A11192" t="str">
        <f>T("   IT")</f>
        <v xml:space="preserve">   IT</v>
      </c>
      <c r="B11192" t="str">
        <f>T("   Italie")</f>
        <v xml:space="preserve">   Italie</v>
      </c>
      <c r="C11192">
        <v>4276859</v>
      </c>
      <c r="D11192">
        <v>10000</v>
      </c>
    </row>
    <row r="11193" spans="1:4" x14ac:dyDescent="0.25">
      <c r="A11193" t="str">
        <f>T("   NL")</f>
        <v xml:space="preserve">   NL</v>
      </c>
      <c r="B11193" t="str">
        <f>T("   Pays-bas")</f>
        <v xml:space="preserve">   Pays-bas</v>
      </c>
      <c r="C11193">
        <v>125192750</v>
      </c>
      <c r="D11193">
        <v>82813</v>
      </c>
    </row>
    <row r="11194" spans="1:4" x14ac:dyDescent="0.25">
      <c r="A11194" t="str">
        <f>T("   NO")</f>
        <v xml:space="preserve">   NO</v>
      </c>
      <c r="B11194" t="str">
        <f>T("   Norvège")</f>
        <v xml:space="preserve">   Norvège</v>
      </c>
      <c r="C11194">
        <v>44866411</v>
      </c>
      <c r="D11194">
        <v>7061</v>
      </c>
    </row>
    <row r="11195" spans="1:4" x14ac:dyDescent="0.25">
      <c r="A11195" t="str">
        <f>T("   TG")</f>
        <v xml:space="preserve">   TG</v>
      </c>
      <c r="B11195" t="str">
        <f>T("   Togo")</f>
        <v xml:space="preserve">   Togo</v>
      </c>
      <c r="C11195">
        <v>31000000</v>
      </c>
      <c r="D11195">
        <v>30100</v>
      </c>
    </row>
    <row r="11196" spans="1:4" x14ac:dyDescent="0.25">
      <c r="A11196" t="str">
        <f>T("843041")</f>
        <v>843041</v>
      </c>
      <c r="B11196" t="str">
        <f>T("Machines de sondage ou de forage de la terre, des minéraux ou des minerais, autopropulsées (à l'excl. des machines montées sur wagons pour réseaux ferroviaires ou sur châssis d'automobiles ou sur camions, et sauf machines à creuser les tunnels et autres m")</f>
        <v>Machines de sondage ou de forage de la terre, des minéraux ou des minerais, autopropulsées (à l'excl. des machines montées sur wagons pour réseaux ferroviaires ou sur châssis d'automobiles ou sur camions, et sauf machines à creuser les tunnels et autres m</v>
      </c>
    </row>
    <row r="11197" spans="1:4" x14ac:dyDescent="0.25">
      <c r="A11197" t="str">
        <f>T("   ZZZ_Monde")</f>
        <v xml:space="preserve">   ZZZ_Monde</v>
      </c>
      <c r="B11197" t="str">
        <f>T("   ZZZ_Monde")</f>
        <v xml:space="preserve">   ZZZ_Monde</v>
      </c>
      <c r="C11197">
        <v>358102</v>
      </c>
      <c r="D11197">
        <v>1800</v>
      </c>
    </row>
    <row r="11198" spans="1:4" x14ac:dyDescent="0.25">
      <c r="A11198" t="str">
        <f>T("   TG")</f>
        <v xml:space="preserve">   TG</v>
      </c>
      <c r="B11198" t="str">
        <f>T("   Togo")</f>
        <v xml:space="preserve">   Togo</v>
      </c>
      <c r="C11198">
        <v>358102</v>
      </c>
      <c r="D11198">
        <v>1800</v>
      </c>
    </row>
    <row r="11199" spans="1:4" x14ac:dyDescent="0.25">
      <c r="A11199" t="str">
        <f>T("843049")</f>
        <v>843049</v>
      </c>
      <c r="B11199" t="str">
        <f>T("Machines de sondage ou de forage de la terre, des minéraux ou des minerais non autopropulsées et non hydrauliques (à l'excl. des machines à creuser les tunnels et autres machines à creuser les galeries, et sauf outillage pour emploi à la main)")</f>
        <v>Machines de sondage ou de forage de la terre, des minéraux ou des minerais non autopropulsées et non hydrauliques (à l'excl. des machines à creuser les tunnels et autres machines à creuser les galeries, et sauf outillage pour emploi à la main)</v>
      </c>
    </row>
    <row r="11200" spans="1:4" x14ac:dyDescent="0.25">
      <c r="A11200" t="str">
        <f>T("   ZZZ_Monde")</f>
        <v xml:space="preserve">   ZZZ_Monde</v>
      </c>
      <c r="B11200" t="str">
        <f>T("   ZZZ_Monde")</f>
        <v xml:space="preserve">   ZZZ_Monde</v>
      </c>
      <c r="C11200">
        <v>327293662</v>
      </c>
      <c r="D11200">
        <v>144199</v>
      </c>
    </row>
    <row r="11201" spans="1:4" x14ac:dyDescent="0.25">
      <c r="A11201" t="str">
        <f>T("   BE")</f>
        <v xml:space="preserve">   BE</v>
      </c>
      <c r="B11201" t="str">
        <f>T("   Belgique")</f>
        <v xml:space="preserve">   Belgique</v>
      </c>
      <c r="C11201">
        <v>655960</v>
      </c>
      <c r="D11201">
        <v>2000</v>
      </c>
    </row>
    <row r="11202" spans="1:4" x14ac:dyDescent="0.25">
      <c r="A11202" t="str">
        <f>T("   CN")</f>
        <v xml:space="preserve">   CN</v>
      </c>
      <c r="B11202" t="str">
        <f>T("   Chine")</f>
        <v xml:space="preserve">   Chine</v>
      </c>
      <c r="C11202">
        <v>266246948</v>
      </c>
      <c r="D11202">
        <v>97540</v>
      </c>
    </row>
    <row r="11203" spans="1:4" x14ac:dyDescent="0.25">
      <c r="A11203" t="str">
        <f>T("   DE")</f>
        <v xml:space="preserve">   DE</v>
      </c>
      <c r="B11203" t="str">
        <f>T("   Allemagne")</f>
        <v xml:space="preserve">   Allemagne</v>
      </c>
      <c r="C11203">
        <v>600000</v>
      </c>
      <c r="D11203">
        <v>1627</v>
      </c>
    </row>
    <row r="11204" spans="1:4" x14ac:dyDescent="0.25">
      <c r="A11204" t="str">
        <f>T("   JP")</f>
        <v xml:space="preserve">   JP</v>
      </c>
      <c r="B11204" t="str">
        <f>T("   Japon")</f>
        <v xml:space="preserve">   Japon</v>
      </c>
      <c r="C11204">
        <v>4034154</v>
      </c>
      <c r="D11204">
        <v>9000</v>
      </c>
    </row>
    <row r="11205" spans="1:4" x14ac:dyDescent="0.25">
      <c r="A11205" t="str">
        <f>T("   SN")</f>
        <v xml:space="preserve">   SN</v>
      </c>
      <c r="B11205" t="str">
        <f>T("   Sénégal")</f>
        <v xml:space="preserve">   Sénégal</v>
      </c>
      <c r="C11205">
        <v>55756600</v>
      </c>
      <c r="D11205">
        <v>34032</v>
      </c>
    </row>
    <row r="11206" spans="1:4" x14ac:dyDescent="0.25">
      <c r="A11206" t="str">
        <f>T("843050")</f>
        <v>843050</v>
      </c>
      <c r="B11206" t="str">
        <f>T("Machines et appareils de terrassement, nivellement, décapage, excavation, compactage, extraction ou forage de la terre, des minéraux ou des minerais, autopropulsés, n.d.a.")</f>
        <v>Machines et appareils de terrassement, nivellement, décapage, excavation, compactage, extraction ou forage de la terre, des minéraux ou des minerais, autopropulsés, n.d.a.</v>
      </c>
    </row>
    <row r="11207" spans="1:4" x14ac:dyDescent="0.25">
      <c r="A11207" t="str">
        <f>T("   ZZZ_Monde")</f>
        <v xml:space="preserve">   ZZZ_Monde</v>
      </c>
      <c r="B11207" t="str">
        <f>T("   ZZZ_Monde")</f>
        <v xml:space="preserve">   ZZZ_Monde</v>
      </c>
      <c r="C11207">
        <v>12004068</v>
      </c>
      <c r="D11207">
        <v>30000</v>
      </c>
    </row>
    <row r="11208" spans="1:4" x14ac:dyDescent="0.25">
      <c r="A11208" t="str">
        <f>T("   FR")</f>
        <v xml:space="preserve">   FR</v>
      </c>
      <c r="B11208" t="str">
        <f>T("   France")</f>
        <v xml:space="preserve">   France</v>
      </c>
      <c r="C11208">
        <v>12004068</v>
      </c>
      <c r="D11208">
        <v>30000</v>
      </c>
    </row>
    <row r="11209" spans="1:4" x14ac:dyDescent="0.25">
      <c r="A11209" t="str">
        <f>T("843061")</f>
        <v>843061</v>
      </c>
      <c r="B11209" t="str">
        <f>T("Machines et appareils à tasser ou à compacter, non autopropulsés (sauf outillage pour emploi à la main)")</f>
        <v>Machines et appareils à tasser ou à compacter, non autopropulsés (sauf outillage pour emploi à la main)</v>
      </c>
    </row>
    <row r="11210" spans="1:4" x14ac:dyDescent="0.25">
      <c r="A11210" t="str">
        <f>T("   ZZZ_Monde")</f>
        <v xml:space="preserve">   ZZZ_Monde</v>
      </c>
      <c r="B11210" t="str">
        <f>T("   ZZZ_Monde")</f>
        <v xml:space="preserve">   ZZZ_Monde</v>
      </c>
      <c r="C11210">
        <v>22028430</v>
      </c>
      <c r="D11210">
        <v>16184</v>
      </c>
    </row>
    <row r="11211" spans="1:4" x14ac:dyDescent="0.25">
      <c r="A11211" t="str">
        <f>T("   CN")</f>
        <v xml:space="preserve">   CN</v>
      </c>
      <c r="B11211" t="str">
        <f>T("   Chine")</f>
        <v xml:space="preserve">   Chine</v>
      </c>
      <c r="C11211">
        <v>10634223</v>
      </c>
      <c r="D11211">
        <v>700</v>
      </c>
    </row>
    <row r="11212" spans="1:4" x14ac:dyDescent="0.25">
      <c r="A11212" t="str">
        <f>T("   FR")</f>
        <v xml:space="preserve">   FR</v>
      </c>
      <c r="B11212" t="str">
        <f>T("   France")</f>
        <v xml:space="preserve">   France</v>
      </c>
      <c r="C11212">
        <v>6175207</v>
      </c>
      <c r="D11212">
        <v>2784</v>
      </c>
    </row>
    <row r="11213" spans="1:4" x14ac:dyDescent="0.25">
      <c r="A11213" t="str">
        <f>T("   TG")</f>
        <v xml:space="preserve">   TG</v>
      </c>
      <c r="B11213" t="str">
        <f>T("   Togo")</f>
        <v xml:space="preserve">   Togo</v>
      </c>
      <c r="C11213">
        <v>5219000</v>
      </c>
      <c r="D11213">
        <v>12700</v>
      </c>
    </row>
    <row r="11214" spans="1:4" x14ac:dyDescent="0.25">
      <c r="A11214" t="str">
        <f>T("843069")</f>
        <v>843069</v>
      </c>
      <c r="B11214" t="str">
        <f>T("Machines et appareils de terrassement, nivellement, décapage, excavation, compactage, extraction ou forage de la terre, des minéraux ou des minerais, non autopropulsés, n.d.a.")</f>
        <v>Machines et appareils de terrassement, nivellement, décapage, excavation, compactage, extraction ou forage de la terre, des minéraux ou des minerais, non autopropulsés, n.d.a.</v>
      </c>
    </row>
    <row r="11215" spans="1:4" x14ac:dyDescent="0.25">
      <c r="A11215" t="str">
        <f>T("   ZZZ_Monde")</f>
        <v xml:space="preserve">   ZZZ_Monde</v>
      </c>
      <c r="B11215" t="str">
        <f>T("   ZZZ_Monde")</f>
        <v xml:space="preserve">   ZZZ_Monde</v>
      </c>
      <c r="C11215">
        <v>3856592</v>
      </c>
      <c r="D11215">
        <v>21042</v>
      </c>
    </row>
    <row r="11216" spans="1:4" x14ac:dyDescent="0.25">
      <c r="A11216" t="str">
        <f>T("   BE")</f>
        <v xml:space="preserve">   BE</v>
      </c>
      <c r="B11216" t="str">
        <f>T("   Belgique")</f>
        <v xml:space="preserve">   Belgique</v>
      </c>
      <c r="C11216">
        <v>125000</v>
      </c>
      <c r="D11216">
        <v>200</v>
      </c>
    </row>
    <row r="11217" spans="1:4" x14ac:dyDescent="0.25">
      <c r="A11217" t="str">
        <f>T("   FR")</f>
        <v xml:space="preserve">   FR</v>
      </c>
      <c r="B11217" t="str">
        <f>T("   France")</f>
        <v xml:space="preserve">   France</v>
      </c>
      <c r="C11217">
        <v>167926</v>
      </c>
      <c r="D11217">
        <v>102</v>
      </c>
    </row>
    <row r="11218" spans="1:4" x14ac:dyDescent="0.25">
      <c r="A11218" t="str">
        <f>T("   NG")</f>
        <v xml:space="preserve">   NG</v>
      </c>
      <c r="B11218" t="str">
        <f>T("   Nigéria")</f>
        <v xml:space="preserve">   Nigéria</v>
      </c>
      <c r="C11218">
        <v>212500</v>
      </c>
      <c r="D11218">
        <v>300</v>
      </c>
    </row>
    <row r="11219" spans="1:4" x14ac:dyDescent="0.25">
      <c r="A11219" t="str">
        <f>T("   TG")</f>
        <v xml:space="preserve">   TG</v>
      </c>
      <c r="B11219" t="str">
        <f>T("   Togo")</f>
        <v xml:space="preserve">   Togo</v>
      </c>
      <c r="C11219">
        <v>2041166</v>
      </c>
      <c r="D11219">
        <v>2620</v>
      </c>
    </row>
    <row r="11220" spans="1:4" x14ac:dyDescent="0.25">
      <c r="A11220" t="str">
        <f>T("   Z2")</f>
        <v xml:space="preserve">   Z2</v>
      </c>
      <c r="B11220" t="str">
        <f>T("   Pays non défini")</f>
        <v xml:space="preserve">   Pays non défini</v>
      </c>
      <c r="C11220">
        <v>1310000</v>
      </c>
      <c r="D11220">
        <v>17820</v>
      </c>
    </row>
    <row r="11221" spans="1:4" x14ac:dyDescent="0.25">
      <c r="A11221" t="str">
        <f>T("843110")</f>
        <v>843110</v>
      </c>
      <c r="B11221" t="str">
        <f>T("Parties de palans; treuils, cabestans; crics et vérins, n.d.a.")</f>
        <v>Parties de palans; treuils, cabestans; crics et vérins, n.d.a.</v>
      </c>
    </row>
    <row r="11222" spans="1:4" x14ac:dyDescent="0.25">
      <c r="A11222" t="str">
        <f>T("   ZZZ_Monde")</f>
        <v xml:space="preserve">   ZZZ_Monde</v>
      </c>
      <c r="B11222" t="str">
        <f>T("   ZZZ_Monde")</f>
        <v xml:space="preserve">   ZZZ_Monde</v>
      </c>
      <c r="C11222">
        <v>17693872</v>
      </c>
      <c r="D11222">
        <v>2679</v>
      </c>
    </row>
    <row r="11223" spans="1:4" x14ac:dyDescent="0.25">
      <c r="A11223" t="str">
        <f>T("   AE")</f>
        <v xml:space="preserve">   AE</v>
      </c>
      <c r="B11223" t="str">
        <f>T("   Emirats Arabes Unis")</f>
        <v xml:space="preserve">   Emirats Arabes Unis</v>
      </c>
      <c r="C11223">
        <v>6480229</v>
      </c>
      <c r="D11223">
        <v>812</v>
      </c>
    </row>
    <row r="11224" spans="1:4" x14ac:dyDescent="0.25">
      <c r="A11224" t="str">
        <f>T("   FR")</f>
        <v xml:space="preserve">   FR</v>
      </c>
      <c r="B11224" t="str">
        <f>T("   France")</f>
        <v xml:space="preserve">   France</v>
      </c>
      <c r="C11224">
        <v>11213643</v>
      </c>
      <c r="D11224">
        <v>1867</v>
      </c>
    </row>
    <row r="11225" spans="1:4" x14ac:dyDescent="0.25">
      <c r="A11225" t="str">
        <f>T("843120")</f>
        <v>843120</v>
      </c>
      <c r="B11225" t="str">
        <f>T("Parties de chariots-gerbeurs et autres chariots de manutention munis d'un dispositif de levage, n.d.a.")</f>
        <v>Parties de chariots-gerbeurs et autres chariots de manutention munis d'un dispositif de levage, n.d.a.</v>
      </c>
    </row>
    <row r="11226" spans="1:4" x14ac:dyDescent="0.25">
      <c r="A11226" t="str">
        <f>T("   ZZZ_Monde")</f>
        <v xml:space="preserve">   ZZZ_Monde</v>
      </c>
      <c r="B11226" t="str">
        <f>T("   ZZZ_Monde")</f>
        <v xml:space="preserve">   ZZZ_Monde</v>
      </c>
      <c r="C11226">
        <v>408216354</v>
      </c>
      <c r="D11226">
        <v>30659.59</v>
      </c>
    </row>
    <row r="11227" spans="1:4" x14ac:dyDescent="0.25">
      <c r="A11227" t="str">
        <f>T("   AT")</f>
        <v xml:space="preserve">   AT</v>
      </c>
      <c r="B11227" t="str">
        <f>T("   Autriche")</f>
        <v xml:space="preserve">   Autriche</v>
      </c>
      <c r="C11227">
        <v>128966550</v>
      </c>
      <c r="D11227">
        <v>7497.6</v>
      </c>
    </row>
    <row r="11228" spans="1:4" x14ac:dyDescent="0.25">
      <c r="A11228" t="str">
        <f>T("   AU")</f>
        <v xml:space="preserve">   AU</v>
      </c>
      <c r="B11228" t="str">
        <f>T("   Australie")</f>
        <v xml:space="preserve">   Australie</v>
      </c>
      <c r="C11228">
        <v>1036417</v>
      </c>
      <c r="D11228">
        <v>0.5</v>
      </c>
    </row>
    <row r="11229" spans="1:4" x14ac:dyDescent="0.25">
      <c r="A11229" t="str">
        <f>T("   BE")</f>
        <v xml:space="preserve">   BE</v>
      </c>
      <c r="B11229" t="str">
        <f>T("   Belgique")</f>
        <v xml:space="preserve">   Belgique</v>
      </c>
      <c r="C11229">
        <v>16434691</v>
      </c>
      <c r="D11229">
        <v>415.13</v>
      </c>
    </row>
    <row r="11230" spans="1:4" x14ac:dyDescent="0.25">
      <c r="A11230" t="str">
        <f>T("   CN")</f>
        <v xml:space="preserve">   CN</v>
      </c>
      <c r="B11230" t="str">
        <f>T("   Chine")</f>
        <v xml:space="preserve">   Chine</v>
      </c>
      <c r="C11230">
        <v>21092251</v>
      </c>
      <c r="D11230">
        <v>3826</v>
      </c>
    </row>
    <row r="11231" spans="1:4" x14ac:dyDescent="0.25">
      <c r="A11231" t="str">
        <f>T("   DE")</f>
        <v xml:space="preserve">   DE</v>
      </c>
      <c r="B11231" t="str">
        <f>T("   Allemagne")</f>
        <v xml:space="preserve">   Allemagne</v>
      </c>
      <c r="C11231">
        <v>1416218</v>
      </c>
      <c r="D11231">
        <v>188</v>
      </c>
    </row>
    <row r="11232" spans="1:4" x14ac:dyDescent="0.25">
      <c r="A11232" t="str">
        <f>T("   FI")</f>
        <v xml:space="preserve">   FI</v>
      </c>
      <c r="B11232" t="str">
        <f>T("   Finlande")</f>
        <v xml:space="preserve">   Finlande</v>
      </c>
      <c r="C11232">
        <v>68326854</v>
      </c>
      <c r="D11232">
        <v>5140.76</v>
      </c>
    </row>
    <row r="11233" spans="1:4" x14ac:dyDescent="0.25">
      <c r="A11233" t="str">
        <f>T("   FR")</f>
        <v xml:space="preserve">   FR</v>
      </c>
      <c r="B11233" t="str">
        <f>T("   France")</f>
        <v xml:space="preserve">   France</v>
      </c>
      <c r="C11233">
        <v>74816444</v>
      </c>
      <c r="D11233">
        <v>5349.7</v>
      </c>
    </row>
    <row r="11234" spans="1:4" x14ac:dyDescent="0.25">
      <c r="A11234" t="str">
        <f>T("   GB")</f>
        <v xml:space="preserve">   GB</v>
      </c>
      <c r="B11234" t="str">
        <f>T("   Royaume-Uni")</f>
        <v xml:space="preserve">   Royaume-Uni</v>
      </c>
      <c r="C11234">
        <v>57801891</v>
      </c>
      <c r="D11234">
        <v>3047.9</v>
      </c>
    </row>
    <row r="11235" spans="1:4" x14ac:dyDescent="0.25">
      <c r="A11235" t="str">
        <f>T("   NL")</f>
        <v xml:space="preserve">   NL</v>
      </c>
      <c r="B11235" t="str">
        <f>T("   Pays-bas")</f>
        <v xml:space="preserve">   Pays-bas</v>
      </c>
      <c r="C11235">
        <v>27242108</v>
      </c>
      <c r="D11235">
        <v>1606</v>
      </c>
    </row>
    <row r="11236" spans="1:4" x14ac:dyDescent="0.25">
      <c r="A11236" t="str">
        <f>T("   NO")</f>
        <v xml:space="preserve">   NO</v>
      </c>
      <c r="B11236" t="str">
        <f>T("   Norvège")</f>
        <v xml:space="preserve">   Norvège</v>
      </c>
      <c r="C11236">
        <v>1508865</v>
      </c>
      <c r="D11236">
        <v>3217</v>
      </c>
    </row>
    <row r="11237" spans="1:4" x14ac:dyDescent="0.25">
      <c r="A11237" t="str">
        <f>T("   SE")</f>
        <v xml:space="preserve">   SE</v>
      </c>
      <c r="B11237" t="str">
        <f>T("   Suède")</f>
        <v xml:space="preserve">   Suède</v>
      </c>
      <c r="C11237">
        <v>9574065</v>
      </c>
      <c r="D11237">
        <v>371</v>
      </c>
    </row>
    <row r="11238" spans="1:4" x14ac:dyDescent="0.25">
      <c r="A11238" t="str">
        <f>T("843131")</f>
        <v>843131</v>
      </c>
      <c r="B11238" t="str">
        <f>T("Parties d'ascenseurs, monte-charge ou escaliers mécaniques, n.d.a.")</f>
        <v>Parties d'ascenseurs, monte-charge ou escaliers mécaniques, n.d.a.</v>
      </c>
    </row>
    <row r="11239" spans="1:4" x14ac:dyDescent="0.25">
      <c r="A11239" t="str">
        <f>T("   ZZZ_Monde")</f>
        <v xml:space="preserve">   ZZZ_Monde</v>
      </c>
      <c r="B11239" t="str">
        <f>T("   ZZZ_Monde")</f>
        <v xml:space="preserve">   ZZZ_Monde</v>
      </c>
      <c r="C11239">
        <v>24599828</v>
      </c>
      <c r="D11239">
        <v>7945</v>
      </c>
    </row>
    <row r="11240" spans="1:4" x14ac:dyDescent="0.25">
      <c r="A11240" t="str">
        <f>T("   FR")</f>
        <v xml:space="preserve">   FR</v>
      </c>
      <c r="B11240" t="str">
        <f>T("   France")</f>
        <v xml:space="preserve">   France</v>
      </c>
      <c r="C11240">
        <v>16599828</v>
      </c>
      <c r="D11240">
        <v>460</v>
      </c>
    </row>
    <row r="11241" spans="1:4" x14ac:dyDescent="0.25">
      <c r="A11241" t="str">
        <f>T("   IT")</f>
        <v xml:space="preserve">   IT</v>
      </c>
      <c r="B11241" t="str">
        <f>T("   Italie")</f>
        <v xml:space="preserve">   Italie</v>
      </c>
      <c r="C11241">
        <v>8000000</v>
      </c>
      <c r="D11241">
        <v>7485</v>
      </c>
    </row>
    <row r="11242" spans="1:4" x14ac:dyDescent="0.25">
      <c r="A11242" t="str">
        <f>T("843139")</f>
        <v>843139</v>
      </c>
      <c r="B11242" t="str">
        <f>T("Parties de machines et appareils du n° 8428, n.d.a.")</f>
        <v>Parties de machines et appareils du n° 8428, n.d.a.</v>
      </c>
    </row>
    <row r="11243" spans="1:4" x14ac:dyDescent="0.25">
      <c r="A11243" t="str">
        <f>T("   ZZZ_Monde")</f>
        <v xml:space="preserve">   ZZZ_Monde</v>
      </c>
      <c r="B11243" t="str">
        <f>T("   ZZZ_Monde")</f>
        <v xml:space="preserve">   ZZZ_Monde</v>
      </c>
      <c r="C11243">
        <v>392748877</v>
      </c>
      <c r="D11243">
        <v>61015.6</v>
      </c>
    </row>
    <row r="11244" spans="1:4" x14ac:dyDescent="0.25">
      <c r="A11244" t="str">
        <f>T("   AT")</f>
        <v xml:space="preserve">   AT</v>
      </c>
      <c r="B11244" t="str">
        <f>T("   Autriche")</f>
        <v xml:space="preserve">   Autriche</v>
      </c>
      <c r="C11244">
        <v>5471599</v>
      </c>
      <c r="D11244">
        <v>127</v>
      </c>
    </row>
    <row r="11245" spans="1:4" x14ac:dyDescent="0.25">
      <c r="A11245" t="str">
        <f>T("   BE")</f>
        <v xml:space="preserve">   BE</v>
      </c>
      <c r="B11245" t="str">
        <f>T("   Belgique")</f>
        <v xml:space="preserve">   Belgique</v>
      </c>
      <c r="C11245">
        <v>1336690</v>
      </c>
      <c r="D11245">
        <v>91</v>
      </c>
    </row>
    <row r="11246" spans="1:4" x14ac:dyDescent="0.25">
      <c r="A11246" t="str">
        <f>T("   CH")</f>
        <v xml:space="preserve">   CH</v>
      </c>
      <c r="B11246" t="str">
        <f>T("   Suisse")</f>
        <v xml:space="preserve">   Suisse</v>
      </c>
      <c r="C11246">
        <v>32091925</v>
      </c>
      <c r="D11246">
        <v>2850</v>
      </c>
    </row>
    <row r="11247" spans="1:4" x14ac:dyDescent="0.25">
      <c r="A11247" t="str">
        <f>T("   CN")</f>
        <v xml:space="preserve">   CN</v>
      </c>
      <c r="B11247" t="str">
        <f>T("   Chine")</f>
        <v xml:space="preserve">   Chine</v>
      </c>
      <c r="C11247">
        <v>4337863</v>
      </c>
      <c r="D11247">
        <v>9169</v>
      </c>
    </row>
    <row r="11248" spans="1:4" x14ac:dyDescent="0.25">
      <c r="A11248" t="str">
        <f>T("   DE")</f>
        <v xml:space="preserve">   DE</v>
      </c>
      <c r="B11248" t="str">
        <f>T("   Allemagne")</f>
        <v xml:space="preserve">   Allemagne</v>
      </c>
      <c r="C11248">
        <v>3028083</v>
      </c>
      <c r="D11248">
        <v>238</v>
      </c>
    </row>
    <row r="11249" spans="1:4" x14ac:dyDescent="0.25">
      <c r="A11249" t="str">
        <f>T("   DK")</f>
        <v xml:space="preserve">   DK</v>
      </c>
      <c r="B11249" t="str">
        <f>T("   Danemark")</f>
        <v xml:space="preserve">   Danemark</v>
      </c>
      <c r="C11249">
        <v>18214698</v>
      </c>
      <c r="D11249">
        <v>2110</v>
      </c>
    </row>
    <row r="11250" spans="1:4" x14ac:dyDescent="0.25">
      <c r="A11250" t="str">
        <f>T("   FI")</f>
        <v xml:space="preserve">   FI</v>
      </c>
      <c r="B11250" t="str">
        <f>T("   Finlande")</f>
        <v xml:space="preserve">   Finlande</v>
      </c>
      <c r="C11250">
        <v>16372959</v>
      </c>
      <c r="D11250">
        <v>648</v>
      </c>
    </row>
    <row r="11251" spans="1:4" x14ac:dyDescent="0.25">
      <c r="A11251" t="str">
        <f>T("   FR")</f>
        <v xml:space="preserve">   FR</v>
      </c>
      <c r="B11251" t="str">
        <f>T("   France")</f>
        <v xml:space="preserve">   France</v>
      </c>
      <c r="C11251">
        <v>283652017</v>
      </c>
      <c r="D11251">
        <v>42648.6</v>
      </c>
    </row>
    <row r="11252" spans="1:4" x14ac:dyDescent="0.25">
      <c r="A11252" t="str">
        <f>T("   GB")</f>
        <v xml:space="preserve">   GB</v>
      </c>
      <c r="B11252" t="str">
        <f>T("   Royaume-Uni")</f>
        <v xml:space="preserve">   Royaume-Uni</v>
      </c>
      <c r="C11252">
        <v>11369931</v>
      </c>
      <c r="D11252">
        <v>690.9</v>
      </c>
    </row>
    <row r="11253" spans="1:4" x14ac:dyDescent="0.25">
      <c r="A11253" t="str">
        <f>T("   LA")</f>
        <v xml:space="preserve">   LA</v>
      </c>
      <c r="B11253" t="str">
        <f>T("   Lao, Rép. Démocratique Populaire")</f>
        <v xml:space="preserve">   Lao, Rép. Démocratique Populaire</v>
      </c>
      <c r="C11253">
        <v>861275</v>
      </c>
      <c r="D11253">
        <v>199</v>
      </c>
    </row>
    <row r="11254" spans="1:4" x14ac:dyDescent="0.25">
      <c r="A11254" t="str">
        <f>T("   LB")</f>
        <v xml:space="preserve">   LB</v>
      </c>
      <c r="B11254" t="str">
        <f>T("   Liban")</f>
        <v xml:space="preserve">   Liban</v>
      </c>
      <c r="C11254">
        <v>808184</v>
      </c>
      <c r="D11254">
        <v>250</v>
      </c>
    </row>
    <row r="11255" spans="1:4" x14ac:dyDescent="0.25">
      <c r="A11255" t="str">
        <f>T("   NG")</f>
        <v xml:space="preserve">   NG</v>
      </c>
      <c r="B11255" t="str">
        <f>T("   Nigéria")</f>
        <v xml:space="preserve">   Nigéria</v>
      </c>
      <c r="C11255">
        <v>880000</v>
      </c>
      <c r="D11255">
        <v>1100</v>
      </c>
    </row>
    <row r="11256" spans="1:4" x14ac:dyDescent="0.25">
      <c r="A11256" t="str">
        <f>T("   NL")</f>
        <v xml:space="preserve">   NL</v>
      </c>
      <c r="B11256" t="str">
        <f>T("   Pays-bas")</f>
        <v xml:space="preserve">   Pays-bas</v>
      </c>
      <c r="C11256">
        <v>1204014</v>
      </c>
      <c r="D11256">
        <v>2.1</v>
      </c>
    </row>
    <row r="11257" spans="1:4" x14ac:dyDescent="0.25">
      <c r="A11257" t="str">
        <f>T("   NZ")</f>
        <v xml:space="preserve">   NZ</v>
      </c>
      <c r="B11257" t="str">
        <f>T("   Nouvelle-Zélande")</f>
        <v xml:space="preserve">   Nouvelle-Zélande</v>
      </c>
      <c r="C11257">
        <v>1876767</v>
      </c>
      <c r="D11257">
        <v>137</v>
      </c>
    </row>
    <row r="11258" spans="1:4" x14ac:dyDescent="0.25">
      <c r="A11258" t="str">
        <f>T("   RU")</f>
        <v xml:space="preserve">   RU</v>
      </c>
      <c r="B11258" t="str">
        <f>T("   Russie, Fédération de")</f>
        <v xml:space="preserve">   Russie, Fédération de</v>
      </c>
      <c r="C11258">
        <v>1146749</v>
      </c>
      <c r="D11258">
        <v>30</v>
      </c>
    </row>
    <row r="11259" spans="1:4" x14ac:dyDescent="0.25">
      <c r="A11259" t="str">
        <f>T("   SE")</f>
        <v xml:space="preserve">   SE</v>
      </c>
      <c r="B11259" t="str">
        <f>T("   Suède")</f>
        <v xml:space="preserve">   Suède</v>
      </c>
      <c r="C11259">
        <v>9738021</v>
      </c>
      <c r="D11259">
        <v>125</v>
      </c>
    </row>
    <row r="11260" spans="1:4" x14ac:dyDescent="0.25">
      <c r="A11260" t="str">
        <f>T("   TG")</f>
        <v xml:space="preserve">   TG</v>
      </c>
      <c r="B11260" t="str">
        <f>T("   Togo")</f>
        <v xml:space="preserve">   Togo</v>
      </c>
      <c r="C11260">
        <v>358102</v>
      </c>
      <c r="D11260">
        <v>600</v>
      </c>
    </row>
    <row r="11261" spans="1:4" x14ac:dyDescent="0.25">
      <c r="A11261" t="str">
        <f>T("843141")</f>
        <v>843141</v>
      </c>
      <c r="B11261" t="str">
        <f>T("Godets, bennes, bennes-preneuses, pelles, grappins et pinces pour machines et appareils du n° 8426, 8429 ou 8430")</f>
        <v>Godets, bennes, bennes-preneuses, pelles, grappins et pinces pour machines et appareils du n° 8426, 8429 ou 8430</v>
      </c>
    </row>
    <row r="11262" spans="1:4" x14ac:dyDescent="0.25">
      <c r="A11262" t="str">
        <f>T("   ZZZ_Monde")</f>
        <v xml:space="preserve">   ZZZ_Monde</v>
      </c>
      <c r="B11262" t="str">
        <f>T("   ZZZ_Monde")</f>
        <v xml:space="preserve">   ZZZ_Monde</v>
      </c>
      <c r="C11262">
        <v>244522440</v>
      </c>
      <c r="D11262">
        <v>92164</v>
      </c>
    </row>
    <row r="11263" spans="1:4" x14ac:dyDescent="0.25">
      <c r="A11263" t="str">
        <f>T("   AU")</f>
        <v xml:space="preserve">   AU</v>
      </c>
      <c r="B11263" t="str">
        <f>T("   Australie")</f>
        <v xml:space="preserve">   Australie</v>
      </c>
      <c r="C11263">
        <v>16399000</v>
      </c>
      <c r="D11263">
        <v>5070</v>
      </c>
    </row>
    <row r="11264" spans="1:4" x14ac:dyDescent="0.25">
      <c r="A11264" t="str">
        <f>T("   DE")</f>
        <v xml:space="preserve">   DE</v>
      </c>
      <c r="B11264" t="str">
        <f>T("   Allemagne")</f>
        <v xml:space="preserve">   Allemagne</v>
      </c>
      <c r="C11264">
        <v>13931278</v>
      </c>
      <c r="D11264">
        <v>2216</v>
      </c>
    </row>
    <row r="11265" spans="1:4" x14ac:dyDescent="0.25">
      <c r="A11265" t="str">
        <f>T("   FR")</f>
        <v xml:space="preserve">   FR</v>
      </c>
      <c r="B11265" t="str">
        <f>T("   France")</f>
        <v xml:space="preserve">   France</v>
      </c>
      <c r="C11265">
        <v>155895828</v>
      </c>
      <c r="D11265">
        <v>61578</v>
      </c>
    </row>
    <row r="11266" spans="1:4" x14ac:dyDescent="0.25">
      <c r="A11266" t="str">
        <f>T("   NL")</f>
        <v xml:space="preserve">   NL</v>
      </c>
      <c r="B11266" t="str">
        <f>T("   Pays-bas")</f>
        <v xml:space="preserve">   Pays-bas</v>
      </c>
      <c r="C11266">
        <v>57311553</v>
      </c>
      <c r="D11266">
        <v>22190</v>
      </c>
    </row>
    <row r="11267" spans="1:4" x14ac:dyDescent="0.25">
      <c r="A11267" t="str">
        <f>T("   TG")</f>
        <v xml:space="preserve">   TG</v>
      </c>
      <c r="B11267" t="str">
        <f>T("   Togo")</f>
        <v xml:space="preserve">   Togo</v>
      </c>
      <c r="C11267">
        <v>984781</v>
      </c>
      <c r="D11267">
        <v>1110</v>
      </c>
    </row>
    <row r="11268" spans="1:4" x14ac:dyDescent="0.25">
      <c r="A11268" t="str">
        <f>T("843142")</f>
        <v>843142</v>
      </c>
      <c r="B11268" t="str">
        <f>T("Lames de bouteurs 'bulldozers' ou de bouteurs biais 'angledozers', n.d.a.")</f>
        <v>Lames de bouteurs 'bulldozers' ou de bouteurs biais 'angledozers', n.d.a.</v>
      </c>
    </row>
    <row r="11269" spans="1:4" x14ac:dyDescent="0.25">
      <c r="A11269" t="str">
        <f>T("   ZZZ_Monde")</f>
        <v xml:space="preserve">   ZZZ_Monde</v>
      </c>
      <c r="B11269" t="str">
        <f>T("   ZZZ_Monde")</f>
        <v xml:space="preserve">   ZZZ_Monde</v>
      </c>
      <c r="C11269">
        <v>400136</v>
      </c>
      <c r="D11269">
        <v>1500</v>
      </c>
    </row>
    <row r="11270" spans="1:4" x14ac:dyDescent="0.25">
      <c r="A11270" t="str">
        <f>T("   FR")</f>
        <v xml:space="preserve">   FR</v>
      </c>
      <c r="B11270" t="str">
        <f>T("   France")</f>
        <v xml:space="preserve">   France</v>
      </c>
      <c r="C11270">
        <v>400136</v>
      </c>
      <c r="D11270">
        <v>1500</v>
      </c>
    </row>
    <row r="11271" spans="1:4" x14ac:dyDescent="0.25">
      <c r="A11271" t="str">
        <f>T("843143")</f>
        <v>843143</v>
      </c>
      <c r="B11271" t="str">
        <f>T("Parties de machines de sondage ou de forage du n° 8430.41 ou 8430.49, n.d.a.")</f>
        <v>Parties de machines de sondage ou de forage du n° 8430.41 ou 8430.49, n.d.a.</v>
      </c>
    </row>
    <row r="11272" spans="1:4" x14ac:dyDescent="0.25">
      <c r="A11272" t="str">
        <f>T("   ZZZ_Monde")</f>
        <v xml:space="preserve">   ZZZ_Monde</v>
      </c>
      <c r="B11272" t="str">
        <f>T("   ZZZ_Monde")</f>
        <v xml:space="preserve">   ZZZ_Monde</v>
      </c>
      <c r="C11272">
        <v>27735611</v>
      </c>
      <c r="D11272">
        <v>4512</v>
      </c>
    </row>
    <row r="11273" spans="1:4" x14ac:dyDescent="0.25">
      <c r="A11273" t="str">
        <f>T("   CA")</f>
        <v xml:space="preserve">   CA</v>
      </c>
      <c r="B11273" t="str">
        <f>T("   Canada")</f>
        <v xml:space="preserve">   Canada</v>
      </c>
      <c r="C11273">
        <v>128014</v>
      </c>
      <c r="D11273">
        <v>104</v>
      </c>
    </row>
    <row r="11274" spans="1:4" x14ac:dyDescent="0.25">
      <c r="A11274" t="str">
        <f>T("   CN")</f>
        <v xml:space="preserve">   CN</v>
      </c>
      <c r="B11274" t="str">
        <f>T("   Chine")</f>
        <v xml:space="preserve">   Chine</v>
      </c>
      <c r="C11274">
        <v>1050735</v>
      </c>
      <c r="D11274">
        <v>1080</v>
      </c>
    </row>
    <row r="11275" spans="1:4" x14ac:dyDescent="0.25">
      <c r="A11275" t="str">
        <f>T("   FR")</f>
        <v xml:space="preserve">   FR</v>
      </c>
      <c r="B11275" t="str">
        <f>T("   France")</f>
        <v xml:space="preserve">   France</v>
      </c>
      <c r="C11275">
        <v>23211510</v>
      </c>
      <c r="D11275">
        <v>3092</v>
      </c>
    </row>
    <row r="11276" spans="1:4" x14ac:dyDescent="0.25">
      <c r="A11276" t="str">
        <f>T("   SE")</f>
        <v xml:space="preserve">   SE</v>
      </c>
      <c r="B11276" t="str">
        <f>T("   Suède")</f>
        <v xml:space="preserve">   Suède</v>
      </c>
      <c r="C11276">
        <v>883069</v>
      </c>
      <c r="D11276">
        <v>36</v>
      </c>
    </row>
    <row r="11277" spans="1:4" x14ac:dyDescent="0.25">
      <c r="A11277" t="str">
        <f>T("   SZ")</f>
        <v xml:space="preserve">   SZ</v>
      </c>
      <c r="B11277" t="str">
        <f>T("   Swaziland")</f>
        <v xml:space="preserve">   Swaziland</v>
      </c>
      <c r="C11277">
        <v>2462283</v>
      </c>
      <c r="D11277">
        <v>200</v>
      </c>
    </row>
    <row r="11278" spans="1:4" x14ac:dyDescent="0.25">
      <c r="A11278" t="str">
        <f>T("843149")</f>
        <v>843149</v>
      </c>
      <c r="B11278" t="str">
        <f>T("Parties de machines et appareils du n° 8426, 8429 ou 8430, n.d.a.")</f>
        <v>Parties de machines et appareils du n° 8426, 8429 ou 8430, n.d.a.</v>
      </c>
    </row>
    <row r="11279" spans="1:4" x14ac:dyDescent="0.25">
      <c r="A11279" t="str">
        <f>T("   ZZZ_Monde")</f>
        <v xml:space="preserve">   ZZZ_Monde</v>
      </c>
      <c r="B11279" t="str">
        <f>T("   ZZZ_Monde")</f>
        <v xml:space="preserve">   ZZZ_Monde</v>
      </c>
      <c r="C11279">
        <v>2352800730</v>
      </c>
      <c r="D11279">
        <v>656132.39</v>
      </c>
    </row>
    <row r="11280" spans="1:4" x14ac:dyDescent="0.25">
      <c r="A11280" t="str">
        <f>T("   AT")</f>
        <v xml:space="preserve">   AT</v>
      </c>
      <c r="B11280" t="str">
        <f>T("   Autriche")</f>
        <v xml:space="preserve">   Autriche</v>
      </c>
      <c r="C11280">
        <v>198606680</v>
      </c>
      <c r="D11280">
        <v>7987.6</v>
      </c>
    </row>
    <row r="11281" spans="1:4" x14ac:dyDescent="0.25">
      <c r="A11281" t="str">
        <f>T("   AU")</f>
        <v xml:space="preserve">   AU</v>
      </c>
      <c r="B11281" t="str">
        <f>T("   Australie")</f>
        <v xml:space="preserve">   Australie</v>
      </c>
      <c r="C11281">
        <v>539855</v>
      </c>
      <c r="D11281">
        <v>7</v>
      </c>
    </row>
    <row r="11282" spans="1:4" x14ac:dyDescent="0.25">
      <c r="A11282" t="str">
        <f>T("   BE")</f>
        <v xml:space="preserve">   BE</v>
      </c>
      <c r="B11282" t="str">
        <f>T("   Belgique")</f>
        <v xml:space="preserve">   Belgique</v>
      </c>
      <c r="C11282">
        <v>209328441</v>
      </c>
      <c r="D11282">
        <v>16568.599999999999</v>
      </c>
    </row>
    <row r="11283" spans="1:4" x14ac:dyDescent="0.25">
      <c r="A11283" t="str">
        <f>T("   CH")</f>
        <v xml:space="preserve">   CH</v>
      </c>
      <c r="B11283" t="str">
        <f>T("   Suisse")</f>
        <v xml:space="preserve">   Suisse</v>
      </c>
      <c r="C11283">
        <v>157155</v>
      </c>
      <c r="D11283">
        <v>50</v>
      </c>
    </row>
    <row r="11284" spans="1:4" x14ac:dyDescent="0.25">
      <c r="A11284" t="str">
        <f>T("   CM")</f>
        <v xml:space="preserve">   CM</v>
      </c>
      <c r="B11284" t="str">
        <f>T("   Cameroun")</f>
        <v xml:space="preserve">   Cameroun</v>
      </c>
      <c r="C11284">
        <v>366760</v>
      </c>
      <c r="D11284">
        <v>9</v>
      </c>
    </row>
    <row r="11285" spans="1:4" x14ac:dyDescent="0.25">
      <c r="A11285" t="str">
        <f>T("   CN")</f>
        <v xml:space="preserve">   CN</v>
      </c>
      <c r="B11285" t="str">
        <f>T("   Chine")</f>
        <v xml:space="preserve">   Chine</v>
      </c>
      <c r="C11285">
        <v>204047780</v>
      </c>
      <c r="D11285">
        <v>264656</v>
      </c>
    </row>
    <row r="11286" spans="1:4" x14ac:dyDescent="0.25">
      <c r="A11286" t="str">
        <f>T("   DE")</f>
        <v xml:space="preserve">   DE</v>
      </c>
      <c r="B11286" t="str">
        <f>T("   Allemagne")</f>
        <v xml:space="preserve">   Allemagne</v>
      </c>
      <c r="C11286">
        <v>13072806</v>
      </c>
      <c r="D11286">
        <v>4293.25</v>
      </c>
    </row>
    <row r="11287" spans="1:4" x14ac:dyDescent="0.25">
      <c r="A11287" t="str">
        <f>T("   DK")</f>
        <v xml:space="preserve">   DK</v>
      </c>
      <c r="B11287" t="str">
        <f>T("   Danemark")</f>
        <v xml:space="preserve">   Danemark</v>
      </c>
      <c r="C11287">
        <v>5531054</v>
      </c>
      <c r="D11287">
        <v>340</v>
      </c>
    </row>
    <row r="11288" spans="1:4" x14ac:dyDescent="0.25">
      <c r="A11288" t="str">
        <f>T("   FI")</f>
        <v xml:space="preserve">   FI</v>
      </c>
      <c r="B11288" t="str">
        <f>T("   Finlande")</f>
        <v xml:space="preserve">   Finlande</v>
      </c>
      <c r="C11288">
        <v>19765898</v>
      </c>
      <c r="D11288">
        <v>362.93</v>
      </c>
    </row>
    <row r="11289" spans="1:4" x14ac:dyDescent="0.25">
      <c r="A11289" t="str">
        <f>T("   FR")</f>
        <v xml:space="preserve">   FR</v>
      </c>
      <c r="B11289" t="str">
        <f>T("   France")</f>
        <v xml:space="preserve">   France</v>
      </c>
      <c r="C11289">
        <v>1307761957</v>
      </c>
      <c r="D11289">
        <v>306921.59999999998</v>
      </c>
    </row>
    <row r="11290" spans="1:4" x14ac:dyDescent="0.25">
      <c r="A11290" t="str">
        <f>T("   GB")</f>
        <v xml:space="preserve">   GB</v>
      </c>
      <c r="B11290" t="str">
        <f>T("   Royaume-Uni")</f>
        <v xml:space="preserve">   Royaume-Uni</v>
      </c>
      <c r="C11290">
        <v>4943733</v>
      </c>
      <c r="D11290">
        <v>481</v>
      </c>
    </row>
    <row r="11291" spans="1:4" x14ac:dyDescent="0.25">
      <c r="A11291" t="str">
        <f>T("   GH")</f>
        <v xml:space="preserve">   GH</v>
      </c>
      <c r="B11291" t="str">
        <f>T("   Ghana")</f>
        <v xml:space="preserve">   Ghana</v>
      </c>
      <c r="C11291">
        <v>130985530</v>
      </c>
      <c r="D11291">
        <v>8073</v>
      </c>
    </row>
    <row r="11292" spans="1:4" x14ac:dyDescent="0.25">
      <c r="A11292" t="str">
        <f>T("   IT")</f>
        <v xml:space="preserve">   IT</v>
      </c>
      <c r="B11292" t="str">
        <f>T("   Italie")</f>
        <v xml:space="preserve">   Italie</v>
      </c>
      <c r="C11292">
        <v>644153</v>
      </c>
      <c r="D11292">
        <v>19</v>
      </c>
    </row>
    <row r="11293" spans="1:4" x14ac:dyDescent="0.25">
      <c r="A11293" t="str">
        <f>T("   JP")</f>
        <v xml:space="preserve">   JP</v>
      </c>
      <c r="B11293" t="str">
        <f>T("   Japon")</f>
        <v xml:space="preserve">   Japon</v>
      </c>
      <c r="C11293">
        <v>3753403</v>
      </c>
      <c r="D11293">
        <v>110</v>
      </c>
    </row>
    <row r="11294" spans="1:4" x14ac:dyDescent="0.25">
      <c r="A11294" t="str">
        <f>T("   NG")</f>
        <v xml:space="preserve">   NG</v>
      </c>
      <c r="B11294" t="str">
        <f>T("   Nigéria")</f>
        <v xml:space="preserve">   Nigéria</v>
      </c>
      <c r="C11294">
        <v>12777316</v>
      </c>
      <c r="D11294">
        <v>470</v>
      </c>
    </row>
    <row r="11295" spans="1:4" x14ac:dyDescent="0.25">
      <c r="A11295" t="str">
        <f>T("   NL")</f>
        <v xml:space="preserve">   NL</v>
      </c>
      <c r="B11295" t="str">
        <f>T("   Pays-bas")</f>
        <v xml:space="preserve">   Pays-bas</v>
      </c>
      <c r="C11295">
        <v>166828975</v>
      </c>
      <c r="D11295">
        <v>39372</v>
      </c>
    </row>
    <row r="11296" spans="1:4" x14ac:dyDescent="0.25">
      <c r="A11296" t="str">
        <f>T("   RU")</f>
        <v xml:space="preserve">   RU</v>
      </c>
      <c r="B11296" t="str">
        <f>T("   Russie, Fédération de")</f>
        <v xml:space="preserve">   Russie, Fédération de</v>
      </c>
      <c r="C11296">
        <v>1583487</v>
      </c>
      <c r="D11296">
        <v>65</v>
      </c>
    </row>
    <row r="11297" spans="1:4" x14ac:dyDescent="0.25">
      <c r="A11297" t="str">
        <f>T("   SE")</f>
        <v xml:space="preserve">   SE</v>
      </c>
      <c r="B11297" t="str">
        <f>T("   Suède")</f>
        <v xml:space="preserve">   Suède</v>
      </c>
      <c r="C11297">
        <v>10996961</v>
      </c>
      <c r="D11297">
        <v>1275.76</v>
      </c>
    </row>
    <row r="11298" spans="1:4" x14ac:dyDescent="0.25">
      <c r="A11298" t="str">
        <f>T("   SM")</f>
        <v xml:space="preserve">   SM</v>
      </c>
      <c r="B11298" t="str">
        <f>T("   Saint-Marin")</f>
        <v xml:space="preserve">   Saint-Marin</v>
      </c>
      <c r="C11298">
        <v>626616</v>
      </c>
      <c r="D11298">
        <v>13</v>
      </c>
    </row>
    <row r="11299" spans="1:4" x14ac:dyDescent="0.25">
      <c r="A11299" t="str">
        <f>T("   SR")</f>
        <v xml:space="preserve">   SR</v>
      </c>
      <c r="B11299" t="str">
        <f>T("   Suriname")</f>
        <v xml:space="preserve">   Suriname</v>
      </c>
      <c r="C11299">
        <v>3950705</v>
      </c>
      <c r="D11299">
        <v>60</v>
      </c>
    </row>
    <row r="11300" spans="1:4" x14ac:dyDescent="0.25">
      <c r="A11300" t="str">
        <f>T("   SY")</f>
        <v xml:space="preserve">   SY</v>
      </c>
      <c r="B11300" t="str">
        <f>T("   Syrienne, République arabe")</f>
        <v xml:space="preserve">   Syrienne, République arabe</v>
      </c>
      <c r="C11300">
        <v>8254324</v>
      </c>
      <c r="D11300">
        <v>135</v>
      </c>
    </row>
    <row r="11301" spans="1:4" x14ac:dyDescent="0.25">
      <c r="A11301" t="str">
        <f>T("   US")</f>
        <v xml:space="preserve">   US</v>
      </c>
      <c r="B11301" t="str">
        <f>T("   Etats-Unis")</f>
        <v xml:space="preserve">   Etats-Unis</v>
      </c>
      <c r="C11301">
        <v>47529904</v>
      </c>
      <c r="D11301">
        <v>4851.6499999999996</v>
      </c>
    </row>
    <row r="11302" spans="1:4" x14ac:dyDescent="0.25">
      <c r="A11302" t="str">
        <f>T("   ZA")</f>
        <v xml:space="preserve">   ZA</v>
      </c>
      <c r="B11302" t="str">
        <f>T("   Afrique du Sud")</f>
        <v xml:space="preserve">   Afrique du Sud</v>
      </c>
      <c r="C11302">
        <v>747237</v>
      </c>
      <c r="D11302">
        <v>11</v>
      </c>
    </row>
    <row r="11303" spans="1:4" x14ac:dyDescent="0.25">
      <c r="A11303" t="str">
        <f>T("843210")</f>
        <v>843210</v>
      </c>
      <c r="B11303" t="str">
        <f>T("Charrues pour l'agriculture, la sylviculture ou l'horticulture")</f>
        <v>Charrues pour l'agriculture, la sylviculture ou l'horticulture</v>
      </c>
    </row>
    <row r="11304" spans="1:4" x14ac:dyDescent="0.25">
      <c r="A11304" t="str">
        <f>T("   ZZZ_Monde")</f>
        <v xml:space="preserve">   ZZZ_Monde</v>
      </c>
      <c r="B11304" t="str">
        <f>T("   ZZZ_Monde")</f>
        <v xml:space="preserve">   ZZZ_Monde</v>
      </c>
      <c r="C11304">
        <v>8506339</v>
      </c>
      <c r="D11304">
        <v>17380</v>
      </c>
    </row>
    <row r="11305" spans="1:4" x14ac:dyDescent="0.25">
      <c r="A11305" t="str">
        <f>T("   CN")</f>
        <v xml:space="preserve">   CN</v>
      </c>
      <c r="B11305" t="str">
        <f>T("   Chine")</f>
        <v xml:space="preserve">   Chine</v>
      </c>
      <c r="C11305">
        <v>6840804</v>
      </c>
      <c r="D11305">
        <v>14850</v>
      </c>
    </row>
    <row r="11306" spans="1:4" x14ac:dyDescent="0.25">
      <c r="A11306" t="str">
        <f>T("   FR")</f>
        <v xml:space="preserve">   FR</v>
      </c>
      <c r="B11306" t="str">
        <f>T("   France")</f>
        <v xml:space="preserve">   France</v>
      </c>
      <c r="C11306">
        <v>65596</v>
      </c>
      <c r="D11306">
        <v>601</v>
      </c>
    </row>
    <row r="11307" spans="1:4" x14ac:dyDescent="0.25">
      <c r="A11307" t="str">
        <f>T("   IT")</f>
        <v xml:space="preserve">   IT</v>
      </c>
      <c r="B11307" t="str">
        <f>T("   Italie")</f>
        <v xml:space="preserve">   Italie</v>
      </c>
      <c r="C11307">
        <v>180566</v>
      </c>
      <c r="D11307">
        <v>1004</v>
      </c>
    </row>
    <row r="11308" spans="1:4" x14ac:dyDescent="0.25">
      <c r="A11308" t="str">
        <f>T("   TR")</f>
        <v xml:space="preserve">   TR</v>
      </c>
      <c r="B11308" t="str">
        <f>T("   Turquie")</f>
        <v xml:space="preserve">   Turquie</v>
      </c>
      <c r="C11308">
        <v>1419373</v>
      </c>
      <c r="D11308">
        <v>925</v>
      </c>
    </row>
    <row r="11309" spans="1:4" x14ac:dyDescent="0.25">
      <c r="A11309" t="str">
        <f>T("843229")</f>
        <v>843229</v>
      </c>
      <c r="B11309" t="str">
        <f>T("Herses, scarificateurs, cultivateurs, extirpateurs, houes, sarcleuses et bineuses pour l'agriculture, la sylviculture ou l'horticulture (à l'excl. des herses à disques)")</f>
        <v>Herses, scarificateurs, cultivateurs, extirpateurs, houes, sarcleuses et bineuses pour l'agriculture, la sylviculture ou l'horticulture (à l'excl. des herses à disques)</v>
      </c>
    </row>
    <row r="11310" spans="1:4" x14ac:dyDescent="0.25">
      <c r="A11310" t="str">
        <f>T("   ZZZ_Monde")</f>
        <v xml:space="preserve">   ZZZ_Monde</v>
      </c>
      <c r="B11310" t="str">
        <f>T("   ZZZ_Monde")</f>
        <v xml:space="preserve">   ZZZ_Monde</v>
      </c>
      <c r="C11310">
        <v>11216667</v>
      </c>
      <c r="D11310">
        <v>13593</v>
      </c>
    </row>
    <row r="11311" spans="1:4" x14ac:dyDescent="0.25">
      <c r="A11311" t="str">
        <f>T("   BE")</f>
        <v xml:space="preserve">   BE</v>
      </c>
      <c r="B11311" t="str">
        <f>T("   Belgique")</f>
        <v xml:space="preserve">   Belgique</v>
      </c>
      <c r="C11311">
        <v>1500000</v>
      </c>
      <c r="D11311">
        <v>1500</v>
      </c>
    </row>
    <row r="11312" spans="1:4" x14ac:dyDescent="0.25">
      <c r="A11312" t="str">
        <f>T("   FR")</f>
        <v xml:space="preserve">   FR</v>
      </c>
      <c r="B11312" t="str">
        <f>T("   France")</f>
        <v xml:space="preserve">   France</v>
      </c>
      <c r="C11312">
        <v>8546667</v>
      </c>
      <c r="D11312">
        <v>5247</v>
      </c>
    </row>
    <row r="11313" spans="1:4" x14ac:dyDescent="0.25">
      <c r="A11313" t="str">
        <f>T("   Z2")</f>
        <v xml:space="preserve">   Z2</v>
      </c>
      <c r="B11313" t="str">
        <f>T("   Pays non défini")</f>
        <v xml:space="preserve">   Pays non défini</v>
      </c>
      <c r="C11313">
        <v>1170000</v>
      </c>
      <c r="D11313">
        <v>6846</v>
      </c>
    </row>
    <row r="11314" spans="1:4" x14ac:dyDescent="0.25">
      <c r="A11314" t="str">
        <f>T("843240")</f>
        <v>843240</v>
      </c>
      <c r="B11314" t="str">
        <f>T("ÉPANDEURS DE FUMIER ET DISTRIBUTEURS D'ENGRAIS POUR L'AGRICULTURE, LA SYLVICULTURE OU L'HORTICULTURE")</f>
        <v>ÉPANDEURS DE FUMIER ET DISTRIBUTEURS D'ENGRAIS POUR L'AGRICULTURE, LA SYLVICULTURE OU L'HORTICULTURE</v>
      </c>
    </row>
    <row r="11315" spans="1:4" x14ac:dyDescent="0.25">
      <c r="A11315" t="str">
        <f>T("   ZZZ_Monde")</f>
        <v xml:space="preserve">   ZZZ_Monde</v>
      </c>
      <c r="B11315" t="str">
        <f>T("   ZZZ_Monde")</f>
        <v xml:space="preserve">   ZZZ_Monde</v>
      </c>
      <c r="C11315">
        <v>32798</v>
      </c>
      <c r="D11315">
        <v>300</v>
      </c>
    </row>
    <row r="11316" spans="1:4" x14ac:dyDescent="0.25">
      <c r="A11316" t="str">
        <f>T("   FR")</f>
        <v xml:space="preserve">   FR</v>
      </c>
      <c r="B11316" t="str">
        <f>T("   France")</f>
        <v xml:space="preserve">   France</v>
      </c>
      <c r="C11316">
        <v>32798</v>
      </c>
      <c r="D11316">
        <v>300</v>
      </c>
    </row>
    <row r="11317" spans="1:4" x14ac:dyDescent="0.25">
      <c r="A11317" t="str">
        <f>T("843280")</f>
        <v>843280</v>
      </c>
      <c r="B11317" t="str">
        <f>T("Machines, appareils et engins agricoles, sylvicole ou horticoles pour la préparation ou le travail du sol ou pour la culture, rouleaux pour pelouses ou terrains de sport (à l'excl. des pulvérisateurs, appareils d'arrosage et poudreuses, charrues, herses,")</f>
        <v>Machines, appareils et engins agricoles, sylvicole ou horticoles pour la préparation ou le travail du sol ou pour la culture, rouleaux pour pelouses ou terrains de sport (à l'excl. des pulvérisateurs, appareils d'arrosage et poudreuses, charrues, herses,</v>
      </c>
    </row>
    <row r="11318" spans="1:4" x14ac:dyDescent="0.25">
      <c r="A11318" t="str">
        <f>T("   ZZZ_Monde")</f>
        <v xml:space="preserve">   ZZZ_Monde</v>
      </c>
      <c r="B11318" t="str">
        <f>T("   ZZZ_Monde")</f>
        <v xml:space="preserve">   ZZZ_Monde</v>
      </c>
      <c r="C11318">
        <v>657220298</v>
      </c>
      <c r="D11318">
        <v>117528</v>
      </c>
    </row>
    <row r="11319" spans="1:4" x14ac:dyDescent="0.25">
      <c r="A11319" t="str">
        <f>T("   BE")</f>
        <v xml:space="preserve">   BE</v>
      </c>
      <c r="B11319" t="str">
        <f>T("   Belgique")</f>
        <v xml:space="preserve">   Belgique</v>
      </c>
      <c r="C11319">
        <v>2000000</v>
      </c>
      <c r="D11319">
        <v>2500</v>
      </c>
    </row>
    <row r="11320" spans="1:4" x14ac:dyDescent="0.25">
      <c r="A11320" t="str">
        <f>T("   CH")</f>
        <v xml:space="preserve">   CH</v>
      </c>
      <c r="B11320" t="str">
        <f>T("   Suisse")</f>
        <v xml:space="preserve">   Suisse</v>
      </c>
      <c r="C11320">
        <v>10319563</v>
      </c>
      <c r="D11320">
        <v>1418</v>
      </c>
    </row>
    <row r="11321" spans="1:4" x14ac:dyDescent="0.25">
      <c r="A11321" t="str">
        <f>T("   CN")</f>
        <v xml:space="preserve">   CN</v>
      </c>
      <c r="B11321" t="str">
        <f>T("   Chine")</f>
        <v xml:space="preserve">   Chine</v>
      </c>
      <c r="C11321">
        <v>639440368</v>
      </c>
      <c r="D11321">
        <v>106250</v>
      </c>
    </row>
    <row r="11322" spans="1:4" x14ac:dyDescent="0.25">
      <c r="A11322" t="str">
        <f>T("   DE")</f>
        <v xml:space="preserve">   DE</v>
      </c>
      <c r="B11322" t="str">
        <f>T("   Allemagne")</f>
        <v xml:space="preserve">   Allemagne</v>
      </c>
      <c r="C11322">
        <v>870000</v>
      </c>
      <c r="D11322">
        <v>1000</v>
      </c>
    </row>
    <row r="11323" spans="1:4" x14ac:dyDescent="0.25">
      <c r="A11323" t="str">
        <f>T("   FR")</f>
        <v xml:space="preserve">   FR</v>
      </c>
      <c r="B11323" t="str">
        <f>T("   France")</f>
        <v xml:space="preserve">   France</v>
      </c>
      <c r="C11323">
        <v>4590367</v>
      </c>
      <c r="D11323">
        <v>6360</v>
      </c>
    </row>
    <row r="11324" spans="1:4" x14ac:dyDescent="0.25">
      <c r="A11324" t="str">
        <f>T("843290")</f>
        <v>843290</v>
      </c>
      <c r="B11324" t="str">
        <f>T("Parties de machines, appareils et engins agricoles, sylvicoles ou horticoles pour la préparation ou le travail du sol ou pour la culture, ainsi que de rouleaux pour pelouses ou terrains de sport, n.d.a.")</f>
        <v>Parties de machines, appareils et engins agricoles, sylvicoles ou horticoles pour la préparation ou le travail du sol ou pour la culture, ainsi que de rouleaux pour pelouses ou terrains de sport, n.d.a.</v>
      </c>
    </row>
    <row r="11325" spans="1:4" x14ac:dyDescent="0.25">
      <c r="A11325" t="str">
        <f>T("   ZZZ_Monde")</f>
        <v xml:space="preserve">   ZZZ_Monde</v>
      </c>
      <c r="B11325" t="str">
        <f>T("   ZZZ_Monde")</f>
        <v xml:space="preserve">   ZZZ_Monde</v>
      </c>
      <c r="C11325">
        <v>20047749</v>
      </c>
      <c r="D11325">
        <v>1511</v>
      </c>
    </row>
    <row r="11326" spans="1:4" x14ac:dyDescent="0.25">
      <c r="A11326" t="str">
        <f>T("   CN")</f>
        <v xml:space="preserve">   CN</v>
      </c>
      <c r="B11326" t="str">
        <f>T("   Chine")</f>
        <v xml:space="preserve">   Chine</v>
      </c>
      <c r="C11326">
        <v>3383636</v>
      </c>
      <c r="D11326">
        <v>670</v>
      </c>
    </row>
    <row r="11327" spans="1:4" x14ac:dyDescent="0.25">
      <c r="A11327" t="str">
        <f>T("   IT")</f>
        <v xml:space="preserve">   IT</v>
      </c>
      <c r="B11327" t="str">
        <f>T("   Italie")</f>
        <v xml:space="preserve">   Italie</v>
      </c>
      <c r="C11327">
        <v>211396</v>
      </c>
      <c r="D11327">
        <v>110</v>
      </c>
    </row>
    <row r="11328" spans="1:4" x14ac:dyDescent="0.25">
      <c r="A11328" t="str">
        <f>T("   NL")</f>
        <v xml:space="preserve">   NL</v>
      </c>
      <c r="B11328" t="str">
        <f>T("   Pays-bas")</f>
        <v xml:space="preserve">   Pays-bas</v>
      </c>
      <c r="C11328">
        <v>16452717</v>
      </c>
      <c r="D11328">
        <v>731</v>
      </c>
    </row>
    <row r="11329" spans="1:4" x14ac:dyDescent="0.25">
      <c r="A11329" t="str">
        <f>T("843311")</f>
        <v>843311</v>
      </c>
      <c r="B11329" t="str">
        <f>T("Tondeuses à gazon à moteur, dont le dispositif de coupe tourne dans un plan horizontal")</f>
        <v>Tondeuses à gazon à moteur, dont le dispositif de coupe tourne dans un plan horizontal</v>
      </c>
    </row>
    <row r="11330" spans="1:4" x14ac:dyDescent="0.25">
      <c r="A11330" t="str">
        <f>T("   ZZZ_Monde")</f>
        <v xml:space="preserve">   ZZZ_Monde</v>
      </c>
      <c r="B11330" t="str">
        <f>T("   ZZZ_Monde")</f>
        <v xml:space="preserve">   ZZZ_Monde</v>
      </c>
      <c r="C11330">
        <v>2280117</v>
      </c>
      <c r="D11330">
        <v>469</v>
      </c>
    </row>
    <row r="11331" spans="1:4" x14ac:dyDescent="0.25">
      <c r="A11331" t="str">
        <f>T("   FR")</f>
        <v xml:space="preserve">   FR</v>
      </c>
      <c r="B11331" t="str">
        <f>T("   France")</f>
        <v xml:space="preserve">   France</v>
      </c>
      <c r="C11331">
        <v>2280117</v>
      </c>
      <c r="D11331">
        <v>469</v>
      </c>
    </row>
    <row r="11332" spans="1:4" x14ac:dyDescent="0.25">
      <c r="A11332" t="str">
        <f>T("843319")</f>
        <v>843319</v>
      </c>
      <c r="B11332" t="str">
        <f>T("Tondeuses à gazon à moteur, dont le dispositif de coupe tourne dans un plan vertical, ou à barre de coupe")</f>
        <v>Tondeuses à gazon à moteur, dont le dispositif de coupe tourne dans un plan vertical, ou à barre de coupe</v>
      </c>
    </row>
    <row r="11333" spans="1:4" x14ac:dyDescent="0.25">
      <c r="A11333" t="str">
        <f>T("   ZZZ_Monde")</f>
        <v xml:space="preserve">   ZZZ_Monde</v>
      </c>
      <c r="B11333" t="str">
        <f>T("   ZZZ_Monde")</f>
        <v xml:space="preserve">   ZZZ_Monde</v>
      </c>
      <c r="C11333">
        <v>4821478</v>
      </c>
      <c r="D11333">
        <v>4672</v>
      </c>
    </row>
    <row r="11334" spans="1:4" x14ac:dyDescent="0.25">
      <c r="A11334" t="str">
        <f>T("   CN")</f>
        <v xml:space="preserve">   CN</v>
      </c>
      <c r="B11334" t="str">
        <f>T("   Chine")</f>
        <v xml:space="preserve">   Chine</v>
      </c>
      <c r="C11334">
        <v>1472692</v>
      </c>
      <c r="D11334">
        <v>2763</v>
      </c>
    </row>
    <row r="11335" spans="1:4" x14ac:dyDescent="0.25">
      <c r="A11335" t="str">
        <f>T("   FR")</f>
        <v xml:space="preserve">   FR</v>
      </c>
      <c r="B11335" t="str">
        <f>T("   France")</f>
        <v xml:space="preserve">   France</v>
      </c>
      <c r="C11335">
        <v>1956073</v>
      </c>
      <c r="D11335">
        <v>1029</v>
      </c>
    </row>
    <row r="11336" spans="1:4" x14ac:dyDescent="0.25">
      <c r="A11336" t="str">
        <f>T("   NL")</f>
        <v xml:space="preserve">   NL</v>
      </c>
      <c r="B11336" t="str">
        <f>T("   Pays-bas")</f>
        <v xml:space="preserve">   Pays-bas</v>
      </c>
      <c r="C11336">
        <v>1232856</v>
      </c>
      <c r="D11336">
        <v>820</v>
      </c>
    </row>
    <row r="11337" spans="1:4" x14ac:dyDescent="0.25">
      <c r="A11337" t="str">
        <f>T("   US")</f>
        <v xml:space="preserve">   US</v>
      </c>
      <c r="B11337" t="str">
        <f>T("   Etats-Unis")</f>
        <v xml:space="preserve">   Etats-Unis</v>
      </c>
      <c r="C11337">
        <v>159857</v>
      </c>
      <c r="D11337">
        <v>60</v>
      </c>
    </row>
    <row r="11338" spans="1:4" x14ac:dyDescent="0.25">
      <c r="A11338" t="str">
        <f>T("843320")</f>
        <v>843320</v>
      </c>
      <c r="B11338" t="str">
        <f>T("Faucheuses, y.c. les barres de coupe à monter sur tracteur (à l'excl. des tondeuses à gazon)")</f>
        <v>Faucheuses, y.c. les barres de coupe à monter sur tracteur (à l'excl. des tondeuses à gazon)</v>
      </c>
    </row>
    <row r="11339" spans="1:4" x14ac:dyDescent="0.25">
      <c r="A11339" t="str">
        <f>T("   ZZZ_Monde")</f>
        <v xml:space="preserve">   ZZZ_Monde</v>
      </c>
      <c r="B11339" t="str">
        <f>T("   ZZZ_Monde")</f>
        <v xml:space="preserve">   ZZZ_Monde</v>
      </c>
      <c r="C11339">
        <v>257792</v>
      </c>
      <c r="D11339">
        <v>63</v>
      </c>
    </row>
    <row r="11340" spans="1:4" x14ac:dyDescent="0.25">
      <c r="A11340" t="str">
        <f>T("   FR")</f>
        <v xml:space="preserve">   FR</v>
      </c>
      <c r="B11340" t="str">
        <f>T("   France")</f>
        <v xml:space="preserve">   France</v>
      </c>
      <c r="C11340">
        <v>257792</v>
      </c>
      <c r="D11340">
        <v>63</v>
      </c>
    </row>
    <row r="11341" spans="1:4" x14ac:dyDescent="0.25">
      <c r="A11341" t="str">
        <f>T("843340")</f>
        <v>843340</v>
      </c>
      <c r="B11341" t="str">
        <f>T("Presses à paille ou à fourrage, y.c. les presses ramasseuses")</f>
        <v>Presses à paille ou à fourrage, y.c. les presses ramasseuses</v>
      </c>
    </row>
    <row r="11342" spans="1:4" x14ac:dyDescent="0.25">
      <c r="A11342" t="str">
        <f>T("   ZZZ_Monde")</f>
        <v xml:space="preserve">   ZZZ_Monde</v>
      </c>
      <c r="B11342" t="str">
        <f>T("   ZZZ_Monde")</f>
        <v xml:space="preserve">   ZZZ_Monde</v>
      </c>
      <c r="C11342">
        <v>702894</v>
      </c>
      <c r="D11342">
        <v>753</v>
      </c>
    </row>
    <row r="11343" spans="1:4" x14ac:dyDescent="0.25">
      <c r="A11343" t="str">
        <f>T("   IT")</f>
        <v xml:space="preserve">   IT</v>
      </c>
      <c r="B11343" t="str">
        <f>T("   Italie")</f>
        <v xml:space="preserve">   Italie</v>
      </c>
      <c r="C11343">
        <v>702894</v>
      </c>
      <c r="D11343">
        <v>753</v>
      </c>
    </row>
    <row r="11344" spans="1:4" x14ac:dyDescent="0.25">
      <c r="A11344" t="str">
        <f>T("843351")</f>
        <v>843351</v>
      </c>
      <c r="B11344" t="str">
        <f>T("Moissonneuses-batteuses")</f>
        <v>Moissonneuses-batteuses</v>
      </c>
    </row>
    <row r="11345" spans="1:4" x14ac:dyDescent="0.25">
      <c r="A11345" t="str">
        <f>T("   ZZZ_Monde")</f>
        <v xml:space="preserve">   ZZZ_Monde</v>
      </c>
      <c r="B11345" t="str">
        <f>T("   ZZZ_Monde")</f>
        <v xml:space="preserve">   ZZZ_Monde</v>
      </c>
      <c r="C11345">
        <v>14103796</v>
      </c>
      <c r="D11345">
        <v>9755</v>
      </c>
    </row>
    <row r="11346" spans="1:4" x14ac:dyDescent="0.25">
      <c r="A11346" t="str">
        <f>T("   CN")</f>
        <v xml:space="preserve">   CN</v>
      </c>
      <c r="B11346" t="str">
        <f>T("   Chine")</f>
        <v xml:space="preserve">   Chine</v>
      </c>
      <c r="C11346">
        <v>14103796</v>
      </c>
      <c r="D11346">
        <v>9755</v>
      </c>
    </row>
    <row r="11347" spans="1:4" x14ac:dyDescent="0.25">
      <c r="A11347" t="str">
        <f>T("843352")</f>
        <v>843352</v>
      </c>
      <c r="B11347" t="str">
        <f>T("Machines et appareils pour le battage des produits agricoles (sauf moissonneuses-batteuses)")</f>
        <v>Machines et appareils pour le battage des produits agricoles (sauf moissonneuses-batteuses)</v>
      </c>
    </row>
    <row r="11348" spans="1:4" x14ac:dyDescent="0.25">
      <c r="A11348" t="str">
        <f>T("   ZZZ_Monde")</f>
        <v xml:space="preserve">   ZZZ_Monde</v>
      </c>
      <c r="B11348" t="str">
        <f>T("   ZZZ_Monde")</f>
        <v xml:space="preserve">   ZZZ_Monde</v>
      </c>
      <c r="C11348">
        <v>2557709</v>
      </c>
      <c r="D11348">
        <v>3800</v>
      </c>
    </row>
    <row r="11349" spans="1:4" x14ac:dyDescent="0.25">
      <c r="A11349" t="str">
        <f>T("   CN")</f>
        <v xml:space="preserve">   CN</v>
      </c>
      <c r="B11349" t="str">
        <f>T("   Chine")</f>
        <v xml:space="preserve">   Chine</v>
      </c>
      <c r="C11349">
        <v>2557709</v>
      </c>
      <c r="D11349">
        <v>3800</v>
      </c>
    </row>
    <row r="11350" spans="1:4" x14ac:dyDescent="0.25">
      <c r="A11350" t="str">
        <f>T("843359")</f>
        <v>843359</v>
      </c>
      <c r="B11350" t="str">
        <f>T("Machines et appareils pour la récolte de produits agricoles (à l'excl. des faucheuses, machines et appareils de fenaison, presses à paille ou à fourrage, y.c. les presses ramasseuses, moissonneuses-batteuses et autres machines et appareils pour le battage")</f>
        <v>Machines et appareils pour la récolte de produits agricoles (à l'excl. des faucheuses, machines et appareils de fenaison, presses à paille ou à fourrage, y.c. les presses ramasseuses, moissonneuses-batteuses et autres machines et appareils pour le battage</v>
      </c>
    </row>
    <row r="11351" spans="1:4" x14ac:dyDescent="0.25">
      <c r="A11351" t="str">
        <f>T("   ZZZ_Monde")</f>
        <v xml:space="preserve">   ZZZ_Monde</v>
      </c>
      <c r="B11351" t="str">
        <f>T("   ZZZ_Monde")</f>
        <v xml:space="preserve">   ZZZ_Monde</v>
      </c>
      <c r="C11351">
        <v>6711783</v>
      </c>
      <c r="D11351">
        <v>923</v>
      </c>
    </row>
    <row r="11352" spans="1:4" x14ac:dyDescent="0.25">
      <c r="A11352" t="str">
        <f>T("   CH")</f>
        <v xml:space="preserve">   CH</v>
      </c>
      <c r="B11352" t="str">
        <f>T("   Suisse")</f>
        <v xml:space="preserve">   Suisse</v>
      </c>
      <c r="C11352">
        <v>6711783</v>
      </c>
      <c r="D11352">
        <v>923</v>
      </c>
    </row>
    <row r="11353" spans="1:4" x14ac:dyDescent="0.25">
      <c r="A11353" t="str">
        <f>T("843390")</f>
        <v>843390</v>
      </c>
      <c r="B11353" t="str">
        <f>T("Parties des machines, appareils et engins pour la récolte, le battage et le fauchage, et des machines pour le nettoyage ou le triage des produits agricoles, n.d.a.")</f>
        <v>Parties des machines, appareils et engins pour la récolte, le battage et le fauchage, et des machines pour le nettoyage ou le triage des produits agricoles, n.d.a.</v>
      </c>
    </row>
    <row r="11354" spans="1:4" x14ac:dyDescent="0.25">
      <c r="A11354" t="str">
        <f>T("   ZZZ_Monde")</f>
        <v xml:space="preserve">   ZZZ_Monde</v>
      </c>
      <c r="B11354" t="str">
        <f>T("   ZZZ_Monde")</f>
        <v xml:space="preserve">   ZZZ_Monde</v>
      </c>
      <c r="C11354">
        <v>14618029</v>
      </c>
      <c r="D11354">
        <v>552.1</v>
      </c>
    </row>
    <row r="11355" spans="1:4" x14ac:dyDescent="0.25">
      <c r="A11355" t="str">
        <f>T("   DE")</f>
        <v xml:space="preserve">   DE</v>
      </c>
      <c r="B11355" t="str">
        <f>T("   Allemagne")</f>
        <v xml:space="preserve">   Allemagne</v>
      </c>
      <c r="C11355">
        <v>14152744</v>
      </c>
      <c r="D11355">
        <v>381</v>
      </c>
    </row>
    <row r="11356" spans="1:4" x14ac:dyDescent="0.25">
      <c r="A11356" t="str">
        <f>T("   FR")</f>
        <v xml:space="preserve">   FR</v>
      </c>
      <c r="B11356" t="str">
        <f>T("   France")</f>
        <v xml:space="preserve">   France</v>
      </c>
      <c r="C11356">
        <v>305887</v>
      </c>
      <c r="D11356">
        <v>165</v>
      </c>
    </row>
    <row r="11357" spans="1:4" x14ac:dyDescent="0.25">
      <c r="A11357" t="str">
        <f>T("   NL")</f>
        <v xml:space="preserve">   NL</v>
      </c>
      <c r="B11357" t="str">
        <f>T("   Pays-bas")</f>
        <v xml:space="preserve">   Pays-bas</v>
      </c>
      <c r="C11357">
        <v>159398</v>
      </c>
      <c r="D11357">
        <v>6.1</v>
      </c>
    </row>
    <row r="11358" spans="1:4" x14ac:dyDescent="0.25">
      <c r="A11358" t="str">
        <f>T("843490")</f>
        <v>843490</v>
      </c>
      <c r="B11358" t="str">
        <f>T("Parties de machines à traire et autres machines et appareils de laiterie, n.d.a.")</f>
        <v>Parties de machines à traire et autres machines et appareils de laiterie, n.d.a.</v>
      </c>
    </row>
    <row r="11359" spans="1:4" x14ac:dyDescent="0.25">
      <c r="A11359" t="str">
        <f>T("   ZZZ_Monde")</f>
        <v xml:space="preserve">   ZZZ_Monde</v>
      </c>
      <c r="B11359" t="str">
        <f>T("   ZZZ_Monde")</f>
        <v xml:space="preserve">   ZZZ_Monde</v>
      </c>
      <c r="C11359">
        <v>568800373</v>
      </c>
      <c r="D11359">
        <v>87579</v>
      </c>
    </row>
    <row r="11360" spans="1:4" x14ac:dyDescent="0.25">
      <c r="A11360" t="str">
        <f>T("   CN")</f>
        <v xml:space="preserve">   CN</v>
      </c>
      <c r="B11360" t="str">
        <f>T("   Chine")</f>
        <v xml:space="preserve">   Chine</v>
      </c>
      <c r="C11360">
        <v>568800373</v>
      </c>
      <c r="D11360">
        <v>87579</v>
      </c>
    </row>
    <row r="11361" spans="1:4" x14ac:dyDescent="0.25">
      <c r="A11361" t="str">
        <f>T("843510")</f>
        <v>843510</v>
      </c>
      <c r="B11361" t="str">
        <f>T("Presses et pressoirs, fouloirs et machines et appareils simil., pour la fabrication du vin, du cidre, des jus de fruits ou de boissons simil. (à l'excl. des machines, appareils et dispositifs pour le traitement de ces boissons, y.c. les centrifugeuses, le")</f>
        <v>Presses et pressoirs, fouloirs et machines et appareils simil., pour la fabrication du vin, du cidre, des jus de fruits ou de boissons simil. (à l'excl. des machines, appareils et dispositifs pour le traitement de ces boissons, y.c. les centrifugeuses, le</v>
      </c>
    </row>
    <row r="11362" spans="1:4" x14ac:dyDescent="0.25">
      <c r="A11362" t="str">
        <f>T("   ZZZ_Monde")</f>
        <v xml:space="preserve">   ZZZ_Monde</v>
      </c>
      <c r="B11362" t="str">
        <f>T("   ZZZ_Monde")</f>
        <v xml:space="preserve">   ZZZ_Monde</v>
      </c>
      <c r="C11362">
        <v>14638171</v>
      </c>
      <c r="D11362">
        <v>9310</v>
      </c>
    </row>
    <row r="11363" spans="1:4" x14ac:dyDescent="0.25">
      <c r="A11363" t="str">
        <f>T("   CN")</f>
        <v xml:space="preserve">   CN</v>
      </c>
      <c r="B11363" t="str">
        <f>T("   Chine")</f>
        <v xml:space="preserve">   Chine</v>
      </c>
      <c r="C11363">
        <v>11093337</v>
      </c>
      <c r="D11363">
        <v>9099</v>
      </c>
    </row>
    <row r="11364" spans="1:4" x14ac:dyDescent="0.25">
      <c r="A11364" t="str">
        <f>T("   FR")</f>
        <v xml:space="preserve">   FR</v>
      </c>
      <c r="B11364" t="str">
        <f>T("   France")</f>
        <v xml:space="preserve">   France</v>
      </c>
      <c r="C11364">
        <v>3365783</v>
      </c>
      <c r="D11364">
        <v>91</v>
      </c>
    </row>
    <row r="11365" spans="1:4" x14ac:dyDescent="0.25">
      <c r="A11365" t="str">
        <f>T("   TG")</f>
        <v xml:space="preserve">   TG</v>
      </c>
      <c r="B11365" t="str">
        <f>T("   Togo")</f>
        <v xml:space="preserve">   Togo</v>
      </c>
      <c r="C11365">
        <v>179051</v>
      </c>
      <c r="D11365">
        <v>120</v>
      </c>
    </row>
    <row r="11366" spans="1:4" x14ac:dyDescent="0.25">
      <c r="A11366" t="str">
        <f>T("843621")</f>
        <v>843621</v>
      </c>
      <c r="B11366" t="str">
        <f>T("Couveuses et éleveuses pour l'aviculture")</f>
        <v>Couveuses et éleveuses pour l'aviculture</v>
      </c>
    </row>
    <row r="11367" spans="1:4" x14ac:dyDescent="0.25">
      <c r="A11367" t="str">
        <f>T("   ZZZ_Monde")</f>
        <v xml:space="preserve">   ZZZ_Monde</v>
      </c>
      <c r="B11367" t="str">
        <f>T("   ZZZ_Monde")</f>
        <v xml:space="preserve">   ZZZ_Monde</v>
      </c>
      <c r="C11367">
        <v>781162</v>
      </c>
      <c r="D11367">
        <v>250</v>
      </c>
    </row>
    <row r="11368" spans="1:4" x14ac:dyDescent="0.25">
      <c r="A11368" t="str">
        <f>T("   CN")</f>
        <v xml:space="preserve">   CN</v>
      </c>
      <c r="B11368" t="str">
        <f>T("   Chine")</f>
        <v xml:space="preserve">   Chine</v>
      </c>
      <c r="C11368">
        <v>41114</v>
      </c>
      <c r="D11368">
        <v>100</v>
      </c>
    </row>
    <row r="11369" spans="1:4" x14ac:dyDescent="0.25">
      <c r="A11369" t="str">
        <f>T("   ES")</f>
        <v xml:space="preserve">   ES</v>
      </c>
      <c r="B11369" t="str">
        <f>T("   Espagne")</f>
        <v xml:space="preserve">   Espagne</v>
      </c>
      <c r="C11369">
        <v>280876</v>
      </c>
      <c r="D11369">
        <v>75</v>
      </c>
    </row>
    <row r="11370" spans="1:4" x14ac:dyDescent="0.25">
      <c r="A11370" t="str">
        <f>T("   FR")</f>
        <v xml:space="preserve">   FR</v>
      </c>
      <c r="B11370" t="str">
        <f>T("   France")</f>
        <v xml:space="preserve">   France</v>
      </c>
      <c r="C11370">
        <v>459172</v>
      </c>
      <c r="D11370">
        <v>75</v>
      </c>
    </row>
    <row r="11371" spans="1:4" x14ac:dyDescent="0.25">
      <c r="A11371" t="str">
        <f>T("843629")</f>
        <v>843629</v>
      </c>
      <c r="B11371" t="str">
        <f>T("Machines et appareils pour l'aviculture (sauf machines à trier les oeufs, machines à plumer du n° 8438 et sauf couveuses et éleveuses)")</f>
        <v>Machines et appareils pour l'aviculture (sauf machines à trier les oeufs, machines à plumer du n° 8438 et sauf couveuses et éleveuses)</v>
      </c>
    </row>
    <row r="11372" spans="1:4" x14ac:dyDescent="0.25">
      <c r="A11372" t="str">
        <f>T("   ZZZ_Monde")</f>
        <v xml:space="preserve">   ZZZ_Monde</v>
      </c>
      <c r="B11372" t="str">
        <f>T("   ZZZ_Monde")</f>
        <v xml:space="preserve">   ZZZ_Monde</v>
      </c>
      <c r="C11372">
        <v>260034</v>
      </c>
      <c r="D11372">
        <v>368</v>
      </c>
    </row>
    <row r="11373" spans="1:4" x14ac:dyDescent="0.25">
      <c r="A11373" t="str">
        <f>T("   CN")</f>
        <v xml:space="preserve">   CN</v>
      </c>
      <c r="B11373" t="str">
        <f>T("   Chine")</f>
        <v xml:space="preserve">   Chine</v>
      </c>
      <c r="C11373">
        <v>260034</v>
      </c>
      <c r="D11373">
        <v>368</v>
      </c>
    </row>
    <row r="11374" spans="1:4" x14ac:dyDescent="0.25">
      <c r="A11374" t="str">
        <f>T("843680")</f>
        <v>843680</v>
      </c>
      <c r="B11374" t="str">
        <f>T("Machines et appareils pour l'agriculture, la sylviculture, l'horticulture ou l'apiculture, n.d.a.")</f>
        <v>Machines et appareils pour l'agriculture, la sylviculture, l'horticulture ou l'apiculture, n.d.a.</v>
      </c>
    </row>
    <row r="11375" spans="1:4" x14ac:dyDescent="0.25">
      <c r="A11375" t="str">
        <f>T("   ZZZ_Monde")</f>
        <v xml:space="preserve">   ZZZ_Monde</v>
      </c>
      <c r="B11375" t="str">
        <f>T("   ZZZ_Monde")</f>
        <v xml:space="preserve">   ZZZ_Monde</v>
      </c>
      <c r="C11375">
        <v>15641411</v>
      </c>
      <c r="D11375">
        <v>18959</v>
      </c>
    </row>
    <row r="11376" spans="1:4" x14ac:dyDescent="0.25">
      <c r="A11376" t="str">
        <f>T("   CN")</f>
        <v xml:space="preserve">   CN</v>
      </c>
      <c r="B11376" t="str">
        <f>T("   Chine")</f>
        <v xml:space="preserve">   Chine</v>
      </c>
      <c r="C11376">
        <v>11569255</v>
      </c>
      <c r="D11376">
        <v>12298</v>
      </c>
    </row>
    <row r="11377" spans="1:4" x14ac:dyDescent="0.25">
      <c r="A11377" t="str">
        <f>T("   DE")</f>
        <v xml:space="preserve">   DE</v>
      </c>
      <c r="B11377" t="str">
        <f>T("   Allemagne")</f>
        <v xml:space="preserve">   Allemagne</v>
      </c>
      <c r="C11377">
        <v>4000000</v>
      </c>
      <c r="D11377">
        <v>6000</v>
      </c>
    </row>
    <row r="11378" spans="1:4" x14ac:dyDescent="0.25">
      <c r="A11378" t="str">
        <f>T("   FR")</f>
        <v xml:space="preserve">   FR</v>
      </c>
      <c r="B11378" t="str">
        <f>T("   France")</f>
        <v xml:space="preserve">   France</v>
      </c>
      <c r="C11378">
        <v>72156</v>
      </c>
      <c r="D11378">
        <v>661</v>
      </c>
    </row>
    <row r="11379" spans="1:4" x14ac:dyDescent="0.25">
      <c r="A11379" t="str">
        <f>T("843691")</f>
        <v>843691</v>
      </c>
      <c r="B11379" t="str">
        <f>T("Parties de machines et appareils pour l'aviculture, n.d.a.")</f>
        <v>Parties de machines et appareils pour l'aviculture, n.d.a.</v>
      </c>
    </row>
    <row r="11380" spans="1:4" x14ac:dyDescent="0.25">
      <c r="A11380" t="str">
        <f>T("   ZZZ_Monde")</f>
        <v xml:space="preserve">   ZZZ_Monde</v>
      </c>
      <c r="B11380" t="str">
        <f>T("   ZZZ_Monde")</f>
        <v xml:space="preserve">   ZZZ_Monde</v>
      </c>
      <c r="C11380">
        <v>1345892</v>
      </c>
      <c r="D11380">
        <v>99</v>
      </c>
    </row>
    <row r="11381" spans="1:4" x14ac:dyDescent="0.25">
      <c r="A11381" t="str">
        <f>T("   KR")</f>
        <v xml:space="preserve">   KR</v>
      </c>
      <c r="B11381" t="str">
        <f>T("   Corée, République de")</f>
        <v xml:space="preserve">   Corée, République de</v>
      </c>
      <c r="C11381">
        <v>1345892</v>
      </c>
      <c r="D11381">
        <v>99</v>
      </c>
    </row>
    <row r="11382" spans="1:4" x14ac:dyDescent="0.25">
      <c r="A11382" t="str">
        <f>T("843699")</f>
        <v>843699</v>
      </c>
      <c r="B11382" t="str">
        <f>T("Parties de machines et appareils pour l'agriculture, la sylviculture, l'horticulture ou l'apiculture, n.d.a.")</f>
        <v>Parties de machines et appareils pour l'agriculture, la sylviculture, l'horticulture ou l'apiculture, n.d.a.</v>
      </c>
    </row>
    <row r="11383" spans="1:4" x14ac:dyDescent="0.25">
      <c r="A11383" t="str">
        <f>T("   ZZZ_Monde")</f>
        <v xml:space="preserve">   ZZZ_Monde</v>
      </c>
      <c r="B11383" t="str">
        <f>T("   ZZZ_Monde")</f>
        <v xml:space="preserve">   ZZZ_Monde</v>
      </c>
      <c r="C11383">
        <v>717223</v>
      </c>
      <c r="D11383">
        <v>537</v>
      </c>
    </row>
    <row r="11384" spans="1:4" x14ac:dyDescent="0.25">
      <c r="A11384" t="str">
        <f>T("   FR")</f>
        <v xml:space="preserve">   FR</v>
      </c>
      <c r="B11384" t="str">
        <f>T("   France")</f>
        <v xml:space="preserve">   France</v>
      </c>
      <c r="C11384">
        <v>717223</v>
      </c>
      <c r="D11384">
        <v>537</v>
      </c>
    </row>
    <row r="11385" spans="1:4" x14ac:dyDescent="0.25">
      <c r="A11385" t="str">
        <f>T("843710")</f>
        <v>843710</v>
      </c>
      <c r="B11385" t="str">
        <f>T("Machines pour le nettoyage, le triage ou le criblage des grains ou des légumes secs")</f>
        <v>Machines pour le nettoyage, le triage ou le criblage des grains ou des légumes secs</v>
      </c>
    </row>
    <row r="11386" spans="1:4" x14ac:dyDescent="0.25">
      <c r="A11386" t="str">
        <f>T("   ZZZ_Monde")</f>
        <v xml:space="preserve">   ZZZ_Monde</v>
      </c>
      <c r="B11386" t="str">
        <f>T("   ZZZ_Monde")</f>
        <v xml:space="preserve">   ZZZ_Monde</v>
      </c>
      <c r="C11386">
        <v>81692061</v>
      </c>
      <c r="D11386">
        <v>17070</v>
      </c>
    </row>
    <row r="11387" spans="1:4" x14ac:dyDescent="0.25">
      <c r="A11387" t="str">
        <f>T("   CN")</f>
        <v xml:space="preserve">   CN</v>
      </c>
      <c r="B11387" t="str">
        <f>T("   Chine")</f>
        <v xml:space="preserve">   Chine</v>
      </c>
      <c r="C11387">
        <v>2865167</v>
      </c>
      <c r="D11387">
        <v>1040</v>
      </c>
    </row>
    <row r="11388" spans="1:4" x14ac:dyDescent="0.25">
      <c r="A11388" t="str">
        <f>T("   IN")</f>
        <v xml:space="preserve">   IN</v>
      </c>
      <c r="B11388" t="str">
        <f>T("   Inde")</f>
        <v xml:space="preserve">   Inde</v>
      </c>
      <c r="C11388">
        <v>64415442</v>
      </c>
      <c r="D11388">
        <v>9530</v>
      </c>
    </row>
    <row r="11389" spans="1:4" x14ac:dyDescent="0.25">
      <c r="A11389" t="str">
        <f>T("   SG")</f>
        <v xml:space="preserve">   SG</v>
      </c>
      <c r="B11389" t="str">
        <f>T("   Singapour")</f>
        <v xml:space="preserve">   Singapour</v>
      </c>
      <c r="C11389">
        <v>14411452</v>
      </c>
      <c r="D11389">
        <v>6500</v>
      </c>
    </row>
    <row r="11390" spans="1:4" x14ac:dyDescent="0.25">
      <c r="A11390" t="str">
        <f>T("843780")</f>
        <v>843780</v>
      </c>
      <c r="B11390" t="str">
        <f>T("Machines et appareils de minoterie ou pour traitement des céréales ou légumes secs (autres que les machines et appareils du type agricole, les installations de traitement thermique, essoreuses centrifuges, filtres à air ainsi que machines et appareils pou")</f>
        <v>Machines et appareils de minoterie ou pour traitement des céréales ou légumes secs (autres que les machines et appareils du type agricole, les installations de traitement thermique, essoreuses centrifuges, filtres à air ainsi que machines et appareils pou</v>
      </c>
    </row>
    <row r="11391" spans="1:4" x14ac:dyDescent="0.25">
      <c r="A11391" t="str">
        <f>T("   ZZZ_Monde")</f>
        <v xml:space="preserve">   ZZZ_Monde</v>
      </c>
      <c r="B11391" t="str">
        <f>T("   ZZZ_Monde")</f>
        <v xml:space="preserve">   ZZZ_Monde</v>
      </c>
      <c r="C11391">
        <v>16290567</v>
      </c>
      <c r="D11391">
        <v>30862</v>
      </c>
    </row>
    <row r="11392" spans="1:4" x14ac:dyDescent="0.25">
      <c r="A11392" t="str">
        <f>T("   GH")</f>
        <v xml:space="preserve">   GH</v>
      </c>
      <c r="B11392" t="str">
        <f>T("   Ghana")</f>
        <v xml:space="preserve">   Ghana</v>
      </c>
      <c r="C11392">
        <v>400000</v>
      </c>
      <c r="D11392">
        <v>265</v>
      </c>
    </row>
    <row r="11393" spans="1:4" x14ac:dyDescent="0.25">
      <c r="A11393" t="str">
        <f>T("   IT")</f>
        <v xml:space="preserve">   IT</v>
      </c>
      <c r="B11393" t="str">
        <f>T("   Italie")</f>
        <v xml:space="preserve">   Italie</v>
      </c>
      <c r="C11393">
        <v>154144</v>
      </c>
      <c r="D11393">
        <v>150</v>
      </c>
    </row>
    <row r="11394" spans="1:4" x14ac:dyDescent="0.25">
      <c r="A11394" t="str">
        <f>T("   LK")</f>
        <v xml:space="preserve">   LK</v>
      </c>
      <c r="B11394" t="str">
        <f>T("   Sri Lanka")</f>
        <v xml:space="preserve">   Sri Lanka</v>
      </c>
      <c r="C11394">
        <v>1591589</v>
      </c>
      <c r="D11394">
        <v>110</v>
      </c>
    </row>
    <row r="11395" spans="1:4" x14ac:dyDescent="0.25">
      <c r="A11395" t="str">
        <f>T("   NG")</f>
        <v xml:space="preserve">   NG</v>
      </c>
      <c r="B11395" t="str">
        <f>T("   Nigéria")</f>
        <v xml:space="preserve">   Nigéria</v>
      </c>
      <c r="C11395">
        <v>11376666</v>
      </c>
      <c r="D11395">
        <v>27080</v>
      </c>
    </row>
    <row r="11396" spans="1:4" x14ac:dyDescent="0.25">
      <c r="A11396" t="str">
        <f>T("   SG")</f>
        <v xml:space="preserve">   SG</v>
      </c>
      <c r="B11396" t="str">
        <f>T("   Singapour")</f>
        <v xml:space="preserve">   Singapour</v>
      </c>
      <c r="C11396">
        <v>1980343</v>
      </c>
      <c r="D11396">
        <v>1697</v>
      </c>
    </row>
    <row r="11397" spans="1:4" x14ac:dyDescent="0.25">
      <c r="A11397" t="str">
        <f>T("   TG")</f>
        <v xml:space="preserve">   TG</v>
      </c>
      <c r="B11397" t="str">
        <f>T("   Togo")</f>
        <v xml:space="preserve">   Togo</v>
      </c>
      <c r="C11397">
        <v>787825</v>
      </c>
      <c r="D11397">
        <v>1560</v>
      </c>
    </row>
    <row r="11398" spans="1:4" x14ac:dyDescent="0.25">
      <c r="A11398" t="str">
        <f>T("843790")</f>
        <v>843790</v>
      </c>
      <c r="B11398" t="str">
        <f>T("Parties de machines et appareils de minoterie ou pour le traitement des céréales ou légumes secs ou pour le nettoyage, le triage ou le criblage des grains ou des légumes secs, n.d.a.")</f>
        <v>Parties de machines et appareils de minoterie ou pour le traitement des céréales ou légumes secs ou pour le nettoyage, le triage ou le criblage des grains ou des légumes secs, n.d.a.</v>
      </c>
    </row>
    <row r="11399" spans="1:4" x14ac:dyDescent="0.25">
      <c r="A11399" t="str">
        <f>T("   ZZZ_Monde")</f>
        <v xml:space="preserve">   ZZZ_Monde</v>
      </c>
      <c r="B11399" t="str">
        <f>T("   ZZZ_Monde")</f>
        <v xml:space="preserve">   ZZZ_Monde</v>
      </c>
      <c r="C11399">
        <v>90761879</v>
      </c>
      <c r="D11399">
        <v>79479</v>
      </c>
    </row>
    <row r="11400" spans="1:4" x14ac:dyDescent="0.25">
      <c r="A11400" t="str">
        <f>T("   BE")</f>
        <v xml:space="preserve">   BE</v>
      </c>
      <c r="B11400" t="str">
        <f>T("   Belgique")</f>
        <v xml:space="preserve">   Belgique</v>
      </c>
      <c r="C11400">
        <v>4540839</v>
      </c>
      <c r="D11400">
        <v>491</v>
      </c>
    </row>
    <row r="11401" spans="1:4" x14ac:dyDescent="0.25">
      <c r="A11401" t="str">
        <f>T("   CH")</f>
        <v xml:space="preserve">   CH</v>
      </c>
      <c r="B11401" t="str">
        <f>T("   Suisse")</f>
        <v xml:space="preserve">   Suisse</v>
      </c>
      <c r="C11401">
        <v>15038262</v>
      </c>
      <c r="D11401">
        <v>1505</v>
      </c>
    </row>
    <row r="11402" spans="1:4" x14ac:dyDescent="0.25">
      <c r="A11402" t="str">
        <f>T("   FR")</f>
        <v xml:space="preserve">   FR</v>
      </c>
      <c r="B11402" t="str">
        <f>T("   France")</f>
        <v xml:space="preserve">   France</v>
      </c>
      <c r="C11402">
        <v>25211564</v>
      </c>
      <c r="D11402">
        <v>1213</v>
      </c>
    </row>
    <row r="11403" spans="1:4" x14ac:dyDescent="0.25">
      <c r="A11403" t="str">
        <f>T("   NG")</f>
        <v xml:space="preserve">   NG</v>
      </c>
      <c r="B11403" t="str">
        <f>T("   Nigéria")</f>
        <v xml:space="preserve">   Nigéria</v>
      </c>
      <c r="C11403">
        <v>43273160</v>
      </c>
      <c r="D11403">
        <v>75709</v>
      </c>
    </row>
    <row r="11404" spans="1:4" x14ac:dyDescent="0.25">
      <c r="A11404" t="str">
        <f>T("   SG")</f>
        <v xml:space="preserve">   SG</v>
      </c>
      <c r="B11404" t="str">
        <f>T("   Singapour")</f>
        <v xml:space="preserve">   Singapour</v>
      </c>
      <c r="C11404">
        <v>551795</v>
      </c>
      <c r="D11404">
        <v>258</v>
      </c>
    </row>
    <row r="11405" spans="1:4" x14ac:dyDescent="0.25">
      <c r="A11405" t="str">
        <f>T("   US")</f>
        <v xml:space="preserve">   US</v>
      </c>
      <c r="B11405" t="str">
        <f>T("   Etats-Unis")</f>
        <v xml:space="preserve">   Etats-Unis</v>
      </c>
      <c r="C11405">
        <v>2146259</v>
      </c>
      <c r="D11405">
        <v>303</v>
      </c>
    </row>
    <row r="11406" spans="1:4" x14ac:dyDescent="0.25">
      <c r="A11406" t="str">
        <f>T("843810")</f>
        <v>843810</v>
      </c>
      <c r="B11406" t="str">
        <f>T("Machines et appareils pour la fabrication industrielle des produits de boulangerie, pâtisserie ou biscuiterie ou pour la fabrication industrielle des pâtes alimentaires (sauf fours, appareils de séchage des pâtes alimentaires et machines à rouler la pâte)")</f>
        <v>Machines et appareils pour la fabrication industrielle des produits de boulangerie, pâtisserie ou biscuiterie ou pour la fabrication industrielle des pâtes alimentaires (sauf fours, appareils de séchage des pâtes alimentaires et machines à rouler la pâte)</v>
      </c>
    </row>
    <row r="11407" spans="1:4" x14ac:dyDescent="0.25">
      <c r="A11407" t="str">
        <f>T("   ZZZ_Monde")</f>
        <v xml:space="preserve">   ZZZ_Monde</v>
      </c>
      <c r="B11407" t="str">
        <f>T("   ZZZ_Monde")</f>
        <v xml:space="preserve">   ZZZ_Monde</v>
      </c>
      <c r="C11407">
        <v>410581388</v>
      </c>
      <c r="D11407">
        <v>272144</v>
      </c>
    </row>
    <row r="11408" spans="1:4" x14ac:dyDescent="0.25">
      <c r="A11408" t="str">
        <f>T("   CN")</f>
        <v xml:space="preserve">   CN</v>
      </c>
      <c r="B11408" t="str">
        <f>T("   Chine")</f>
        <v xml:space="preserve">   Chine</v>
      </c>
      <c r="C11408">
        <v>365490326</v>
      </c>
      <c r="D11408">
        <v>177039</v>
      </c>
    </row>
    <row r="11409" spans="1:4" x14ac:dyDescent="0.25">
      <c r="A11409" t="str">
        <f>T("   CY")</f>
        <v xml:space="preserve">   CY</v>
      </c>
      <c r="B11409" t="str">
        <f>T("   Chypre")</f>
        <v xml:space="preserve">   Chypre</v>
      </c>
      <c r="C11409">
        <v>4526124</v>
      </c>
      <c r="D11409">
        <v>16000</v>
      </c>
    </row>
    <row r="11410" spans="1:4" x14ac:dyDescent="0.25">
      <c r="A11410" t="str">
        <f>T("   FR")</f>
        <v xml:space="preserve">   FR</v>
      </c>
      <c r="B11410" t="str">
        <f>T("   France")</f>
        <v xml:space="preserve">   France</v>
      </c>
      <c r="C11410">
        <v>31438379</v>
      </c>
      <c r="D11410">
        <v>51805</v>
      </c>
    </row>
    <row r="11411" spans="1:4" x14ac:dyDescent="0.25">
      <c r="A11411" t="str">
        <f>T("   GB")</f>
        <v xml:space="preserve">   GB</v>
      </c>
      <c r="B11411" t="str">
        <f>T("   Royaume-Uni")</f>
        <v xml:space="preserve">   Royaume-Uni</v>
      </c>
      <c r="C11411">
        <v>4106112</v>
      </c>
      <c r="D11411">
        <v>3300</v>
      </c>
    </row>
    <row r="11412" spans="1:4" x14ac:dyDescent="0.25">
      <c r="A11412" t="str">
        <f>T("   NL")</f>
        <v xml:space="preserve">   NL</v>
      </c>
      <c r="B11412" t="str">
        <f>T("   Pays-bas")</f>
        <v xml:space="preserve">   Pays-bas</v>
      </c>
      <c r="C11412">
        <v>1320447</v>
      </c>
      <c r="D11412">
        <v>15000</v>
      </c>
    </row>
    <row r="11413" spans="1:4" x14ac:dyDescent="0.25">
      <c r="A11413" t="str">
        <f>T("   TG")</f>
        <v xml:space="preserve">   TG</v>
      </c>
      <c r="B11413" t="str">
        <f>T("   Togo")</f>
        <v xml:space="preserve">   Togo</v>
      </c>
      <c r="C11413">
        <v>3700000</v>
      </c>
      <c r="D11413">
        <v>9000</v>
      </c>
    </row>
    <row r="11414" spans="1:4" x14ac:dyDescent="0.25">
      <c r="A11414" t="str">
        <f>T("843840")</f>
        <v>843840</v>
      </c>
      <c r="B11414" t="str">
        <f>T("Machines et appareils pour la brasserie (sauf centrifugeuses et sauf appareils de filtrage, appareils thermiques et appareils de refroidissement)")</f>
        <v>Machines et appareils pour la brasserie (sauf centrifugeuses et sauf appareils de filtrage, appareils thermiques et appareils de refroidissement)</v>
      </c>
    </row>
    <row r="11415" spans="1:4" x14ac:dyDescent="0.25">
      <c r="A11415" t="str">
        <f>T("   ZZZ_Monde")</f>
        <v xml:space="preserve">   ZZZ_Monde</v>
      </c>
      <c r="B11415" t="str">
        <f>T("   ZZZ_Monde")</f>
        <v xml:space="preserve">   ZZZ_Monde</v>
      </c>
      <c r="C11415">
        <v>737995105</v>
      </c>
      <c r="D11415">
        <v>62686</v>
      </c>
    </row>
    <row r="11416" spans="1:4" x14ac:dyDescent="0.25">
      <c r="A11416" t="str">
        <f>T("   BE")</f>
        <v xml:space="preserve">   BE</v>
      </c>
      <c r="B11416" t="str">
        <f>T("   Belgique")</f>
        <v xml:space="preserve">   Belgique</v>
      </c>
      <c r="C11416">
        <v>696574420</v>
      </c>
      <c r="D11416">
        <v>59180</v>
      </c>
    </row>
    <row r="11417" spans="1:4" x14ac:dyDescent="0.25">
      <c r="A11417" t="str">
        <f>T("   CH")</f>
        <v xml:space="preserve">   CH</v>
      </c>
      <c r="B11417" t="str">
        <f>T("   Suisse")</f>
        <v xml:space="preserve">   Suisse</v>
      </c>
      <c r="C11417">
        <v>33831944</v>
      </c>
      <c r="D11417">
        <v>954</v>
      </c>
    </row>
    <row r="11418" spans="1:4" x14ac:dyDescent="0.25">
      <c r="A11418" t="str">
        <f>T("   CN")</f>
        <v xml:space="preserve">   CN</v>
      </c>
      <c r="B11418" t="str">
        <f>T("   Chine")</f>
        <v xml:space="preserve">   Chine</v>
      </c>
      <c r="C11418">
        <v>7117081</v>
      </c>
      <c r="D11418">
        <v>2551</v>
      </c>
    </row>
    <row r="11419" spans="1:4" x14ac:dyDescent="0.25">
      <c r="A11419" t="str">
        <f>T("   TR")</f>
        <v xml:space="preserve">   TR</v>
      </c>
      <c r="B11419" t="str">
        <f>T("   Turquie")</f>
        <v xml:space="preserve">   Turquie</v>
      </c>
      <c r="C11419">
        <v>471660</v>
      </c>
      <c r="D11419">
        <v>1</v>
      </c>
    </row>
    <row r="11420" spans="1:4" x14ac:dyDescent="0.25">
      <c r="A11420" t="str">
        <f>T("843850")</f>
        <v>843850</v>
      </c>
      <c r="B11420" t="str">
        <f>T("Machines et appareils pour le traitement industriel des viandes (sauf appareils de cuisson et autres appareils thermiques ainsi que les installations de refroidissement et de congélation)")</f>
        <v>Machines et appareils pour le traitement industriel des viandes (sauf appareils de cuisson et autres appareils thermiques ainsi que les installations de refroidissement et de congélation)</v>
      </c>
    </row>
    <row r="11421" spans="1:4" x14ac:dyDescent="0.25">
      <c r="A11421" t="str">
        <f>T("   ZZZ_Monde")</f>
        <v xml:space="preserve">   ZZZ_Monde</v>
      </c>
      <c r="B11421" t="str">
        <f>T("   ZZZ_Monde")</f>
        <v xml:space="preserve">   ZZZ_Monde</v>
      </c>
      <c r="C11421">
        <v>2145646</v>
      </c>
      <c r="D11421">
        <v>89</v>
      </c>
    </row>
    <row r="11422" spans="1:4" x14ac:dyDescent="0.25">
      <c r="A11422" t="str">
        <f>T("   FR")</f>
        <v xml:space="preserve">   FR</v>
      </c>
      <c r="B11422" t="str">
        <f>T("   France")</f>
        <v xml:space="preserve">   France</v>
      </c>
      <c r="C11422">
        <v>2145646</v>
      </c>
      <c r="D11422">
        <v>89</v>
      </c>
    </row>
    <row r="11423" spans="1:4" x14ac:dyDescent="0.25">
      <c r="A11423" t="str">
        <f>T("843860")</f>
        <v>843860</v>
      </c>
      <c r="B11423" t="str">
        <f>T("Machines et appareils pour la préparation ou le traitement industriels des fruits ou des légumes (sauf appareils de cuisson et autres appareils thermiques ainsi que les installations de refroidissement et de congélation, et sauf les machines à trier les f")</f>
        <v>Machines et appareils pour la préparation ou le traitement industriels des fruits ou des légumes (sauf appareils de cuisson et autres appareils thermiques ainsi que les installations de refroidissement et de congélation, et sauf les machines à trier les f</v>
      </c>
    </row>
    <row r="11424" spans="1:4" x14ac:dyDescent="0.25">
      <c r="A11424" t="str">
        <f>T("   ZZZ_Monde")</f>
        <v xml:space="preserve">   ZZZ_Monde</v>
      </c>
      <c r="B11424" t="str">
        <f>T("   ZZZ_Monde")</f>
        <v xml:space="preserve">   ZZZ_Monde</v>
      </c>
      <c r="C11424">
        <v>703952</v>
      </c>
      <c r="D11424">
        <v>728</v>
      </c>
    </row>
    <row r="11425" spans="1:4" x14ac:dyDescent="0.25">
      <c r="A11425" t="str">
        <f>T("   CN")</f>
        <v xml:space="preserve">   CN</v>
      </c>
      <c r="B11425" t="str">
        <f>T("   Chine")</f>
        <v xml:space="preserve">   Chine</v>
      </c>
      <c r="C11425">
        <v>179050</v>
      </c>
      <c r="D11425">
        <v>500</v>
      </c>
    </row>
    <row r="11426" spans="1:4" x14ac:dyDescent="0.25">
      <c r="A11426" t="str">
        <f>T("   FR")</f>
        <v xml:space="preserve">   FR</v>
      </c>
      <c r="B11426" t="str">
        <f>T("   France")</f>
        <v xml:space="preserve">   France</v>
      </c>
      <c r="C11426">
        <v>95180</v>
      </c>
      <c r="D11426">
        <v>28</v>
      </c>
    </row>
    <row r="11427" spans="1:4" x14ac:dyDescent="0.25">
      <c r="A11427" t="str">
        <f>T("   TG")</f>
        <v xml:space="preserve">   TG</v>
      </c>
      <c r="B11427" t="str">
        <f>T("   Togo")</f>
        <v xml:space="preserve">   Togo</v>
      </c>
      <c r="C11427">
        <v>429722</v>
      </c>
      <c r="D11427">
        <v>200</v>
      </c>
    </row>
    <row r="11428" spans="1:4" x14ac:dyDescent="0.25">
      <c r="A11428" t="str">
        <f>T("843880")</f>
        <v>843880</v>
      </c>
      <c r="B11428" t="str">
        <f>T("Machines et appareils pour la préparation ou la fabrication industrielles d'aliments ou de boissons, n.d.a.")</f>
        <v>Machines et appareils pour la préparation ou la fabrication industrielles d'aliments ou de boissons, n.d.a.</v>
      </c>
    </row>
    <row r="11429" spans="1:4" x14ac:dyDescent="0.25">
      <c r="A11429" t="str">
        <f>T("   ZZZ_Monde")</f>
        <v xml:space="preserve">   ZZZ_Monde</v>
      </c>
      <c r="B11429" t="str">
        <f>T("   ZZZ_Monde")</f>
        <v xml:space="preserve">   ZZZ_Monde</v>
      </c>
      <c r="C11429">
        <v>39157218</v>
      </c>
      <c r="D11429">
        <v>71494</v>
      </c>
    </row>
    <row r="11430" spans="1:4" x14ac:dyDescent="0.25">
      <c r="A11430" t="str">
        <f>T("   GH")</f>
        <v xml:space="preserve">   GH</v>
      </c>
      <c r="B11430" t="str">
        <f>T("   Ghana")</f>
        <v xml:space="preserve">   Ghana</v>
      </c>
      <c r="C11430">
        <v>21570750</v>
      </c>
      <c r="D11430">
        <v>62000</v>
      </c>
    </row>
    <row r="11431" spans="1:4" x14ac:dyDescent="0.25">
      <c r="A11431" t="str">
        <f>T("   IN")</f>
        <v xml:space="preserve">   IN</v>
      </c>
      <c r="B11431" t="str">
        <f>T("   Inde")</f>
        <v xml:space="preserve">   Inde</v>
      </c>
      <c r="C11431">
        <v>8001861</v>
      </c>
      <c r="D11431">
        <v>4584</v>
      </c>
    </row>
    <row r="11432" spans="1:4" x14ac:dyDescent="0.25">
      <c r="A11432" t="str">
        <f>T("   IT")</f>
        <v xml:space="preserve">   IT</v>
      </c>
      <c r="B11432" t="str">
        <f>T("   Italie")</f>
        <v xml:space="preserve">   Italie</v>
      </c>
      <c r="C11432">
        <v>265664</v>
      </c>
      <c r="D11432">
        <v>560</v>
      </c>
    </row>
    <row r="11433" spans="1:4" x14ac:dyDescent="0.25">
      <c r="A11433" t="str">
        <f>T("   SG")</f>
        <v xml:space="preserve">   SG</v>
      </c>
      <c r="B11433" t="str">
        <f>T("   Singapour")</f>
        <v xml:space="preserve">   Singapour</v>
      </c>
      <c r="C11433">
        <v>9318943</v>
      </c>
      <c r="D11433">
        <v>4350</v>
      </c>
    </row>
    <row r="11434" spans="1:4" x14ac:dyDescent="0.25">
      <c r="A11434" t="str">
        <f>T("843890")</f>
        <v>843890</v>
      </c>
      <c r="B11434" t="str">
        <f>T("Parties des machines et appareils pour le traitement, la préparation ou la fabrication industriels d'aliments ou de boissons, n.d.a.")</f>
        <v>Parties des machines et appareils pour le traitement, la préparation ou la fabrication industriels d'aliments ou de boissons, n.d.a.</v>
      </c>
    </row>
    <row r="11435" spans="1:4" x14ac:dyDescent="0.25">
      <c r="A11435" t="str">
        <f>T("   ZZZ_Monde")</f>
        <v xml:space="preserve">   ZZZ_Monde</v>
      </c>
      <c r="B11435" t="str">
        <f>T("   ZZZ_Monde")</f>
        <v xml:space="preserve">   ZZZ_Monde</v>
      </c>
      <c r="C11435">
        <v>462999216</v>
      </c>
      <c r="D11435">
        <v>85763</v>
      </c>
    </row>
    <row r="11436" spans="1:4" x14ac:dyDescent="0.25">
      <c r="A11436" t="str">
        <f>T("   BE")</f>
        <v xml:space="preserve">   BE</v>
      </c>
      <c r="B11436" t="str">
        <f>T("   Belgique")</f>
        <v xml:space="preserve">   Belgique</v>
      </c>
      <c r="C11436">
        <v>8563296</v>
      </c>
      <c r="D11436">
        <v>77</v>
      </c>
    </row>
    <row r="11437" spans="1:4" x14ac:dyDescent="0.25">
      <c r="A11437" t="str">
        <f>T("   CH")</f>
        <v xml:space="preserve">   CH</v>
      </c>
      <c r="B11437" t="str">
        <f>T("   Suisse")</f>
        <v xml:space="preserve">   Suisse</v>
      </c>
      <c r="C11437">
        <v>28603529</v>
      </c>
      <c r="D11437">
        <v>3174</v>
      </c>
    </row>
    <row r="11438" spans="1:4" x14ac:dyDescent="0.25">
      <c r="A11438" t="str">
        <f>T("   CN")</f>
        <v xml:space="preserve">   CN</v>
      </c>
      <c r="B11438" t="str">
        <f>T("   Chine")</f>
        <v xml:space="preserve">   Chine</v>
      </c>
      <c r="C11438">
        <v>148388496</v>
      </c>
      <c r="D11438">
        <v>53355</v>
      </c>
    </row>
    <row r="11439" spans="1:4" x14ac:dyDescent="0.25">
      <c r="A11439" t="str">
        <f>T("   DE")</f>
        <v xml:space="preserve">   DE</v>
      </c>
      <c r="B11439" t="str">
        <f>T("   Allemagne")</f>
        <v xml:space="preserve">   Allemagne</v>
      </c>
      <c r="C11439">
        <v>77616271</v>
      </c>
      <c r="D11439">
        <v>2963</v>
      </c>
    </row>
    <row r="11440" spans="1:4" x14ac:dyDescent="0.25">
      <c r="A11440" t="str">
        <f>T("   FR")</f>
        <v xml:space="preserve">   FR</v>
      </c>
      <c r="B11440" t="str">
        <f>T("   France")</f>
        <v xml:space="preserve">   France</v>
      </c>
      <c r="C11440">
        <v>50154987</v>
      </c>
      <c r="D11440">
        <v>16289</v>
      </c>
    </row>
    <row r="11441" spans="1:4" x14ac:dyDescent="0.25">
      <c r="A11441" t="str">
        <f>T("   IE")</f>
        <v xml:space="preserve">   IE</v>
      </c>
      <c r="B11441" t="str">
        <f>T("   Irlande")</f>
        <v xml:space="preserve">   Irlande</v>
      </c>
      <c r="C11441">
        <v>144104041</v>
      </c>
      <c r="D11441">
        <v>9227</v>
      </c>
    </row>
    <row r="11442" spans="1:4" x14ac:dyDescent="0.25">
      <c r="A11442" t="str">
        <f>T("   IT")</f>
        <v xml:space="preserve">   IT</v>
      </c>
      <c r="B11442" t="str">
        <f>T("   Italie")</f>
        <v xml:space="preserve">   Italie</v>
      </c>
      <c r="C11442">
        <v>2405051</v>
      </c>
      <c r="D11442">
        <v>675</v>
      </c>
    </row>
    <row r="11443" spans="1:4" x14ac:dyDescent="0.25">
      <c r="A11443" t="str">
        <f>T("   TR")</f>
        <v xml:space="preserve">   TR</v>
      </c>
      <c r="B11443" t="str">
        <f>T("   Turquie")</f>
        <v xml:space="preserve">   Turquie</v>
      </c>
      <c r="C11443">
        <v>3163545</v>
      </c>
      <c r="D11443">
        <v>3</v>
      </c>
    </row>
    <row r="11444" spans="1:4" x14ac:dyDescent="0.25">
      <c r="A11444" t="str">
        <f>T("843920")</f>
        <v>843920</v>
      </c>
      <c r="B11444" t="str">
        <f>T("Machines et appareils pour la fabrication du papier ou du carton (autres que les installations de séchage et autres appareils thermiques, calandres et machines et appareils pour la fabrication de la pâte à papier)")</f>
        <v>Machines et appareils pour la fabrication du papier ou du carton (autres que les installations de séchage et autres appareils thermiques, calandres et machines et appareils pour la fabrication de la pâte à papier)</v>
      </c>
    </row>
    <row r="11445" spans="1:4" x14ac:dyDescent="0.25">
      <c r="A11445" t="str">
        <f>T("   ZZZ_Monde")</f>
        <v xml:space="preserve">   ZZZ_Monde</v>
      </c>
      <c r="B11445" t="str">
        <f>T("   ZZZ_Monde")</f>
        <v xml:space="preserve">   ZZZ_Monde</v>
      </c>
      <c r="C11445">
        <v>204198</v>
      </c>
      <c r="D11445">
        <v>315</v>
      </c>
    </row>
    <row r="11446" spans="1:4" x14ac:dyDescent="0.25">
      <c r="A11446" t="str">
        <f>T("   CN")</f>
        <v xml:space="preserve">   CN</v>
      </c>
      <c r="B11446" t="str">
        <f>T("   Chine")</f>
        <v xml:space="preserve">   Chine</v>
      </c>
      <c r="C11446">
        <v>204198</v>
      </c>
      <c r="D11446">
        <v>315</v>
      </c>
    </row>
    <row r="11447" spans="1:4" x14ac:dyDescent="0.25">
      <c r="A11447" t="str">
        <f>T("843999")</f>
        <v>843999</v>
      </c>
      <c r="B11447" t="str">
        <f>T("Parties de machines et appareils pour la fabrication ou le finissage de papier ou de carton, n.d.a.")</f>
        <v>Parties de machines et appareils pour la fabrication ou le finissage de papier ou de carton, n.d.a.</v>
      </c>
    </row>
    <row r="11448" spans="1:4" x14ac:dyDescent="0.25">
      <c r="A11448" t="str">
        <f>T("   ZZZ_Monde")</f>
        <v xml:space="preserve">   ZZZ_Monde</v>
      </c>
      <c r="B11448" t="str">
        <f>T("   ZZZ_Monde")</f>
        <v xml:space="preserve">   ZZZ_Monde</v>
      </c>
      <c r="C11448">
        <v>37583795</v>
      </c>
      <c r="D11448">
        <v>5457</v>
      </c>
    </row>
    <row r="11449" spans="1:4" x14ac:dyDescent="0.25">
      <c r="A11449" t="str">
        <f>T("   FR")</f>
        <v xml:space="preserve">   FR</v>
      </c>
      <c r="B11449" t="str">
        <f>T("   France")</f>
        <v xml:space="preserve">   France</v>
      </c>
      <c r="C11449">
        <v>37583795</v>
      </c>
      <c r="D11449">
        <v>5457</v>
      </c>
    </row>
    <row r="11450" spans="1:4" x14ac:dyDescent="0.25">
      <c r="A11450" t="str">
        <f>T("844010")</f>
        <v>844010</v>
      </c>
      <c r="B11450" t="str">
        <f>T("Machines et appareils pour le brochage ou la reliure, y.c. les machines à coudre les feuillets (à l'excl. des machines et appareils pour le travail de la pâte à papier, du papier et du carton, y.c. les coupeuses, des presses polyvalentes ainsi que des mac")</f>
        <v>Machines et appareils pour le brochage ou la reliure, y.c. les machines à coudre les feuillets (à l'excl. des machines et appareils pour le travail de la pâte à papier, du papier et du carton, y.c. les coupeuses, des presses polyvalentes ainsi que des mac</v>
      </c>
    </row>
    <row r="11451" spans="1:4" x14ac:dyDescent="0.25">
      <c r="A11451" t="str">
        <f>T("   ZZZ_Monde")</f>
        <v xml:space="preserve">   ZZZ_Monde</v>
      </c>
      <c r="B11451" t="str">
        <f>T("   ZZZ_Monde")</f>
        <v xml:space="preserve">   ZZZ_Monde</v>
      </c>
      <c r="C11451">
        <v>34374398</v>
      </c>
      <c r="D11451">
        <v>22481</v>
      </c>
    </row>
    <row r="11452" spans="1:4" x14ac:dyDescent="0.25">
      <c r="A11452" t="str">
        <f>T("   BE")</f>
        <v xml:space="preserve">   BE</v>
      </c>
      <c r="B11452" t="str">
        <f>T("   Belgique")</f>
        <v xml:space="preserve">   Belgique</v>
      </c>
      <c r="C11452">
        <v>9394666</v>
      </c>
      <c r="D11452">
        <v>3800</v>
      </c>
    </row>
    <row r="11453" spans="1:4" x14ac:dyDescent="0.25">
      <c r="A11453" t="str">
        <f>T("   FR")</f>
        <v xml:space="preserve">   FR</v>
      </c>
      <c r="B11453" t="str">
        <f>T("   France")</f>
        <v xml:space="preserve">   France</v>
      </c>
      <c r="C11453">
        <v>23841481</v>
      </c>
      <c r="D11453">
        <v>18291</v>
      </c>
    </row>
    <row r="11454" spans="1:4" x14ac:dyDescent="0.25">
      <c r="A11454" t="str">
        <f>T("   NG")</f>
        <v xml:space="preserve">   NG</v>
      </c>
      <c r="B11454" t="str">
        <f>T("   Nigéria")</f>
        <v xml:space="preserve">   Nigéria</v>
      </c>
      <c r="C11454">
        <v>70000</v>
      </c>
      <c r="D11454">
        <v>100</v>
      </c>
    </row>
    <row r="11455" spans="1:4" x14ac:dyDescent="0.25">
      <c r="A11455" t="str">
        <f>T("   SG")</f>
        <v xml:space="preserve">   SG</v>
      </c>
      <c r="B11455" t="str">
        <f>T("   Singapour")</f>
        <v xml:space="preserve">   Singapour</v>
      </c>
      <c r="C11455">
        <v>1068251</v>
      </c>
      <c r="D11455">
        <v>290</v>
      </c>
    </row>
    <row r="11456" spans="1:4" x14ac:dyDescent="0.25">
      <c r="A11456" t="str">
        <f>T("844090")</f>
        <v>844090</v>
      </c>
      <c r="B11456" t="str">
        <f>T("Parties de machines et appareils pour le brochage ou la reliure, n.d.a.")</f>
        <v>Parties de machines et appareils pour le brochage ou la reliure, n.d.a.</v>
      </c>
    </row>
    <row r="11457" spans="1:4" x14ac:dyDescent="0.25">
      <c r="A11457" t="str">
        <f>T("   ZZZ_Monde")</f>
        <v xml:space="preserve">   ZZZ_Monde</v>
      </c>
      <c r="B11457" t="str">
        <f>T("   ZZZ_Monde")</f>
        <v xml:space="preserve">   ZZZ_Monde</v>
      </c>
      <c r="C11457">
        <v>482131</v>
      </c>
      <c r="D11457">
        <v>100</v>
      </c>
    </row>
    <row r="11458" spans="1:4" x14ac:dyDescent="0.25">
      <c r="A11458" t="str">
        <f>T("   IT")</f>
        <v xml:space="preserve">   IT</v>
      </c>
      <c r="B11458" t="str">
        <f>T("   Italie")</f>
        <v xml:space="preserve">   Italie</v>
      </c>
      <c r="C11458">
        <v>482131</v>
      </c>
      <c r="D11458">
        <v>100</v>
      </c>
    </row>
    <row r="11459" spans="1:4" x14ac:dyDescent="0.25">
      <c r="A11459" t="str">
        <f>T("844110")</f>
        <v>844110</v>
      </c>
      <c r="B11459" t="str">
        <f>T("Coupeuses pour le travail de la pâte à papier, du papier ou du carton (sauf machines et appareils pour le brochage ou la reliure)")</f>
        <v>Coupeuses pour le travail de la pâte à papier, du papier ou du carton (sauf machines et appareils pour le brochage ou la reliure)</v>
      </c>
    </row>
    <row r="11460" spans="1:4" x14ac:dyDescent="0.25">
      <c r="A11460" t="str">
        <f>T("   ZZZ_Monde")</f>
        <v xml:space="preserve">   ZZZ_Monde</v>
      </c>
      <c r="B11460" t="str">
        <f>T("   ZZZ_Monde")</f>
        <v xml:space="preserve">   ZZZ_Monde</v>
      </c>
      <c r="C11460">
        <v>7741056</v>
      </c>
      <c r="D11460">
        <v>17560</v>
      </c>
    </row>
    <row r="11461" spans="1:4" x14ac:dyDescent="0.25">
      <c r="A11461" t="str">
        <f>T("   FR")</f>
        <v xml:space="preserve">   FR</v>
      </c>
      <c r="B11461" t="str">
        <f>T("   France")</f>
        <v xml:space="preserve">   France</v>
      </c>
      <c r="C11461">
        <v>7741056</v>
      </c>
      <c r="D11461">
        <v>17560</v>
      </c>
    </row>
    <row r="11462" spans="1:4" x14ac:dyDescent="0.25">
      <c r="A11462" t="str">
        <f>T("844180")</f>
        <v>844180</v>
      </c>
      <c r="B11462" t="str">
        <f>T("Machines et appareils pour le travail de la pâte à papier, du papier ou du carton, n.d.a.")</f>
        <v>Machines et appareils pour le travail de la pâte à papier, du papier ou du carton, n.d.a.</v>
      </c>
    </row>
    <row r="11463" spans="1:4" x14ac:dyDescent="0.25">
      <c r="A11463" t="str">
        <f>T("   ZZZ_Monde")</f>
        <v xml:space="preserve">   ZZZ_Monde</v>
      </c>
      <c r="B11463" t="str">
        <f>T("   ZZZ_Monde")</f>
        <v xml:space="preserve">   ZZZ_Monde</v>
      </c>
      <c r="C11463">
        <v>46485910</v>
      </c>
      <c r="D11463">
        <v>13307</v>
      </c>
    </row>
    <row r="11464" spans="1:4" x14ac:dyDescent="0.25">
      <c r="A11464" t="str">
        <f>T("   BE")</f>
        <v xml:space="preserve">   BE</v>
      </c>
      <c r="B11464" t="str">
        <f>T("   Belgique")</f>
        <v xml:space="preserve">   Belgique</v>
      </c>
      <c r="C11464">
        <v>68876</v>
      </c>
      <c r="D11464">
        <v>1500</v>
      </c>
    </row>
    <row r="11465" spans="1:4" x14ac:dyDescent="0.25">
      <c r="A11465" t="str">
        <f>T("   CN")</f>
        <v xml:space="preserve">   CN</v>
      </c>
      <c r="B11465" t="str">
        <f>T("   Chine")</f>
        <v xml:space="preserve">   Chine</v>
      </c>
      <c r="C11465">
        <v>43186950</v>
      </c>
      <c r="D11465">
        <v>7000</v>
      </c>
    </row>
    <row r="11466" spans="1:4" x14ac:dyDescent="0.25">
      <c r="A11466" t="str">
        <f>T("   FR")</f>
        <v xml:space="preserve">   FR</v>
      </c>
      <c r="B11466" t="str">
        <f>T("   France")</f>
        <v xml:space="preserve">   France</v>
      </c>
      <c r="C11466">
        <v>3230084</v>
      </c>
      <c r="D11466">
        <v>4807</v>
      </c>
    </row>
    <row r="11467" spans="1:4" x14ac:dyDescent="0.25">
      <c r="A11467" t="str">
        <f>T("844190")</f>
        <v>844190</v>
      </c>
      <c r="B11467" t="str">
        <f>T("Parties de machines et appareils pour le travail de la pâte à papier, du papier ou du carton, n.d.a.")</f>
        <v>Parties de machines et appareils pour le travail de la pâte à papier, du papier ou du carton, n.d.a.</v>
      </c>
    </row>
    <row r="11468" spans="1:4" x14ac:dyDescent="0.25">
      <c r="A11468" t="str">
        <f>T("   ZZZ_Monde")</f>
        <v xml:space="preserve">   ZZZ_Monde</v>
      </c>
      <c r="B11468" t="str">
        <f>T("   ZZZ_Monde")</f>
        <v xml:space="preserve">   ZZZ_Monde</v>
      </c>
      <c r="C11468">
        <v>5636114</v>
      </c>
      <c r="D11468">
        <v>228</v>
      </c>
    </row>
    <row r="11469" spans="1:4" x14ac:dyDescent="0.25">
      <c r="A11469" t="str">
        <f>T("   CN")</f>
        <v xml:space="preserve">   CN</v>
      </c>
      <c r="B11469" t="str">
        <f>T("   Chine")</f>
        <v xml:space="preserve">   Chine</v>
      </c>
      <c r="C11469">
        <v>5636114</v>
      </c>
      <c r="D11469">
        <v>228</v>
      </c>
    </row>
    <row r="11470" spans="1:4" x14ac:dyDescent="0.25">
      <c r="A11470" t="str">
        <f>T("844210")</f>
        <v>844210</v>
      </c>
      <c r="B11470" t="str">
        <f>T("Machines à composer par procédé photographique (à l'excl. également des machines automatiques universelles de traitement informatique de la photocomposition)")</f>
        <v>Machines à composer par procédé photographique (à l'excl. également des machines automatiques universelles de traitement informatique de la photocomposition)</v>
      </c>
    </row>
    <row r="11471" spans="1:4" x14ac:dyDescent="0.25">
      <c r="A11471" t="str">
        <f>T("   ZZZ_Monde")</f>
        <v xml:space="preserve">   ZZZ_Monde</v>
      </c>
      <c r="B11471" t="str">
        <f>T("   ZZZ_Monde")</f>
        <v xml:space="preserve">   ZZZ_Monde</v>
      </c>
      <c r="C11471">
        <v>3096959</v>
      </c>
      <c r="D11471">
        <v>2500</v>
      </c>
    </row>
    <row r="11472" spans="1:4" x14ac:dyDescent="0.25">
      <c r="A11472" t="str">
        <f>T("   CN")</f>
        <v xml:space="preserve">   CN</v>
      </c>
      <c r="B11472" t="str">
        <f>T("   Chine")</f>
        <v xml:space="preserve">   Chine</v>
      </c>
      <c r="C11472">
        <v>3096959</v>
      </c>
      <c r="D11472">
        <v>2500</v>
      </c>
    </row>
    <row r="11473" spans="1:4" x14ac:dyDescent="0.25">
      <c r="A11473" t="str">
        <f>T("844230")</f>
        <v>844230</v>
      </c>
      <c r="B11473" t="str">
        <f>T("Machines, appareils et matériel pour la préparation ou la fabrication des clichés, planches, cylindres ou autres organes imprimants (sauf machines-outils à travailler par enlèvement de toute matière, à poste fixe et à stations multiples, à effectuer des o")</f>
        <v>Machines, appareils et matériel pour la préparation ou la fabrication des clichés, planches, cylindres ou autres organes imprimants (sauf machines-outils à travailler par enlèvement de toute matière, à poste fixe et à stations multiples, à effectuer des o</v>
      </c>
    </row>
    <row r="11474" spans="1:4" x14ac:dyDescent="0.25">
      <c r="A11474" t="str">
        <f>T("   ZZZ_Monde")</f>
        <v xml:space="preserve">   ZZZ_Monde</v>
      </c>
      <c r="B11474" t="str">
        <f>T("   ZZZ_Monde")</f>
        <v xml:space="preserve">   ZZZ_Monde</v>
      </c>
      <c r="C11474">
        <v>4430839</v>
      </c>
      <c r="D11474">
        <v>5726</v>
      </c>
    </row>
    <row r="11475" spans="1:4" x14ac:dyDescent="0.25">
      <c r="A11475" t="str">
        <f>T("   FR")</f>
        <v xml:space="preserve">   FR</v>
      </c>
      <c r="B11475" t="str">
        <f>T("   France")</f>
        <v xml:space="preserve">   France</v>
      </c>
      <c r="C11475">
        <v>4430839</v>
      </c>
      <c r="D11475">
        <v>5726</v>
      </c>
    </row>
    <row r="11476" spans="1:4" x14ac:dyDescent="0.25">
      <c r="A11476" t="str">
        <f>T("844240")</f>
        <v>844240</v>
      </c>
      <c r="B11476" t="str">
        <f>T("Parties de machines, appareils ou matériel à fondre ou à composer les caractères ou pour la préparation ou la fabrication de clichés, planches, cylindres ou autres organes imprimants, n.d.a.")</f>
        <v>Parties de machines, appareils ou matériel à fondre ou à composer les caractères ou pour la préparation ou la fabrication de clichés, planches, cylindres ou autres organes imprimants, n.d.a.</v>
      </c>
    </row>
    <row r="11477" spans="1:4" x14ac:dyDescent="0.25">
      <c r="A11477" t="str">
        <f>T("   ZZZ_Monde")</f>
        <v xml:space="preserve">   ZZZ_Monde</v>
      </c>
      <c r="B11477" t="str">
        <f>T("   ZZZ_Monde")</f>
        <v xml:space="preserve">   ZZZ_Monde</v>
      </c>
      <c r="C11477">
        <v>3520493</v>
      </c>
      <c r="D11477">
        <v>60</v>
      </c>
    </row>
    <row r="11478" spans="1:4" x14ac:dyDescent="0.25">
      <c r="A11478" t="str">
        <f>T("   DE")</f>
        <v xml:space="preserve">   DE</v>
      </c>
      <c r="B11478" t="str">
        <f>T("   Allemagne")</f>
        <v xml:space="preserve">   Allemagne</v>
      </c>
      <c r="C11478">
        <v>2717623</v>
      </c>
      <c r="D11478">
        <v>17</v>
      </c>
    </row>
    <row r="11479" spans="1:4" x14ac:dyDescent="0.25">
      <c r="A11479" t="str">
        <f>T("   LB")</f>
        <v xml:space="preserve">   LB</v>
      </c>
      <c r="B11479" t="str">
        <f>T("   Liban")</f>
        <v xml:space="preserve">   Liban</v>
      </c>
      <c r="C11479">
        <v>802870</v>
      </c>
      <c r="D11479">
        <v>43</v>
      </c>
    </row>
    <row r="11480" spans="1:4" x14ac:dyDescent="0.25">
      <c r="A11480" t="str">
        <f>T("844250")</f>
        <v>844250</v>
      </c>
      <c r="B11480" t="str">
        <f>T("PLANCHES, CYLINDRES ET AUTRES ORGANES IMPRIMANTS; PIERRES LITHOGRAPHIQUES, PLANCHES, PLAQUES ET CYLINDRES PRÉPARÉS POUR L'IMPRESSION -PLANÉS, GRENÉS, POLIS, P.EX.-")</f>
        <v>PLANCHES, CYLINDRES ET AUTRES ORGANES IMPRIMANTS; PIERRES LITHOGRAPHIQUES, PLANCHES, PLAQUES ET CYLINDRES PRÉPARÉS POUR L'IMPRESSION -PLANÉS, GRENÉS, POLIS, P.EX.-</v>
      </c>
    </row>
    <row r="11481" spans="1:4" x14ac:dyDescent="0.25">
      <c r="A11481" t="str">
        <f>T("   ZZZ_Monde")</f>
        <v xml:space="preserve">   ZZZ_Monde</v>
      </c>
      <c r="B11481" t="str">
        <f>T("   ZZZ_Monde")</f>
        <v xml:space="preserve">   ZZZ_Monde</v>
      </c>
      <c r="C11481">
        <v>32936215</v>
      </c>
      <c r="D11481">
        <v>6252</v>
      </c>
    </row>
    <row r="11482" spans="1:4" x14ac:dyDescent="0.25">
      <c r="A11482" t="str">
        <f>T("   BE")</f>
        <v xml:space="preserve">   BE</v>
      </c>
      <c r="B11482" t="str">
        <f>T("   Belgique")</f>
        <v xml:space="preserve">   Belgique</v>
      </c>
      <c r="C11482">
        <v>17882204</v>
      </c>
      <c r="D11482">
        <v>2624</v>
      </c>
    </row>
    <row r="11483" spans="1:4" x14ac:dyDescent="0.25">
      <c r="A11483" t="str">
        <f>T("   CH")</f>
        <v xml:space="preserve">   CH</v>
      </c>
      <c r="B11483" t="str">
        <f>T("   Suisse")</f>
        <v xml:space="preserve">   Suisse</v>
      </c>
      <c r="C11483">
        <v>8267720</v>
      </c>
      <c r="D11483">
        <v>2478</v>
      </c>
    </row>
    <row r="11484" spans="1:4" x14ac:dyDescent="0.25">
      <c r="A11484" t="str">
        <f>T("   DE")</f>
        <v xml:space="preserve">   DE</v>
      </c>
      <c r="B11484" t="str">
        <f>T("   Allemagne")</f>
        <v xml:space="preserve">   Allemagne</v>
      </c>
      <c r="C11484">
        <v>4280795</v>
      </c>
      <c r="D11484">
        <v>1000</v>
      </c>
    </row>
    <row r="11485" spans="1:4" x14ac:dyDescent="0.25">
      <c r="A11485" t="str">
        <f>T("   FR")</f>
        <v xml:space="preserve">   FR</v>
      </c>
      <c r="B11485" t="str">
        <f>T("   France")</f>
        <v xml:space="preserve">   France</v>
      </c>
      <c r="C11485">
        <v>2505496</v>
      </c>
      <c r="D11485">
        <v>150</v>
      </c>
    </row>
    <row r="11486" spans="1:4" x14ac:dyDescent="0.25">
      <c r="A11486" t="str">
        <f>T("844311")</f>
        <v>844311</v>
      </c>
      <c r="B11486" t="str">
        <f>T("Machines et appareils à imprimer, offset, alimentés en bobines")</f>
        <v>Machines et appareils à imprimer, offset, alimentés en bobines</v>
      </c>
    </row>
    <row r="11487" spans="1:4" x14ac:dyDescent="0.25">
      <c r="A11487" t="str">
        <f>T("   ZZZ_Monde")</f>
        <v xml:space="preserve">   ZZZ_Monde</v>
      </c>
      <c r="B11487" t="str">
        <f>T("   ZZZ_Monde")</f>
        <v xml:space="preserve">   ZZZ_Monde</v>
      </c>
      <c r="C11487">
        <v>87588830</v>
      </c>
      <c r="D11487">
        <v>10910</v>
      </c>
    </row>
    <row r="11488" spans="1:4" x14ac:dyDescent="0.25">
      <c r="A11488" t="str">
        <f>T("   IT")</f>
        <v xml:space="preserve">   IT</v>
      </c>
      <c r="B11488" t="str">
        <f>T("   Italie")</f>
        <v xml:space="preserve">   Italie</v>
      </c>
      <c r="C11488">
        <v>87588830</v>
      </c>
      <c r="D11488">
        <v>10910</v>
      </c>
    </row>
    <row r="11489" spans="1:4" x14ac:dyDescent="0.25">
      <c r="A11489" t="str">
        <f>T("844312")</f>
        <v>844312</v>
      </c>
      <c r="B11489" t="str">
        <f>T("Machines et appareils à imprimer, offset, alimentés en feuilles, format &lt;= 22 x 36 cm -offset de bureau-")</f>
        <v>Machines et appareils à imprimer, offset, alimentés en feuilles, format &lt;= 22 x 36 cm -offset de bureau-</v>
      </c>
    </row>
    <row r="11490" spans="1:4" x14ac:dyDescent="0.25">
      <c r="A11490" t="str">
        <f>T("   ZZZ_Monde")</f>
        <v xml:space="preserve">   ZZZ_Monde</v>
      </c>
      <c r="B11490" t="str">
        <f>T("   ZZZ_Monde")</f>
        <v xml:space="preserve">   ZZZ_Monde</v>
      </c>
      <c r="C11490">
        <v>8677039</v>
      </c>
      <c r="D11490">
        <v>7000</v>
      </c>
    </row>
    <row r="11491" spans="1:4" x14ac:dyDescent="0.25">
      <c r="A11491" t="str">
        <f>T("   FR")</f>
        <v xml:space="preserve">   FR</v>
      </c>
      <c r="B11491" t="str">
        <f>T("   France")</f>
        <v xml:space="preserve">   France</v>
      </c>
      <c r="C11491">
        <v>8677039</v>
      </c>
      <c r="D11491">
        <v>7000</v>
      </c>
    </row>
    <row r="11492" spans="1:4" x14ac:dyDescent="0.25">
      <c r="A11492" t="str">
        <f>T("844319")</f>
        <v>844319</v>
      </c>
      <c r="B11492" t="str">
        <f>T("MACHINES ET APPAREILS SERVANT À L'IMPRESSION AU MOYEN DE PLANCHES, CYLINDRES ET AUTRES ORGANES IMPRIMANTS DU N° 8442 (À L'EXCL. DES DUPLICATEURS HECTOGRAPHIQUES OU À STENCILS, DES MACHINES À IMPRIMER LES ADRESSES ET AUTRES MACHINES DE BUREAU À IMPRIMER DU")</f>
        <v>MACHINES ET APPAREILS SERVANT À L'IMPRESSION AU MOYEN DE PLANCHES, CYLINDRES ET AUTRES ORGANES IMPRIMANTS DU N° 8442 (À L'EXCL. DES DUPLICATEURS HECTOGRAPHIQUES OU À STENCILS, DES MACHINES À IMPRIMER LES ADRESSES ET AUTRES MACHINES DE BUREAU À IMPRIMER DU</v>
      </c>
    </row>
    <row r="11493" spans="1:4" x14ac:dyDescent="0.25">
      <c r="A11493" t="str">
        <f>T("   ZZZ_Monde")</f>
        <v xml:space="preserve">   ZZZ_Monde</v>
      </c>
      <c r="B11493" t="str">
        <f>T("   ZZZ_Monde")</f>
        <v xml:space="preserve">   ZZZ_Monde</v>
      </c>
      <c r="C11493">
        <v>86807480</v>
      </c>
      <c r="D11493">
        <v>97880</v>
      </c>
    </row>
    <row r="11494" spans="1:4" x14ac:dyDescent="0.25">
      <c r="A11494" t="str">
        <f>T("   DE")</f>
        <v xml:space="preserve">   DE</v>
      </c>
      <c r="B11494" t="str">
        <f>T("   Allemagne")</f>
        <v xml:space="preserve">   Allemagne</v>
      </c>
      <c r="C11494">
        <v>32798</v>
      </c>
      <c r="D11494">
        <v>20</v>
      </c>
    </row>
    <row r="11495" spans="1:4" x14ac:dyDescent="0.25">
      <c r="A11495" t="str">
        <f>T("   FR")</f>
        <v xml:space="preserve">   FR</v>
      </c>
      <c r="B11495" t="str">
        <f>T("   France")</f>
        <v xml:space="preserve">   France</v>
      </c>
      <c r="C11495">
        <v>71897592</v>
      </c>
      <c r="D11495">
        <v>89193</v>
      </c>
    </row>
    <row r="11496" spans="1:4" x14ac:dyDescent="0.25">
      <c r="A11496" t="str">
        <f>T("   NL")</f>
        <v xml:space="preserve">   NL</v>
      </c>
      <c r="B11496" t="str">
        <f>T("   Pays-bas")</f>
        <v xml:space="preserve">   Pays-bas</v>
      </c>
      <c r="C11496">
        <v>7163000</v>
      </c>
      <c r="D11496">
        <v>2557</v>
      </c>
    </row>
    <row r="11497" spans="1:4" x14ac:dyDescent="0.25">
      <c r="A11497" t="str">
        <f>T("   TG")</f>
        <v xml:space="preserve">   TG</v>
      </c>
      <c r="B11497" t="str">
        <f>T("   Togo")</f>
        <v xml:space="preserve">   Togo</v>
      </c>
      <c r="C11497">
        <v>7714090</v>
      </c>
      <c r="D11497">
        <v>6110</v>
      </c>
    </row>
    <row r="11498" spans="1:4" x14ac:dyDescent="0.25">
      <c r="A11498" t="str">
        <f>T("844329")</f>
        <v>844329</v>
      </c>
      <c r="B11498" t="str">
        <f>T("Machines et appareils à imprimer, typographiques (sauf machines et appareils flexographiques, et machines et appareils à imprimer typographiques alimentés en bobines)")</f>
        <v>Machines et appareils à imprimer, typographiques (sauf machines et appareils flexographiques, et machines et appareils à imprimer typographiques alimentés en bobines)</v>
      </c>
    </row>
    <row r="11499" spans="1:4" x14ac:dyDescent="0.25">
      <c r="A11499" t="str">
        <f>T("   ZZZ_Monde")</f>
        <v xml:space="preserve">   ZZZ_Monde</v>
      </c>
      <c r="B11499" t="str">
        <f>T("   ZZZ_Monde")</f>
        <v xml:space="preserve">   ZZZ_Monde</v>
      </c>
      <c r="C11499">
        <v>30371604</v>
      </c>
      <c r="D11499">
        <v>13898</v>
      </c>
    </row>
    <row r="11500" spans="1:4" x14ac:dyDescent="0.25">
      <c r="A11500" t="str">
        <f>T("   AE")</f>
        <v xml:space="preserve">   AE</v>
      </c>
      <c r="B11500" t="str">
        <f>T("   Emirats Arabes Unis")</f>
        <v xml:space="preserve">   Emirats Arabes Unis</v>
      </c>
      <c r="C11500">
        <v>21516144</v>
      </c>
      <c r="D11500">
        <v>3898</v>
      </c>
    </row>
    <row r="11501" spans="1:4" x14ac:dyDescent="0.25">
      <c r="A11501" t="str">
        <f>T("   FR")</f>
        <v xml:space="preserve">   FR</v>
      </c>
      <c r="B11501" t="str">
        <f>T("   France")</f>
        <v xml:space="preserve">   France</v>
      </c>
      <c r="C11501">
        <v>8855460</v>
      </c>
      <c r="D11501">
        <v>10000</v>
      </c>
    </row>
    <row r="11502" spans="1:4" x14ac:dyDescent="0.25">
      <c r="A11502" t="str">
        <f>T("844330")</f>
        <v>844330</v>
      </c>
      <c r="B11502" t="str">
        <f>T("Machines et appareils à imprimer, flexographiques")</f>
        <v>Machines et appareils à imprimer, flexographiques</v>
      </c>
    </row>
    <row r="11503" spans="1:4" x14ac:dyDescent="0.25">
      <c r="A11503" t="str">
        <f>T("   ZZZ_Monde")</f>
        <v xml:space="preserve">   ZZZ_Monde</v>
      </c>
      <c r="B11503" t="str">
        <f>T("   ZZZ_Monde")</f>
        <v xml:space="preserve">   ZZZ_Monde</v>
      </c>
      <c r="C11503">
        <v>204168145</v>
      </c>
      <c r="D11503">
        <v>21871</v>
      </c>
    </row>
    <row r="11504" spans="1:4" x14ac:dyDescent="0.25">
      <c r="A11504" t="str">
        <f>T("   FR")</f>
        <v xml:space="preserve">   FR</v>
      </c>
      <c r="B11504" t="str">
        <f>T("   France")</f>
        <v xml:space="preserve">   France</v>
      </c>
      <c r="C11504">
        <v>197092960</v>
      </c>
      <c r="D11504">
        <v>21515</v>
      </c>
    </row>
    <row r="11505" spans="1:4" x14ac:dyDescent="0.25">
      <c r="A11505" t="str">
        <f>T("   NL")</f>
        <v xml:space="preserve">   NL</v>
      </c>
      <c r="B11505" t="str">
        <f>T("   Pays-bas")</f>
        <v xml:space="preserve">   Pays-bas</v>
      </c>
      <c r="C11505">
        <v>7075185</v>
      </c>
      <c r="D11505">
        <v>356</v>
      </c>
    </row>
    <row r="11506" spans="1:4" x14ac:dyDescent="0.25">
      <c r="A11506" t="str">
        <f>T("844340")</f>
        <v>844340</v>
      </c>
      <c r="B11506" t="str">
        <f>T("Machines et appareils à imprimer, héliographiques")</f>
        <v>Machines et appareils à imprimer, héliographiques</v>
      </c>
    </row>
    <row r="11507" spans="1:4" x14ac:dyDescent="0.25">
      <c r="A11507" t="str">
        <f>T("   ZZZ_Monde")</f>
        <v xml:space="preserve">   ZZZ_Monde</v>
      </c>
      <c r="B11507" t="str">
        <f>T("   ZZZ_Monde")</f>
        <v xml:space="preserve">   ZZZ_Monde</v>
      </c>
      <c r="C11507">
        <v>6172768</v>
      </c>
      <c r="D11507">
        <v>281</v>
      </c>
    </row>
    <row r="11508" spans="1:4" x14ac:dyDescent="0.25">
      <c r="A11508" t="str">
        <f>T("   FR")</f>
        <v xml:space="preserve">   FR</v>
      </c>
      <c r="B11508" t="str">
        <f>T("   France")</f>
        <v xml:space="preserve">   France</v>
      </c>
      <c r="C11508">
        <v>6172768</v>
      </c>
      <c r="D11508">
        <v>281</v>
      </c>
    </row>
    <row r="11509" spans="1:4" x14ac:dyDescent="0.25">
      <c r="A11509" t="str">
        <f>T("844351")</f>
        <v>844351</v>
      </c>
      <c r="B11509" t="str">
        <f>T("Machines à imprimer à jet d'encre")</f>
        <v>Machines à imprimer à jet d'encre</v>
      </c>
    </row>
    <row r="11510" spans="1:4" x14ac:dyDescent="0.25">
      <c r="A11510" t="str">
        <f>T("   ZZZ_Monde")</f>
        <v xml:space="preserve">   ZZZ_Monde</v>
      </c>
      <c r="B11510" t="str">
        <f>T("   ZZZ_Monde")</f>
        <v xml:space="preserve">   ZZZ_Monde</v>
      </c>
      <c r="C11510">
        <v>165077624</v>
      </c>
      <c r="D11510">
        <v>14791</v>
      </c>
    </row>
    <row r="11511" spans="1:4" x14ac:dyDescent="0.25">
      <c r="A11511" t="str">
        <f>T("   BE")</f>
        <v xml:space="preserve">   BE</v>
      </c>
      <c r="B11511" t="str">
        <f>T("   Belgique")</f>
        <v xml:space="preserve">   Belgique</v>
      </c>
      <c r="C11511">
        <v>291909</v>
      </c>
      <c r="D11511">
        <v>628</v>
      </c>
    </row>
    <row r="11512" spans="1:4" x14ac:dyDescent="0.25">
      <c r="A11512" t="str">
        <f>T("   CN")</f>
        <v xml:space="preserve">   CN</v>
      </c>
      <c r="B11512" t="str">
        <f>T("   Chine")</f>
        <v xml:space="preserve">   Chine</v>
      </c>
      <c r="C11512">
        <v>21959</v>
      </c>
      <c r="D11512">
        <v>22</v>
      </c>
    </row>
    <row r="11513" spans="1:4" x14ac:dyDescent="0.25">
      <c r="A11513" t="str">
        <f>T("   FR")</f>
        <v xml:space="preserve">   FR</v>
      </c>
      <c r="B11513" t="str">
        <f>T("   France")</f>
        <v xml:space="preserve">   France</v>
      </c>
      <c r="C11513">
        <v>120108292</v>
      </c>
      <c r="D11513">
        <v>13300</v>
      </c>
    </row>
    <row r="11514" spans="1:4" x14ac:dyDescent="0.25">
      <c r="A11514" t="str">
        <f>T("   ZA")</f>
        <v xml:space="preserve">   ZA</v>
      </c>
      <c r="B11514" t="str">
        <f>T("   Afrique du Sud")</f>
        <v xml:space="preserve">   Afrique du Sud</v>
      </c>
      <c r="C11514">
        <v>44655464</v>
      </c>
      <c r="D11514">
        <v>841</v>
      </c>
    </row>
    <row r="11515" spans="1:4" x14ac:dyDescent="0.25">
      <c r="A11515" t="str">
        <f>T("844359")</f>
        <v>844359</v>
      </c>
      <c r="B11515" t="str">
        <f>T("Machines et appareils servant à l'impression au moyen de caractères d'imprimerie, clichés, planches, cylindres et autres organes imprimants du n° 8442 (à l'excl. des duplicateurs hectographiques ou à stencils, des machines à imprimer les adresses et autre")</f>
        <v>Machines et appareils servant à l'impression au moyen de caractères d'imprimerie, clichés, planches, cylindres et autres organes imprimants du n° 8442 (à l'excl. des duplicateurs hectographiques ou à stencils, des machines à imprimer les adresses et autre</v>
      </c>
    </row>
    <row r="11516" spans="1:4" x14ac:dyDescent="0.25">
      <c r="A11516" t="str">
        <f>T("   ZZZ_Monde")</f>
        <v xml:space="preserve">   ZZZ_Monde</v>
      </c>
      <c r="B11516" t="str">
        <f>T("   ZZZ_Monde")</f>
        <v xml:space="preserve">   ZZZ_Monde</v>
      </c>
      <c r="C11516">
        <v>189015881</v>
      </c>
      <c r="D11516">
        <v>221506</v>
      </c>
    </row>
    <row r="11517" spans="1:4" x14ac:dyDescent="0.25">
      <c r="A11517" t="str">
        <f>T("   CN")</f>
        <v xml:space="preserve">   CN</v>
      </c>
      <c r="B11517" t="str">
        <f>T("   Chine")</f>
        <v xml:space="preserve">   Chine</v>
      </c>
      <c r="C11517">
        <v>3668546</v>
      </c>
      <c r="D11517">
        <v>705</v>
      </c>
    </row>
    <row r="11518" spans="1:4" x14ac:dyDescent="0.25">
      <c r="A11518" t="str">
        <f>T("   CY")</f>
        <v xml:space="preserve">   CY</v>
      </c>
      <c r="B11518" t="str">
        <f>T("   Chypre")</f>
        <v xml:space="preserve">   Chypre</v>
      </c>
      <c r="C11518">
        <v>4141584</v>
      </c>
      <c r="D11518">
        <v>94</v>
      </c>
    </row>
    <row r="11519" spans="1:4" x14ac:dyDescent="0.25">
      <c r="A11519" t="str">
        <f>T("   DE")</f>
        <v xml:space="preserve">   DE</v>
      </c>
      <c r="B11519" t="str">
        <f>T("   Allemagne")</f>
        <v xml:space="preserve">   Allemagne</v>
      </c>
      <c r="C11519">
        <v>13846659</v>
      </c>
      <c r="D11519">
        <v>10222</v>
      </c>
    </row>
    <row r="11520" spans="1:4" x14ac:dyDescent="0.25">
      <c r="A11520" t="str">
        <f>T("   ES")</f>
        <v xml:space="preserve">   ES</v>
      </c>
      <c r="B11520" t="str">
        <f>T("   Espagne")</f>
        <v xml:space="preserve">   Espagne</v>
      </c>
      <c r="C11520">
        <v>17834614</v>
      </c>
      <c r="D11520">
        <v>21050</v>
      </c>
    </row>
    <row r="11521" spans="1:4" x14ac:dyDescent="0.25">
      <c r="A11521" t="str">
        <f>T("   FR")</f>
        <v xml:space="preserve">   FR</v>
      </c>
      <c r="B11521" t="str">
        <f>T("   France")</f>
        <v xml:space="preserve">   France</v>
      </c>
      <c r="C11521">
        <v>102413027</v>
      </c>
      <c r="D11521">
        <v>159745</v>
      </c>
    </row>
    <row r="11522" spans="1:4" x14ac:dyDescent="0.25">
      <c r="A11522" t="str">
        <f>T("   GH")</f>
        <v xml:space="preserve">   GH</v>
      </c>
      <c r="B11522" t="str">
        <f>T("   Ghana")</f>
        <v xml:space="preserve">   Ghana</v>
      </c>
      <c r="C11522">
        <v>15386773</v>
      </c>
      <c r="D11522">
        <v>237</v>
      </c>
    </row>
    <row r="11523" spans="1:4" x14ac:dyDescent="0.25">
      <c r="A11523" t="str">
        <f>T("   IT")</f>
        <v xml:space="preserve">   IT</v>
      </c>
      <c r="B11523" t="str">
        <f>T("   Italie")</f>
        <v xml:space="preserve">   Italie</v>
      </c>
      <c r="C11523">
        <v>15258843</v>
      </c>
      <c r="D11523">
        <v>9810</v>
      </c>
    </row>
    <row r="11524" spans="1:4" x14ac:dyDescent="0.25">
      <c r="A11524" t="str">
        <f>T("   KR")</f>
        <v xml:space="preserve">   KR</v>
      </c>
      <c r="B11524" t="str">
        <f>T("   Corée, République de")</f>
        <v xml:space="preserve">   Corée, République de</v>
      </c>
      <c r="C11524">
        <v>2200162</v>
      </c>
      <c r="D11524">
        <v>8903</v>
      </c>
    </row>
    <row r="11525" spans="1:4" x14ac:dyDescent="0.25">
      <c r="A11525" t="str">
        <f>T("   LB")</f>
        <v xml:space="preserve">   LB</v>
      </c>
      <c r="B11525" t="str">
        <f>T("   Liban")</f>
        <v xml:space="preserve">   Liban</v>
      </c>
      <c r="C11525">
        <v>125748</v>
      </c>
      <c r="D11525">
        <v>80</v>
      </c>
    </row>
    <row r="11526" spans="1:4" x14ac:dyDescent="0.25">
      <c r="A11526" t="str">
        <f>T("   TG")</f>
        <v xml:space="preserve">   TG</v>
      </c>
      <c r="B11526" t="str">
        <f>T("   Togo")</f>
        <v xml:space="preserve">   Togo</v>
      </c>
      <c r="C11526">
        <v>895256</v>
      </c>
      <c r="D11526">
        <v>660</v>
      </c>
    </row>
    <row r="11527" spans="1:4" x14ac:dyDescent="0.25">
      <c r="A11527" t="str">
        <f>T("   US")</f>
        <v xml:space="preserve">   US</v>
      </c>
      <c r="B11527" t="str">
        <f>T("   Etats-Unis")</f>
        <v xml:space="preserve">   Etats-Unis</v>
      </c>
      <c r="C11527">
        <v>13244669</v>
      </c>
      <c r="D11527">
        <v>10000</v>
      </c>
    </row>
    <row r="11528" spans="1:4" x14ac:dyDescent="0.25">
      <c r="A11528" t="str">
        <f>T("844360")</f>
        <v>844360</v>
      </c>
      <c r="B11528" t="str">
        <f>T("Machines auxiliaires pour l'impression fabriquées spécialement pour les machines et appareils à imprimer, pour placer, transporter ou travailler autrement les feuilles de papier ou les bandes continues de papier")</f>
        <v>Machines auxiliaires pour l'impression fabriquées spécialement pour les machines et appareils à imprimer, pour placer, transporter ou travailler autrement les feuilles de papier ou les bandes continues de papier</v>
      </c>
    </row>
    <row r="11529" spans="1:4" x14ac:dyDescent="0.25">
      <c r="A11529" t="str">
        <f>T("   ZZZ_Monde")</f>
        <v xml:space="preserve">   ZZZ_Monde</v>
      </c>
      <c r="B11529" t="str">
        <f>T("   ZZZ_Monde")</f>
        <v xml:space="preserve">   ZZZ_Monde</v>
      </c>
      <c r="C11529">
        <v>8716529</v>
      </c>
      <c r="D11529">
        <v>10880</v>
      </c>
    </row>
    <row r="11530" spans="1:4" x14ac:dyDescent="0.25">
      <c r="A11530" t="str">
        <f>T("   ES")</f>
        <v xml:space="preserve">   ES</v>
      </c>
      <c r="B11530" t="str">
        <f>T("   Espagne")</f>
        <v xml:space="preserve">   Espagne</v>
      </c>
      <c r="C11530">
        <v>3117903</v>
      </c>
      <c r="D11530">
        <v>3500</v>
      </c>
    </row>
    <row r="11531" spans="1:4" x14ac:dyDescent="0.25">
      <c r="A11531" t="str">
        <f>T("   FR")</f>
        <v xml:space="preserve">   FR</v>
      </c>
      <c r="B11531" t="str">
        <f>T("   France")</f>
        <v xml:space="preserve">   France</v>
      </c>
      <c r="C11531">
        <v>5598626</v>
      </c>
      <c r="D11531">
        <v>7380</v>
      </c>
    </row>
    <row r="11532" spans="1:4" x14ac:dyDescent="0.25">
      <c r="A11532" t="str">
        <f>T("844390")</f>
        <v>844390</v>
      </c>
      <c r="B11532" t="str">
        <f>T("Parties de machines et appareils à imprimer et de leur machines et appareils auxiliaires, n.d.a.")</f>
        <v>Parties de machines et appareils à imprimer et de leur machines et appareils auxiliaires, n.d.a.</v>
      </c>
    </row>
    <row r="11533" spans="1:4" x14ac:dyDescent="0.25">
      <c r="A11533" t="str">
        <f>T("   ZZZ_Monde")</f>
        <v xml:space="preserve">   ZZZ_Monde</v>
      </c>
      <c r="B11533" t="str">
        <f>T("   ZZZ_Monde")</f>
        <v xml:space="preserve">   ZZZ_Monde</v>
      </c>
      <c r="C11533">
        <v>144855357</v>
      </c>
      <c r="D11533">
        <v>33130</v>
      </c>
    </row>
    <row r="11534" spans="1:4" x14ac:dyDescent="0.25">
      <c r="A11534" t="str">
        <f>T("   CH")</f>
        <v xml:space="preserve">   CH</v>
      </c>
      <c r="B11534" t="str">
        <f>T("   Suisse")</f>
        <v xml:space="preserve">   Suisse</v>
      </c>
      <c r="C11534">
        <v>69271</v>
      </c>
      <c r="D11534">
        <v>3</v>
      </c>
    </row>
    <row r="11535" spans="1:4" x14ac:dyDescent="0.25">
      <c r="A11535" t="str">
        <f>T("   CN")</f>
        <v xml:space="preserve">   CN</v>
      </c>
      <c r="B11535" t="str">
        <f>T("   Chine")</f>
        <v xml:space="preserve">   Chine</v>
      </c>
      <c r="C11535">
        <v>4879895</v>
      </c>
      <c r="D11535">
        <v>6445</v>
      </c>
    </row>
    <row r="11536" spans="1:4" x14ac:dyDescent="0.25">
      <c r="A11536" t="str">
        <f>T("   DE")</f>
        <v xml:space="preserve">   DE</v>
      </c>
      <c r="B11536" t="str">
        <f>T("   Allemagne")</f>
        <v xml:space="preserve">   Allemagne</v>
      </c>
      <c r="C11536">
        <v>2529382</v>
      </c>
      <c r="D11536">
        <v>2022</v>
      </c>
    </row>
    <row r="11537" spans="1:4" x14ac:dyDescent="0.25">
      <c r="A11537" t="str">
        <f>T("   FR")</f>
        <v xml:space="preserve">   FR</v>
      </c>
      <c r="B11537" t="str">
        <f>T("   France")</f>
        <v xml:space="preserve">   France</v>
      </c>
      <c r="C11537">
        <v>72873442</v>
      </c>
      <c r="D11537">
        <v>17520</v>
      </c>
    </row>
    <row r="11538" spans="1:4" x14ac:dyDescent="0.25">
      <c r="A11538" t="str">
        <f>T("   GB")</f>
        <v xml:space="preserve">   GB</v>
      </c>
      <c r="B11538" t="str">
        <f>T("   Royaume-Uni")</f>
        <v xml:space="preserve">   Royaume-Uni</v>
      </c>
      <c r="C11538">
        <v>1960000</v>
      </c>
      <c r="D11538">
        <v>300</v>
      </c>
    </row>
    <row r="11539" spans="1:4" x14ac:dyDescent="0.25">
      <c r="A11539" t="str">
        <f>T("   IT")</f>
        <v xml:space="preserve">   IT</v>
      </c>
      <c r="B11539" t="str">
        <f>T("   Italie")</f>
        <v xml:space="preserve">   Italie</v>
      </c>
      <c r="C11539">
        <v>58318079</v>
      </c>
      <c r="D11539">
        <v>5180</v>
      </c>
    </row>
    <row r="11540" spans="1:4" x14ac:dyDescent="0.25">
      <c r="A11540" t="str">
        <f>T("   NG")</f>
        <v xml:space="preserve">   NG</v>
      </c>
      <c r="B11540" t="str">
        <f>T("   Nigéria")</f>
        <v xml:space="preserve">   Nigéria</v>
      </c>
      <c r="C11540">
        <v>100000</v>
      </c>
      <c r="D11540">
        <v>100</v>
      </c>
    </row>
    <row r="11541" spans="1:4" x14ac:dyDescent="0.25">
      <c r="A11541" t="str">
        <f>T("   NL")</f>
        <v xml:space="preserve">   NL</v>
      </c>
      <c r="B11541" t="str">
        <f>T("   Pays-bas")</f>
        <v xml:space="preserve">   Pays-bas</v>
      </c>
      <c r="C11541">
        <v>718932</v>
      </c>
      <c r="D11541">
        <v>23</v>
      </c>
    </row>
    <row r="11542" spans="1:4" x14ac:dyDescent="0.25">
      <c r="A11542" t="str">
        <f>T("   SG")</f>
        <v xml:space="preserve">   SG</v>
      </c>
      <c r="B11542" t="str">
        <f>T("   Singapour")</f>
        <v xml:space="preserve">   Singapour</v>
      </c>
      <c r="C11542">
        <v>2552462</v>
      </c>
      <c r="D11542">
        <v>1520</v>
      </c>
    </row>
    <row r="11543" spans="1:4" x14ac:dyDescent="0.25">
      <c r="A11543" t="str">
        <f>T("   US")</f>
        <v xml:space="preserve">   US</v>
      </c>
      <c r="B11543" t="str">
        <f>T("   Etats-Unis")</f>
        <v xml:space="preserve">   Etats-Unis</v>
      </c>
      <c r="C11543">
        <v>853894</v>
      </c>
      <c r="D11543">
        <v>17</v>
      </c>
    </row>
    <row r="11544" spans="1:4" x14ac:dyDescent="0.25">
      <c r="A11544" t="str">
        <f>T("844400")</f>
        <v>844400</v>
      </c>
      <c r="B11544" t="str">
        <f>T("Machines pour le filage -extrusion-, l'étirage, la texturation ou le tranchage des matières textiles synthétiques ou artificielles")</f>
        <v>Machines pour le filage -extrusion-, l'étirage, la texturation ou le tranchage des matières textiles synthétiques ou artificielles</v>
      </c>
    </row>
    <row r="11545" spans="1:4" x14ac:dyDescent="0.25">
      <c r="A11545" t="str">
        <f>T("   ZZZ_Monde")</f>
        <v xml:space="preserve">   ZZZ_Monde</v>
      </c>
      <c r="B11545" t="str">
        <f>T("   ZZZ_Monde")</f>
        <v xml:space="preserve">   ZZZ_Monde</v>
      </c>
      <c r="C11545">
        <v>638866</v>
      </c>
      <c r="D11545">
        <v>1</v>
      </c>
    </row>
    <row r="11546" spans="1:4" x14ac:dyDescent="0.25">
      <c r="A11546" t="str">
        <f>T("   NL")</f>
        <v xml:space="preserve">   NL</v>
      </c>
      <c r="B11546" t="str">
        <f>T("   Pays-bas")</f>
        <v xml:space="preserve">   Pays-bas</v>
      </c>
      <c r="C11546">
        <v>638866</v>
      </c>
      <c r="D11546">
        <v>1</v>
      </c>
    </row>
    <row r="11547" spans="1:4" x14ac:dyDescent="0.25">
      <c r="A11547" t="str">
        <f>T("844519")</f>
        <v>844519</v>
      </c>
      <c r="B11547" t="str">
        <f>T("MACHINES POUR LA PRÉPARATION DES MATIÈRES TEXTILES (AUTRES QUE CARDÉS, PEIGNEUSES ET BANCS À BROCHES)")</f>
        <v>MACHINES POUR LA PRÉPARATION DES MATIÈRES TEXTILES (AUTRES QUE CARDÉS, PEIGNEUSES ET BANCS À BROCHES)</v>
      </c>
    </row>
    <row r="11548" spans="1:4" x14ac:dyDescent="0.25">
      <c r="A11548" t="str">
        <f>T("   ZZZ_Monde")</f>
        <v xml:space="preserve">   ZZZ_Monde</v>
      </c>
      <c r="B11548" t="str">
        <f>T("   ZZZ_Monde")</f>
        <v xml:space="preserve">   ZZZ_Monde</v>
      </c>
      <c r="C11548">
        <v>6106942</v>
      </c>
      <c r="D11548">
        <v>693</v>
      </c>
    </row>
    <row r="11549" spans="1:4" x14ac:dyDescent="0.25">
      <c r="A11549" t="str">
        <f>T("   FR")</f>
        <v xml:space="preserve">   FR</v>
      </c>
      <c r="B11549" t="str">
        <f>T("   France")</f>
        <v xml:space="preserve">   France</v>
      </c>
      <c r="C11549">
        <v>6106942</v>
      </c>
      <c r="D11549">
        <v>693</v>
      </c>
    </row>
    <row r="11550" spans="1:4" x14ac:dyDescent="0.25">
      <c r="A11550" t="str">
        <f>T("844590")</f>
        <v>844590</v>
      </c>
      <c r="B11550" t="str">
        <f>T("Machines et appareils pour la fabrication des fils textiles, machines à préparer les fils textiles, pour utilisation sur les machines des 8446 ou 8447 (autres que les machines pour le filage -extrusion-, l'étirage, la texturation ou le tranchage des matiè")</f>
        <v>Machines et appareils pour la fabrication des fils textiles, machines à préparer les fils textiles, pour utilisation sur les machines des 8446 ou 8447 (autres que les machines pour le filage -extrusion-, l'étirage, la texturation ou le tranchage des matiè</v>
      </c>
    </row>
    <row r="11551" spans="1:4" x14ac:dyDescent="0.25">
      <c r="A11551" t="str">
        <f>T("   ZZZ_Monde")</f>
        <v xml:space="preserve">   ZZZ_Monde</v>
      </c>
      <c r="B11551" t="str">
        <f>T("   ZZZ_Monde")</f>
        <v xml:space="preserve">   ZZZ_Monde</v>
      </c>
      <c r="C11551">
        <v>4189617</v>
      </c>
      <c r="D11551">
        <v>12000</v>
      </c>
    </row>
    <row r="11552" spans="1:4" x14ac:dyDescent="0.25">
      <c r="A11552" t="str">
        <f>T("   FR")</f>
        <v xml:space="preserve">   FR</v>
      </c>
      <c r="B11552" t="str">
        <f>T("   France")</f>
        <v xml:space="preserve">   France</v>
      </c>
      <c r="C11552">
        <v>4189617</v>
      </c>
      <c r="D11552">
        <v>12000</v>
      </c>
    </row>
    <row r="11553" spans="1:4" x14ac:dyDescent="0.25">
      <c r="A11553" t="str">
        <f>T("844820")</f>
        <v>844820</v>
      </c>
      <c r="B11553" t="str">
        <f>T("Parties et accessoires des machines pour le filage -extrusion-, l'étirage, la texturation ou le tranchage des matières textiles synthétiques ou artificielles ou de leurs machines et appareils auxiliaires, n.d.a.")</f>
        <v>Parties et accessoires des machines pour le filage -extrusion-, l'étirage, la texturation ou le tranchage des matières textiles synthétiques ou artificielles ou de leurs machines et appareils auxiliaires, n.d.a.</v>
      </c>
    </row>
    <row r="11554" spans="1:4" x14ac:dyDescent="0.25">
      <c r="A11554" t="str">
        <f>T("   ZZZ_Monde")</f>
        <v xml:space="preserve">   ZZZ_Monde</v>
      </c>
      <c r="B11554" t="str">
        <f>T("   ZZZ_Monde")</f>
        <v xml:space="preserve">   ZZZ_Monde</v>
      </c>
      <c r="C11554">
        <v>133678698</v>
      </c>
      <c r="D11554">
        <v>68940</v>
      </c>
    </row>
    <row r="11555" spans="1:4" x14ac:dyDescent="0.25">
      <c r="A11555" t="str">
        <f>T("   CN")</f>
        <v xml:space="preserve">   CN</v>
      </c>
      <c r="B11555" t="str">
        <f>T("   Chine")</f>
        <v xml:space="preserve">   Chine</v>
      </c>
      <c r="C11555">
        <v>93456276</v>
      </c>
      <c r="D11555">
        <v>68033</v>
      </c>
    </row>
    <row r="11556" spans="1:4" x14ac:dyDescent="0.25">
      <c r="A11556" t="str">
        <f>T("   FR")</f>
        <v xml:space="preserve">   FR</v>
      </c>
      <c r="B11556" t="str">
        <f>T("   France")</f>
        <v xml:space="preserve">   France</v>
      </c>
      <c r="C11556">
        <v>857787</v>
      </c>
      <c r="D11556">
        <v>27</v>
      </c>
    </row>
    <row r="11557" spans="1:4" x14ac:dyDescent="0.25">
      <c r="A11557" t="str">
        <f>T("   US")</f>
        <v xml:space="preserve">   US</v>
      </c>
      <c r="B11557" t="str">
        <f>T("   Etats-Unis")</f>
        <v xml:space="preserve">   Etats-Unis</v>
      </c>
      <c r="C11557">
        <v>39364635</v>
      </c>
      <c r="D11557">
        <v>880</v>
      </c>
    </row>
    <row r="11558" spans="1:4" x14ac:dyDescent="0.25">
      <c r="A11558" t="str">
        <f>T("844832")</f>
        <v>844832</v>
      </c>
      <c r="B11558" t="str">
        <f>T("PARTIES ET ACCESSOIRES DE MACHINES POUR LA PRÉPARATION DES MATIÈRES TEXTILES, N.D.A. (AUTRES QUE LES GARNITURES DE CARDÉS)")</f>
        <v>PARTIES ET ACCESSOIRES DE MACHINES POUR LA PRÉPARATION DES MATIÈRES TEXTILES, N.D.A. (AUTRES QUE LES GARNITURES DE CARDÉS)</v>
      </c>
    </row>
    <row r="11559" spans="1:4" x14ac:dyDescent="0.25">
      <c r="A11559" t="str">
        <f>T("   ZZZ_Monde")</f>
        <v xml:space="preserve">   ZZZ_Monde</v>
      </c>
      <c r="B11559" t="str">
        <f>T("   ZZZ_Monde")</f>
        <v xml:space="preserve">   ZZZ_Monde</v>
      </c>
      <c r="C11559">
        <v>32012258</v>
      </c>
      <c r="D11559">
        <v>1578</v>
      </c>
    </row>
    <row r="11560" spans="1:4" x14ac:dyDescent="0.25">
      <c r="A11560" t="str">
        <f>T("   FR")</f>
        <v xml:space="preserve">   FR</v>
      </c>
      <c r="B11560" t="str">
        <f>T("   France")</f>
        <v xml:space="preserve">   France</v>
      </c>
      <c r="C11560">
        <v>15004940</v>
      </c>
      <c r="D11560">
        <v>623</v>
      </c>
    </row>
    <row r="11561" spans="1:4" x14ac:dyDescent="0.25">
      <c r="A11561" t="str">
        <f>T("   US")</f>
        <v xml:space="preserve">   US</v>
      </c>
      <c r="B11561" t="str">
        <f>T("   Etats-Unis")</f>
        <v xml:space="preserve">   Etats-Unis</v>
      </c>
      <c r="C11561">
        <v>17007318</v>
      </c>
      <c r="D11561">
        <v>955</v>
      </c>
    </row>
    <row r="11562" spans="1:4" x14ac:dyDescent="0.25">
      <c r="A11562" t="str">
        <f>T("844839")</f>
        <v>844839</v>
      </c>
      <c r="B11562" t="str">
        <f>T("Parties et accessoires des machines du n° 8445, n.d.a.")</f>
        <v>Parties et accessoires des machines du n° 8445, n.d.a.</v>
      </c>
    </row>
    <row r="11563" spans="1:4" x14ac:dyDescent="0.25">
      <c r="A11563" t="str">
        <f>T("   ZZZ_Monde")</f>
        <v xml:space="preserve">   ZZZ_Monde</v>
      </c>
      <c r="B11563" t="str">
        <f>T("   ZZZ_Monde")</f>
        <v xml:space="preserve">   ZZZ_Monde</v>
      </c>
      <c r="C11563">
        <v>45183848</v>
      </c>
      <c r="D11563">
        <v>4639</v>
      </c>
    </row>
    <row r="11564" spans="1:4" x14ac:dyDescent="0.25">
      <c r="A11564" t="str">
        <f>T("   CN")</f>
        <v xml:space="preserve">   CN</v>
      </c>
      <c r="B11564" t="str">
        <f>T("   Chine")</f>
        <v xml:space="preserve">   Chine</v>
      </c>
      <c r="C11564">
        <v>5524949</v>
      </c>
      <c r="D11564">
        <v>1695</v>
      </c>
    </row>
    <row r="11565" spans="1:4" x14ac:dyDescent="0.25">
      <c r="A11565" t="str">
        <f>T("   FR")</f>
        <v xml:space="preserve">   FR</v>
      </c>
      <c r="B11565" t="str">
        <f>T("   France")</f>
        <v xml:space="preserve">   France</v>
      </c>
      <c r="C11565">
        <v>3684718</v>
      </c>
      <c r="D11565">
        <v>99</v>
      </c>
    </row>
    <row r="11566" spans="1:4" x14ac:dyDescent="0.25">
      <c r="A11566" t="str">
        <f>T("   US")</f>
        <v xml:space="preserve">   US</v>
      </c>
      <c r="B11566" t="str">
        <f>T("   Etats-Unis")</f>
        <v xml:space="preserve">   Etats-Unis</v>
      </c>
      <c r="C11566">
        <v>35974181</v>
      </c>
      <c r="D11566">
        <v>2845</v>
      </c>
    </row>
    <row r="11567" spans="1:4" x14ac:dyDescent="0.25">
      <c r="A11567" t="str">
        <f>T("844841")</f>
        <v>844841</v>
      </c>
      <c r="B11567" t="str">
        <f>T("Navettes pour métiers à tisser")</f>
        <v>Navettes pour métiers à tisser</v>
      </c>
    </row>
    <row r="11568" spans="1:4" x14ac:dyDescent="0.25">
      <c r="A11568" t="str">
        <f>T("   ZZZ_Monde")</f>
        <v xml:space="preserve">   ZZZ_Monde</v>
      </c>
      <c r="B11568" t="str">
        <f>T("   ZZZ_Monde")</f>
        <v xml:space="preserve">   ZZZ_Monde</v>
      </c>
      <c r="C11568">
        <v>5574836</v>
      </c>
      <c r="D11568">
        <v>3130</v>
      </c>
    </row>
    <row r="11569" spans="1:4" x14ac:dyDescent="0.25">
      <c r="A11569" t="str">
        <f>T("   CN")</f>
        <v xml:space="preserve">   CN</v>
      </c>
      <c r="B11569" t="str">
        <f>T("   Chine")</f>
        <v xml:space="preserve">   Chine</v>
      </c>
      <c r="C11569">
        <v>5574836</v>
      </c>
      <c r="D11569">
        <v>3130</v>
      </c>
    </row>
    <row r="11570" spans="1:4" x14ac:dyDescent="0.25">
      <c r="A11570" t="str">
        <f>T("844849")</f>
        <v>844849</v>
      </c>
      <c r="B11570" t="str">
        <f>T("Parties et accessoires des métiers à tisser ou de leurs machines et appareils auxiliaires, n.d.a.")</f>
        <v>Parties et accessoires des métiers à tisser ou de leurs machines et appareils auxiliaires, n.d.a.</v>
      </c>
    </row>
    <row r="11571" spans="1:4" x14ac:dyDescent="0.25">
      <c r="A11571" t="str">
        <f>T("   ZZZ_Monde")</f>
        <v xml:space="preserve">   ZZZ_Monde</v>
      </c>
      <c r="B11571" t="str">
        <f>T("   ZZZ_Monde")</f>
        <v xml:space="preserve">   ZZZ_Monde</v>
      </c>
      <c r="C11571">
        <v>1505397</v>
      </c>
      <c r="D11571">
        <v>6052</v>
      </c>
    </row>
    <row r="11572" spans="1:4" x14ac:dyDescent="0.25">
      <c r="A11572" t="str">
        <f>T("   FR")</f>
        <v xml:space="preserve">   FR</v>
      </c>
      <c r="B11572" t="str">
        <f>T("   France")</f>
        <v xml:space="preserve">   France</v>
      </c>
      <c r="C11572">
        <v>1100000</v>
      </c>
      <c r="D11572">
        <v>6002</v>
      </c>
    </row>
    <row r="11573" spans="1:4" x14ac:dyDescent="0.25">
      <c r="A11573" t="str">
        <f>T("   US")</f>
        <v xml:space="preserve">   US</v>
      </c>
      <c r="B11573" t="str">
        <f>T("   Etats-Unis")</f>
        <v xml:space="preserve">   Etats-Unis</v>
      </c>
      <c r="C11573">
        <v>405397</v>
      </c>
      <c r="D11573">
        <v>50</v>
      </c>
    </row>
    <row r="11574" spans="1:4" x14ac:dyDescent="0.25">
      <c r="A11574" t="str">
        <f>T("844859")</f>
        <v>844859</v>
      </c>
      <c r="B11574" t="str">
        <f>T("Parties et accessoires des métiers, machines et appareils du n° 8447, n.d.a.")</f>
        <v>Parties et accessoires des métiers, machines et appareils du n° 8447, n.d.a.</v>
      </c>
    </row>
    <row r="11575" spans="1:4" x14ac:dyDescent="0.25">
      <c r="A11575" t="str">
        <f>T("   ZZZ_Monde")</f>
        <v xml:space="preserve">   ZZZ_Monde</v>
      </c>
      <c r="B11575" t="str">
        <f>T("   ZZZ_Monde")</f>
        <v xml:space="preserve">   ZZZ_Monde</v>
      </c>
      <c r="C11575">
        <v>887389</v>
      </c>
      <c r="D11575">
        <v>7</v>
      </c>
    </row>
    <row r="11576" spans="1:4" x14ac:dyDescent="0.25">
      <c r="A11576" t="str">
        <f>T("   IT")</f>
        <v xml:space="preserve">   IT</v>
      </c>
      <c r="B11576" t="str">
        <f>T("   Italie")</f>
        <v xml:space="preserve">   Italie</v>
      </c>
      <c r="C11576">
        <v>887389</v>
      </c>
      <c r="D11576">
        <v>7</v>
      </c>
    </row>
    <row r="11577" spans="1:4" x14ac:dyDescent="0.25">
      <c r="A11577" t="str">
        <f>T("845011")</f>
        <v>845011</v>
      </c>
      <c r="B11577" t="str">
        <f>T("Machines à laver le linge entièrement automatiques, d'une capacité unitaire exprimée en poids de linge sec &lt;= 6 kg")</f>
        <v>Machines à laver le linge entièrement automatiques, d'une capacité unitaire exprimée en poids de linge sec &lt;= 6 kg</v>
      </c>
    </row>
    <row r="11578" spans="1:4" x14ac:dyDescent="0.25">
      <c r="A11578" t="str">
        <f>T("   ZZZ_Monde")</f>
        <v xml:space="preserve">   ZZZ_Monde</v>
      </c>
      <c r="B11578" t="str">
        <f>T("   ZZZ_Monde")</f>
        <v xml:space="preserve">   ZZZ_Monde</v>
      </c>
      <c r="C11578">
        <v>21066103</v>
      </c>
      <c r="D11578">
        <v>38233</v>
      </c>
    </row>
    <row r="11579" spans="1:4" x14ac:dyDescent="0.25">
      <c r="A11579" t="str">
        <f>T("   AU")</f>
        <v xml:space="preserve">   AU</v>
      </c>
      <c r="B11579" t="str">
        <f>T("   Australie")</f>
        <v xml:space="preserve">   Australie</v>
      </c>
      <c r="C11579">
        <v>50000</v>
      </c>
      <c r="D11579">
        <v>100</v>
      </c>
    </row>
    <row r="11580" spans="1:4" x14ac:dyDescent="0.25">
      <c r="A11580" t="str">
        <f>T("   CN")</f>
        <v xml:space="preserve">   CN</v>
      </c>
      <c r="B11580" t="str">
        <f>T("   Chine")</f>
        <v xml:space="preserve">   Chine</v>
      </c>
      <c r="C11580">
        <v>14858512</v>
      </c>
      <c r="D11580">
        <v>33591</v>
      </c>
    </row>
    <row r="11581" spans="1:4" x14ac:dyDescent="0.25">
      <c r="A11581" t="str">
        <f>T("   FR")</f>
        <v xml:space="preserve">   FR</v>
      </c>
      <c r="B11581" t="str">
        <f>T("   France")</f>
        <v xml:space="preserve">   France</v>
      </c>
      <c r="C11581">
        <v>950000</v>
      </c>
      <c r="D11581">
        <v>240</v>
      </c>
    </row>
    <row r="11582" spans="1:4" x14ac:dyDescent="0.25">
      <c r="A11582" t="str">
        <f>T("   IT")</f>
        <v xml:space="preserve">   IT</v>
      </c>
      <c r="B11582" t="str">
        <f>T("   Italie")</f>
        <v xml:space="preserve">   Italie</v>
      </c>
      <c r="C11582">
        <v>838986</v>
      </c>
      <c r="D11582">
        <v>692</v>
      </c>
    </row>
    <row r="11583" spans="1:4" x14ac:dyDescent="0.25">
      <c r="A11583" t="str">
        <f>T("   SG")</f>
        <v xml:space="preserve">   SG</v>
      </c>
      <c r="B11583" t="str">
        <f>T("   Singapour")</f>
        <v xml:space="preserve">   Singapour</v>
      </c>
      <c r="C11583">
        <v>4368605</v>
      </c>
      <c r="D11583">
        <v>3610</v>
      </c>
    </row>
    <row r="11584" spans="1:4" x14ac:dyDescent="0.25">
      <c r="A11584" t="str">
        <f>T("845012")</f>
        <v>845012</v>
      </c>
      <c r="B11584" t="str">
        <f>T("Machines à laver le linge, avec essoreuse centrifuge incorporée (à l'excl. des machines entièrement automatiques)")</f>
        <v>Machines à laver le linge, avec essoreuse centrifuge incorporée (à l'excl. des machines entièrement automatiques)</v>
      </c>
    </row>
    <row r="11585" spans="1:4" x14ac:dyDescent="0.25">
      <c r="A11585" t="str">
        <f>T("   ZZZ_Monde")</f>
        <v xml:space="preserve">   ZZZ_Monde</v>
      </c>
      <c r="B11585" t="str">
        <f>T("   ZZZ_Monde")</f>
        <v xml:space="preserve">   ZZZ_Monde</v>
      </c>
      <c r="C11585">
        <v>123098</v>
      </c>
      <c r="D11585">
        <v>65</v>
      </c>
    </row>
    <row r="11586" spans="1:4" x14ac:dyDescent="0.25">
      <c r="A11586" t="str">
        <f>T("   IT")</f>
        <v xml:space="preserve">   IT</v>
      </c>
      <c r="B11586" t="str">
        <f>T("   Italie")</f>
        <v xml:space="preserve">   Italie</v>
      </c>
      <c r="C11586">
        <v>123098</v>
      </c>
      <c r="D11586">
        <v>65</v>
      </c>
    </row>
    <row r="11587" spans="1:4" x14ac:dyDescent="0.25">
      <c r="A11587" t="str">
        <f>T("845019")</f>
        <v>845019</v>
      </c>
      <c r="B11587" t="str">
        <f>T("Machines à laver le linge d'une capacité unitaire exprimée en poids de linge sec &lt;= 6 kg (à l'excl. des machines entièrement automatiques et des machines à laver le linge avec essoreuse centrifuge incorporée)")</f>
        <v>Machines à laver le linge d'une capacité unitaire exprimée en poids de linge sec &lt;= 6 kg (à l'excl. des machines entièrement automatiques et des machines à laver le linge avec essoreuse centrifuge incorporée)</v>
      </c>
    </row>
    <row r="11588" spans="1:4" x14ac:dyDescent="0.25">
      <c r="A11588" t="str">
        <f>T("   ZZZ_Monde")</f>
        <v xml:space="preserve">   ZZZ_Monde</v>
      </c>
      <c r="B11588" t="str">
        <f>T("   ZZZ_Monde")</f>
        <v xml:space="preserve">   ZZZ_Monde</v>
      </c>
      <c r="C11588">
        <v>13026828</v>
      </c>
      <c r="D11588">
        <v>27468</v>
      </c>
    </row>
    <row r="11589" spans="1:4" x14ac:dyDescent="0.25">
      <c r="A11589" t="str">
        <f>T("   AE")</f>
        <v xml:space="preserve">   AE</v>
      </c>
      <c r="B11589" t="str">
        <f>T("   Emirats Arabes Unis")</f>
        <v xml:space="preserve">   Emirats Arabes Unis</v>
      </c>
      <c r="C11589">
        <v>565361</v>
      </c>
      <c r="D11589">
        <v>5907</v>
      </c>
    </row>
    <row r="11590" spans="1:4" x14ac:dyDescent="0.25">
      <c r="A11590" t="str">
        <f>T("   BE")</f>
        <v xml:space="preserve">   BE</v>
      </c>
      <c r="B11590" t="str">
        <f>T("   Belgique")</f>
        <v xml:space="preserve">   Belgique</v>
      </c>
      <c r="C11590">
        <v>1662152</v>
      </c>
      <c r="D11590">
        <v>11600</v>
      </c>
    </row>
    <row r="11591" spans="1:4" x14ac:dyDescent="0.25">
      <c r="A11591" t="str">
        <f>T("   CN")</f>
        <v xml:space="preserve">   CN</v>
      </c>
      <c r="B11591" t="str">
        <f>T("   Chine")</f>
        <v xml:space="preserve">   Chine</v>
      </c>
      <c r="C11591">
        <v>1899642</v>
      </c>
      <c r="D11591">
        <v>5620</v>
      </c>
    </row>
    <row r="11592" spans="1:4" x14ac:dyDescent="0.25">
      <c r="A11592" t="str">
        <f>T("   FR")</f>
        <v xml:space="preserve">   FR</v>
      </c>
      <c r="B11592" t="str">
        <f>T("   France")</f>
        <v xml:space="preserve">   France</v>
      </c>
      <c r="C11592">
        <v>5890554</v>
      </c>
      <c r="D11592">
        <v>2001</v>
      </c>
    </row>
    <row r="11593" spans="1:4" x14ac:dyDescent="0.25">
      <c r="A11593" t="str">
        <f>T("   GB")</f>
        <v xml:space="preserve">   GB</v>
      </c>
      <c r="B11593" t="str">
        <f>T("   Royaume-Uni")</f>
        <v xml:space="preserve">   Royaume-Uni</v>
      </c>
      <c r="C11593">
        <v>1172361</v>
      </c>
      <c r="D11593">
        <v>515</v>
      </c>
    </row>
    <row r="11594" spans="1:4" x14ac:dyDescent="0.25">
      <c r="A11594" t="str">
        <f>T("   IT")</f>
        <v xml:space="preserve">   IT</v>
      </c>
      <c r="B11594" t="str">
        <f>T("   Italie")</f>
        <v xml:space="preserve">   Italie</v>
      </c>
      <c r="C11594">
        <v>148720</v>
      </c>
      <c r="D11594">
        <v>120</v>
      </c>
    </row>
    <row r="11595" spans="1:4" x14ac:dyDescent="0.25">
      <c r="A11595" t="str">
        <f>T("   LB")</f>
        <v xml:space="preserve">   LB</v>
      </c>
      <c r="B11595" t="str">
        <f>T("   Liban")</f>
        <v xml:space="preserve">   Liban</v>
      </c>
      <c r="C11595">
        <v>155789</v>
      </c>
      <c r="D11595">
        <v>37</v>
      </c>
    </row>
    <row r="11596" spans="1:4" x14ac:dyDescent="0.25">
      <c r="A11596" t="str">
        <f>T("   NG")</f>
        <v xml:space="preserve">   NG</v>
      </c>
      <c r="B11596" t="str">
        <f>T("   Nigéria")</f>
        <v xml:space="preserve">   Nigéria</v>
      </c>
      <c r="C11596">
        <v>36000</v>
      </c>
      <c r="D11596">
        <v>50</v>
      </c>
    </row>
    <row r="11597" spans="1:4" x14ac:dyDescent="0.25">
      <c r="A11597" t="str">
        <f>T("   SG")</f>
        <v xml:space="preserve">   SG</v>
      </c>
      <c r="B11597" t="str">
        <f>T("   Singapour")</f>
        <v xml:space="preserve">   Singapour</v>
      </c>
      <c r="C11597">
        <v>937019</v>
      </c>
      <c r="D11597">
        <v>548</v>
      </c>
    </row>
    <row r="11598" spans="1:4" x14ac:dyDescent="0.25">
      <c r="A11598" t="str">
        <f>T("   SN")</f>
        <v xml:space="preserve">   SN</v>
      </c>
      <c r="B11598" t="str">
        <f>T("   Sénégal")</f>
        <v xml:space="preserve">   Sénégal</v>
      </c>
      <c r="C11598">
        <v>50000</v>
      </c>
      <c r="D11598">
        <v>100</v>
      </c>
    </row>
    <row r="11599" spans="1:4" x14ac:dyDescent="0.25">
      <c r="A11599" t="str">
        <f>T("   TG")</f>
        <v xml:space="preserve">   TG</v>
      </c>
      <c r="B11599" t="str">
        <f>T("   Togo")</f>
        <v xml:space="preserve">   Togo</v>
      </c>
      <c r="C11599">
        <v>509230</v>
      </c>
      <c r="D11599">
        <v>970</v>
      </c>
    </row>
    <row r="11600" spans="1:4" x14ac:dyDescent="0.25">
      <c r="A11600" t="str">
        <f>T("845020")</f>
        <v>845020</v>
      </c>
      <c r="B11600" t="str">
        <f>T("Machines à laver le linge, capacité unitaire en poids de linge sec &gt; 10 kg")</f>
        <v>Machines à laver le linge, capacité unitaire en poids de linge sec &gt; 10 kg</v>
      </c>
    </row>
    <row r="11601" spans="1:4" x14ac:dyDescent="0.25">
      <c r="A11601" t="str">
        <f>T("   ZZZ_Monde")</f>
        <v xml:space="preserve">   ZZZ_Monde</v>
      </c>
      <c r="B11601" t="str">
        <f>T("   ZZZ_Monde")</f>
        <v xml:space="preserve">   ZZZ_Monde</v>
      </c>
      <c r="C11601">
        <v>2333678</v>
      </c>
      <c r="D11601">
        <v>2780</v>
      </c>
    </row>
    <row r="11602" spans="1:4" x14ac:dyDescent="0.25">
      <c r="A11602" t="str">
        <f>T("   DE")</f>
        <v xml:space="preserve">   DE</v>
      </c>
      <c r="B11602" t="str">
        <f>T("   Allemagne")</f>
        <v xml:space="preserve">   Allemagne</v>
      </c>
      <c r="C11602">
        <v>32798</v>
      </c>
      <c r="D11602">
        <v>60</v>
      </c>
    </row>
    <row r="11603" spans="1:4" x14ac:dyDescent="0.25">
      <c r="A11603" t="str">
        <f>T("   FR")</f>
        <v xml:space="preserve">   FR</v>
      </c>
      <c r="B11603" t="str">
        <f>T("   France")</f>
        <v xml:space="preserve">   France</v>
      </c>
      <c r="C11603">
        <v>2300880</v>
      </c>
      <c r="D11603">
        <v>2720</v>
      </c>
    </row>
    <row r="11604" spans="1:4" x14ac:dyDescent="0.25">
      <c r="A11604" t="str">
        <f>T("845090")</f>
        <v>845090</v>
      </c>
      <c r="B11604" t="str">
        <f>T("Parties de machines à laver le linge, n.d.a.")</f>
        <v>Parties de machines à laver le linge, n.d.a.</v>
      </c>
    </row>
    <row r="11605" spans="1:4" x14ac:dyDescent="0.25">
      <c r="A11605" t="str">
        <f>T("   ZZZ_Monde")</f>
        <v xml:space="preserve">   ZZZ_Monde</v>
      </c>
      <c r="B11605" t="str">
        <f>T("   ZZZ_Monde")</f>
        <v xml:space="preserve">   ZZZ_Monde</v>
      </c>
      <c r="C11605">
        <v>8279971</v>
      </c>
      <c r="D11605">
        <v>19360</v>
      </c>
    </row>
    <row r="11606" spans="1:4" x14ac:dyDescent="0.25">
      <c r="A11606" t="str">
        <f>T("   CN")</f>
        <v xml:space="preserve">   CN</v>
      </c>
      <c r="B11606" t="str">
        <f>T("   Chine")</f>
        <v xml:space="preserve">   Chine</v>
      </c>
      <c r="C11606">
        <v>2636708</v>
      </c>
      <c r="D11606">
        <v>19289</v>
      </c>
    </row>
    <row r="11607" spans="1:4" x14ac:dyDescent="0.25">
      <c r="A11607" t="str">
        <f>T("   FR")</f>
        <v xml:space="preserve">   FR</v>
      </c>
      <c r="B11607" t="str">
        <f>T("   France")</f>
        <v xml:space="preserve">   France</v>
      </c>
      <c r="C11607">
        <v>5386783</v>
      </c>
      <c r="D11607">
        <v>67</v>
      </c>
    </row>
    <row r="11608" spans="1:4" x14ac:dyDescent="0.25">
      <c r="A11608" t="str">
        <f>T("   NL")</f>
        <v xml:space="preserve">   NL</v>
      </c>
      <c r="B11608" t="str">
        <f>T("   Pays-bas")</f>
        <v xml:space="preserve">   Pays-bas</v>
      </c>
      <c r="C11608">
        <v>256480</v>
      </c>
      <c r="D11608">
        <v>4</v>
      </c>
    </row>
    <row r="11609" spans="1:4" x14ac:dyDescent="0.25">
      <c r="A11609" t="str">
        <f>T("845121")</f>
        <v>845121</v>
      </c>
      <c r="B11609" t="str">
        <f>T("Machines à sécher, capacité unitaire en poids de linge sec &lt;= 10 kg (à l'excl. des essoreuses centrifuges)")</f>
        <v>Machines à sécher, capacité unitaire en poids de linge sec &lt;= 10 kg (à l'excl. des essoreuses centrifuges)</v>
      </c>
    </row>
    <row r="11610" spans="1:4" x14ac:dyDescent="0.25">
      <c r="A11610" t="str">
        <f>T("   ZZZ_Monde")</f>
        <v xml:space="preserve">   ZZZ_Monde</v>
      </c>
      <c r="B11610" t="str">
        <f>T("   ZZZ_Monde")</f>
        <v xml:space="preserve">   ZZZ_Monde</v>
      </c>
      <c r="C11610">
        <v>1641920</v>
      </c>
      <c r="D11610">
        <v>704</v>
      </c>
    </row>
    <row r="11611" spans="1:4" x14ac:dyDescent="0.25">
      <c r="A11611" t="str">
        <f>T("   IT")</f>
        <v xml:space="preserve">   IT</v>
      </c>
      <c r="B11611" t="str">
        <f>T("   Italie")</f>
        <v xml:space="preserve">   Italie</v>
      </c>
      <c r="C11611">
        <v>1641920</v>
      </c>
      <c r="D11611">
        <v>704</v>
      </c>
    </row>
    <row r="11612" spans="1:4" x14ac:dyDescent="0.25">
      <c r="A11612" t="str">
        <f>T("845129")</f>
        <v>845129</v>
      </c>
      <c r="B11612" t="str">
        <f>T("Machines et appareils à sécher les fils, les tissus ou autres ouvrages en matières textiles ( à l'excl. des machines à sécher d'une capacité unitaire en poids de linge sec &lt;= 10 kg et sauf essoreuses centrifuges)")</f>
        <v>Machines et appareils à sécher les fils, les tissus ou autres ouvrages en matières textiles ( à l'excl. des machines à sécher d'une capacité unitaire en poids de linge sec &lt;= 10 kg et sauf essoreuses centrifuges)</v>
      </c>
    </row>
    <row r="11613" spans="1:4" x14ac:dyDescent="0.25">
      <c r="A11613" t="str">
        <f>T("   ZZZ_Monde")</f>
        <v xml:space="preserve">   ZZZ_Monde</v>
      </c>
      <c r="B11613" t="str">
        <f>T("   ZZZ_Monde")</f>
        <v xml:space="preserve">   ZZZ_Monde</v>
      </c>
      <c r="C11613">
        <v>4972177</v>
      </c>
      <c r="D11613">
        <v>549</v>
      </c>
    </row>
    <row r="11614" spans="1:4" x14ac:dyDescent="0.25">
      <c r="A11614" t="str">
        <f>T("   FR")</f>
        <v xml:space="preserve">   FR</v>
      </c>
      <c r="B11614" t="str">
        <f>T("   France")</f>
        <v xml:space="preserve">   France</v>
      </c>
      <c r="C11614">
        <v>4972177</v>
      </c>
      <c r="D11614">
        <v>549</v>
      </c>
    </row>
    <row r="11615" spans="1:4" x14ac:dyDescent="0.25">
      <c r="A11615" t="str">
        <f>T("845130")</f>
        <v>845130</v>
      </c>
      <c r="B11615" t="str">
        <f>T("Machines et presses à repasser, y.c. les presses à fixer (à l'excl. des calandres à catir ou à repasser)")</f>
        <v>Machines et presses à repasser, y.c. les presses à fixer (à l'excl. des calandres à catir ou à repasser)</v>
      </c>
    </row>
    <row r="11616" spans="1:4" x14ac:dyDescent="0.25">
      <c r="A11616" t="str">
        <f>T("   ZZZ_Monde")</f>
        <v xml:space="preserve">   ZZZ_Monde</v>
      </c>
      <c r="B11616" t="str">
        <f>T("   ZZZ_Monde")</f>
        <v xml:space="preserve">   ZZZ_Monde</v>
      </c>
      <c r="C11616">
        <v>5956846</v>
      </c>
      <c r="D11616">
        <v>350</v>
      </c>
    </row>
    <row r="11617" spans="1:4" x14ac:dyDescent="0.25">
      <c r="A11617" t="str">
        <f>T("   FR")</f>
        <v xml:space="preserve">   FR</v>
      </c>
      <c r="B11617" t="str">
        <f>T("   France")</f>
        <v xml:space="preserve">   France</v>
      </c>
      <c r="C11617">
        <v>5931846</v>
      </c>
      <c r="D11617">
        <v>340</v>
      </c>
    </row>
    <row r="11618" spans="1:4" x14ac:dyDescent="0.25">
      <c r="A11618" t="str">
        <f>T("   GB")</f>
        <v xml:space="preserve">   GB</v>
      </c>
      <c r="B11618" t="str">
        <f>T("   Royaume-Uni")</f>
        <v xml:space="preserve">   Royaume-Uni</v>
      </c>
      <c r="C11618">
        <v>25000</v>
      </c>
      <c r="D11618">
        <v>10</v>
      </c>
    </row>
    <row r="11619" spans="1:4" x14ac:dyDescent="0.25">
      <c r="A11619" t="str">
        <f>T("845140")</f>
        <v>845140</v>
      </c>
      <c r="B11619" t="str">
        <f>T("Machines et appareils pour le lavage, le blanchiment ou la teinture de fils, tissus ou autres ouvrages en matières textiles (sauf machines à laver le linge)")</f>
        <v>Machines et appareils pour le lavage, le blanchiment ou la teinture de fils, tissus ou autres ouvrages en matières textiles (sauf machines à laver le linge)</v>
      </c>
    </row>
    <row r="11620" spans="1:4" x14ac:dyDescent="0.25">
      <c r="A11620" t="str">
        <f>T("   ZZZ_Monde")</f>
        <v xml:space="preserve">   ZZZ_Monde</v>
      </c>
      <c r="B11620" t="str">
        <f>T("   ZZZ_Monde")</f>
        <v xml:space="preserve">   ZZZ_Monde</v>
      </c>
      <c r="C11620">
        <v>498399</v>
      </c>
      <c r="D11620">
        <v>715</v>
      </c>
    </row>
    <row r="11621" spans="1:4" x14ac:dyDescent="0.25">
      <c r="A11621" t="str">
        <f>T("   CA")</f>
        <v xml:space="preserve">   CA</v>
      </c>
      <c r="B11621" t="str">
        <f>T("   Canada")</f>
        <v xml:space="preserve">   Canada</v>
      </c>
      <c r="C11621">
        <v>450000</v>
      </c>
      <c r="D11621">
        <v>700</v>
      </c>
    </row>
    <row r="11622" spans="1:4" x14ac:dyDescent="0.25">
      <c r="A11622" t="str">
        <f>T("   CN")</f>
        <v xml:space="preserve">   CN</v>
      </c>
      <c r="B11622" t="str">
        <f>T("   Chine")</f>
        <v xml:space="preserve">   Chine</v>
      </c>
      <c r="C11622">
        <v>48399</v>
      </c>
      <c r="D11622">
        <v>15</v>
      </c>
    </row>
    <row r="11623" spans="1:4" x14ac:dyDescent="0.25">
      <c r="A11623" t="str">
        <f>T("845180")</f>
        <v>845180</v>
      </c>
      <c r="B11623" t="str">
        <f>T("Machines et appareils pour l'apprêt et le finissage, l'enduction ou l'imprégnation des fils, tissus ou autres ouvrages en matières textiles, et machines pour le revêtement des tissus ou autres supports utilisés pour la fabrication de couvre-parquets tels")</f>
        <v>Machines et appareils pour l'apprêt et le finissage, l'enduction ou l'imprégnation des fils, tissus ou autres ouvrages en matières textiles, et machines pour le revêtement des tissus ou autres supports utilisés pour la fabrication de couvre-parquets tels</v>
      </c>
    </row>
    <row r="11624" spans="1:4" x14ac:dyDescent="0.25">
      <c r="A11624" t="str">
        <f>T("   ZZZ_Monde")</f>
        <v xml:space="preserve">   ZZZ_Monde</v>
      </c>
      <c r="B11624" t="str">
        <f>T("   ZZZ_Monde")</f>
        <v xml:space="preserve">   ZZZ_Monde</v>
      </c>
      <c r="C11624">
        <v>709683</v>
      </c>
      <c r="D11624">
        <v>155</v>
      </c>
    </row>
    <row r="11625" spans="1:4" x14ac:dyDescent="0.25">
      <c r="A11625" t="str">
        <f>T("   DE")</f>
        <v xml:space="preserve">   DE</v>
      </c>
      <c r="B11625" t="str">
        <f>T("   Allemagne")</f>
        <v xml:space="preserve">   Allemagne</v>
      </c>
      <c r="C11625">
        <v>226765</v>
      </c>
      <c r="D11625">
        <v>14</v>
      </c>
    </row>
    <row r="11626" spans="1:4" x14ac:dyDescent="0.25">
      <c r="A11626" t="str">
        <f>T("   FR")</f>
        <v xml:space="preserve">   FR</v>
      </c>
      <c r="B11626" t="str">
        <f>T("   France")</f>
        <v xml:space="preserve">   France</v>
      </c>
      <c r="C11626">
        <v>482918</v>
      </c>
      <c r="D11626">
        <v>141</v>
      </c>
    </row>
    <row r="11627" spans="1:4" x14ac:dyDescent="0.25">
      <c r="A11627" t="str">
        <f>T("845190")</f>
        <v>845190</v>
      </c>
      <c r="B11627" t="str">
        <f>T("Parties de machines et appareils pour le lavage, nettoyage, essorage, séchage, repassage, pressage, blanchiment, teinture, apprêt, finissage, enduction ou imprégnation de fils, tissus ou autres ouvrages en matières textiles, ou pour le revêtement des tiss")</f>
        <v>Parties de machines et appareils pour le lavage, nettoyage, essorage, séchage, repassage, pressage, blanchiment, teinture, apprêt, finissage, enduction ou imprégnation de fils, tissus ou autres ouvrages en matières textiles, ou pour le revêtement des tiss</v>
      </c>
    </row>
    <row r="11628" spans="1:4" x14ac:dyDescent="0.25">
      <c r="A11628" t="str">
        <f>T("   ZZZ_Monde")</f>
        <v xml:space="preserve">   ZZZ_Monde</v>
      </c>
      <c r="B11628" t="str">
        <f>T("   ZZZ_Monde")</f>
        <v xml:space="preserve">   ZZZ_Monde</v>
      </c>
      <c r="C11628">
        <v>355839</v>
      </c>
      <c r="D11628">
        <v>37.229999999999997</v>
      </c>
    </row>
    <row r="11629" spans="1:4" x14ac:dyDescent="0.25">
      <c r="A11629" t="str">
        <f>T("   FR")</f>
        <v xml:space="preserve">   FR</v>
      </c>
      <c r="B11629" t="str">
        <f>T("   France")</f>
        <v xml:space="preserve">   France</v>
      </c>
      <c r="C11629">
        <v>56721</v>
      </c>
      <c r="D11629">
        <v>34</v>
      </c>
    </row>
    <row r="11630" spans="1:4" x14ac:dyDescent="0.25">
      <c r="A11630" t="str">
        <f>T("   NL")</f>
        <v xml:space="preserve">   NL</v>
      </c>
      <c r="B11630" t="str">
        <f>T("   Pays-bas")</f>
        <v xml:space="preserve">   Pays-bas</v>
      </c>
      <c r="C11630">
        <v>299118</v>
      </c>
      <c r="D11630">
        <v>3.23</v>
      </c>
    </row>
    <row r="11631" spans="1:4" x14ac:dyDescent="0.25">
      <c r="A11631" t="str">
        <f>T("845210")</f>
        <v>845210</v>
      </c>
      <c r="B11631" t="str">
        <f>T("Machines à coudre de type ménager")</f>
        <v>Machines à coudre de type ménager</v>
      </c>
    </row>
    <row r="11632" spans="1:4" x14ac:dyDescent="0.25">
      <c r="A11632" t="str">
        <f>T("   ZZZ_Monde")</f>
        <v xml:space="preserve">   ZZZ_Monde</v>
      </c>
      <c r="B11632" t="str">
        <f>T("   ZZZ_Monde")</f>
        <v xml:space="preserve">   ZZZ_Monde</v>
      </c>
      <c r="C11632">
        <v>241238940</v>
      </c>
      <c r="D11632">
        <v>407096</v>
      </c>
    </row>
    <row r="11633" spans="1:4" x14ac:dyDescent="0.25">
      <c r="A11633" t="str">
        <f>T("   CN")</f>
        <v xml:space="preserve">   CN</v>
      </c>
      <c r="B11633" t="str">
        <f>T("   Chine")</f>
        <v xml:space="preserve">   Chine</v>
      </c>
      <c r="C11633">
        <v>238220083</v>
      </c>
      <c r="D11633">
        <v>394226</v>
      </c>
    </row>
    <row r="11634" spans="1:4" x14ac:dyDescent="0.25">
      <c r="A11634" t="str">
        <f>T("   FR")</f>
        <v xml:space="preserve">   FR</v>
      </c>
      <c r="B11634" t="str">
        <f>T("   France")</f>
        <v xml:space="preserve">   France</v>
      </c>
      <c r="C11634">
        <v>723154</v>
      </c>
      <c r="D11634">
        <v>1704</v>
      </c>
    </row>
    <row r="11635" spans="1:4" x14ac:dyDescent="0.25">
      <c r="A11635" t="str">
        <f>T("   GB")</f>
        <v xml:space="preserve">   GB</v>
      </c>
      <c r="B11635" t="str">
        <f>T("   Royaume-Uni")</f>
        <v xml:space="preserve">   Royaume-Uni</v>
      </c>
      <c r="C11635">
        <v>36443</v>
      </c>
      <c r="D11635">
        <v>200</v>
      </c>
    </row>
    <row r="11636" spans="1:4" x14ac:dyDescent="0.25">
      <c r="A11636" t="str">
        <f>T("   IT")</f>
        <v xml:space="preserve">   IT</v>
      </c>
      <c r="B11636" t="str">
        <f>T("   Italie")</f>
        <v xml:space="preserve">   Italie</v>
      </c>
      <c r="C11636">
        <v>421260</v>
      </c>
      <c r="D11636">
        <v>2756</v>
      </c>
    </row>
    <row r="11637" spans="1:4" x14ac:dyDescent="0.25">
      <c r="A11637" t="str">
        <f>T("   NG")</f>
        <v xml:space="preserve">   NG</v>
      </c>
      <c r="B11637" t="str">
        <f>T("   Nigéria")</f>
        <v xml:space="preserve">   Nigéria</v>
      </c>
      <c r="C11637">
        <v>338000</v>
      </c>
      <c r="D11637">
        <v>450</v>
      </c>
    </row>
    <row r="11638" spans="1:4" x14ac:dyDescent="0.25">
      <c r="A11638" t="str">
        <f>T("   TG")</f>
        <v xml:space="preserve">   TG</v>
      </c>
      <c r="B11638" t="str">
        <f>T("   Togo")</f>
        <v xml:space="preserve">   Togo</v>
      </c>
      <c r="C11638">
        <v>1500000</v>
      </c>
      <c r="D11638">
        <v>7760</v>
      </c>
    </row>
    <row r="11639" spans="1:4" x14ac:dyDescent="0.25">
      <c r="A11639" t="str">
        <f>T("845229")</f>
        <v>845229</v>
      </c>
      <c r="B11639" t="str">
        <f>T("Machines à coudre de type industriel (sauf unités automatiques)")</f>
        <v>Machines à coudre de type industriel (sauf unités automatiques)</v>
      </c>
    </row>
    <row r="11640" spans="1:4" x14ac:dyDescent="0.25">
      <c r="A11640" t="str">
        <f>T("   ZZZ_Monde")</f>
        <v xml:space="preserve">   ZZZ_Monde</v>
      </c>
      <c r="B11640" t="str">
        <f>T("   ZZZ_Monde")</f>
        <v xml:space="preserve">   ZZZ_Monde</v>
      </c>
      <c r="C11640">
        <v>1975190</v>
      </c>
      <c r="D11640">
        <v>3289</v>
      </c>
    </row>
    <row r="11641" spans="1:4" x14ac:dyDescent="0.25">
      <c r="A11641" t="str">
        <f>T("   DE")</f>
        <v xml:space="preserve">   DE</v>
      </c>
      <c r="B11641" t="str">
        <f>T("   Allemagne")</f>
        <v xml:space="preserve">   Allemagne</v>
      </c>
      <c r="C11641">
        <v>596924</v>
      </c>
      <c r="D11641">
        <v>500</v>
      </c>
    </row>
    <row r="11642" spans="1:4" x14ac:dyDescent="0.25">
      <c r="A11642" t="str">
        <f>T("   ES")</f>
        <v xml:space="preserve">   ES</v>
      </c>
      <c r="B11642" t="str">
        <f>T("   Espagne")</f>
        <v xml:space="preserve">   Espagne</v>
      </c>
      <c r="C11642">
        <v>779471</v>
      </c>
      <c r="D11642">
        <v>1000</v>
      </c>
    </row>
    <row r="11643" spans="1:4" x14ac:dyDescent="0.25">
      <c r="A11643" t="str">
        <f>T("   FR")</f>
        <v xml:space="preserve">   FR</v>
      </c>
      <c r="B11643" t="str">
        <f>T("   France")</f>
        <v xml:space="preserve">   France</v>
      </c>
      <c r="C11643">
        <v>81352</v>
      </c>
      <c r="D11643">
        <v>80</v>
      </c>
    </row>
    <row r="11644" spans="1:4" x14ac:dyDescent="0.25">
      <c r="A11644" t="str">
        <f>T("   GB")</f>
        <v xml:space="preserve">   GB</v>
      </c>
      <c r="B11644" t="str">
        <f>T("   Royaume-Uni")</f>
        <v xml:space="preserve">   Royaume-Uni</v>
      </c>
      <c r="C11644">
        <v>30175</v>
      </c>
      <c r="D11644">
        <v>25</v>
      </c>
    </row>
    <row r="11645" spans="1:4" x14ac:dyDescent="0.25">
      <c r="A11645" t="str">
        <f>T("   IT")</f>
        <v xml:space="preserve">   IT</v>
      </c>
      <c r="B11645" t="str">
        <f>T("   Italie")</f>
        <v xml:space="preserve">   Italie</v>
      </c>
      <c r="C11645">
        <v>487268</v>
      </c>
      <c r="D11645">
        <v>1684</v>
      </c>
    </row>
    <row r="11646" spans="1:4" x14ac:dyDescent="0.25">
      <c r="A11646" t="str">
        <f>T("845230")</f>
        <v>845230</v>
      </c>
      <c r="B11646" t="str">
        <f>T("Aiguilles pour machines à coudre")</f>
        <v>Aiguilles pour machines à coudre</v>
      </c>
    </row>
    <row r="11647" spans="1:4" x14ac:dyDescent="0.25">
      <c r="A11647" t="str">
        <f>T("   ZZZ_Monde")</f>
        <v xml:space="preserve">   ZZZ_Monde</v>
      </c>
      <c r="B11647" t="str">
        <f>T("   ZZZ_Monde")</f>
        <v xml:space="preserve">   ZZZ_Monde</v>
      </c>
      <c r="C11647">
        <v>6383083</v>
      </c>
      <c r="D11647">
        <v>977</v>
      </c>
    </row>
    <row r="11648" spans="1:4" x14ac:dyDescent="0.25">
      <c r="A11648" t="str">
        <f>T("   CN")</f>
        <v xml:space="preserve">   CN</v>
      </c>
      <c r="B11648" t="str">
        <f>T("   Chine")</f>
        <v xml:space="preserve">   Chine</v>
      </c>
      <c r="C11648">
        <v>6383083</v>
      </c>
      <c r="D11648">
        <v>977</v>
      </c>
    </row>
    <row r="11649" spans="1:4" x14ac:dyDescent="0.25">
      <c r="A11649" t="str">
        <f>T("845380")</f>
        <v>845380</v>
      </c>
      <c r="B11649" t="str">
        <f>T("Machines et appareils pour la fabrication ou la réparation des ouvrages en cuir ou en peau (autres que les chaussures et autres que les machines à coudre)")</f>
        <v>Machines et appareils pour la fabrication ou la réparation des ouvrages en cuir ou en peau (autres que les chaussures et autres que les machines à coudre)</v>
      </c>
    </row>
    <row r="11650" spans="1:4" x14ac:dyDescent="0.25">
      <c r="A11650" t="str">
        <f>T("   ZZZ_Monde")</f>
        <v xml:space="preserve">   ZZZ_Monde</v>
      </c>
      <c r="B11650" t="str">
        <f>T("   ZZZ_Monde")</f>
        <v xml:space="preserve">   ZZZ_Monde</v>
      </c>
      <c r="C11650">
        <v>489114</v>
      </c>
      <c r="D11650">
        <v>250</v>
      </c>
    </row>
    <row r="11651" spans="1:4" x14ac:dyDescent="0.25">
      <c r="A11651" t="str">
        <f>T("   CN")</f>
        <v xml:space="preserve">   CN</v>
      </c>
      <c r="B11651" t="str">
        <f>T("   Chine")</f>
        <v xml:space="preserve">   Chine</v>
      </c>
      <c r="C11651">
        <v>413679</v>
      </c>
      <c r="D11651">
        <v>200</v>
      </c>
    </row>
    <row r="11652" spans="1:4" x14ac:dyDescent="0.25">
      <c r="A11652" t="str">
        <f>T("   US")</f>
        <v xml:space="preserve">   US</v>
      </c>
      <c r="B11652" t="str">
        <f>T("   Etats-Unis")</f>
        <v xml:space="preserve">   Etats-Unis</v>
      </c>
      <c r="C11652">
        <v>75435</v>
      </c>
      <c r="D11652">
        <v>50</v>
      </c>
    </row>
    <row r="11653" spans="1:4" x14ac:dyDescent="0.25">
      <c r="A11653" t="str">
        <f>T("845490")</f>
        <v>845490</v>
      </c>
      <c r="B11653" t="str">
        <f>T("Parties de convertisseurs, poches de coulée, lingotière et machines simil. à couler -mouler- pour métallurgie, aciérie ou fonderie, n.d.a.")</f>
        <v>Parties de convertisseurs, poches de coulée, lingotière et machines simil. à couler -mouler- pour métallurgie, aciérie ou fonderie, n.d.a.</v>
      </c>
    </row>
    <row r="11654" spans="1:4" x14ac:dyDescent="0.25">
      <c r="A11654" t="str">
        <f>T("   ZZZ_Monde")</f>
        <v xml:space="preserve">   ZZZ_Monde</v>
      </c>
      <c r="B11654" t="str">
        <f>T("   ZZZ_Monde")</f>
        <v xml:space="preserve">   ZZZ_Monde</v>
      </c>
      <c r="C11654">
        <v>2970187</v>
      </c>
      <c r="D11654">
        <v>231</v>
      </c>
    </row>
    <row r="11655" spans="1:4" x14ac:dyDescent="0.25">
      <c r="A11655" t="str">
        <f>T("   IT")</f>
        <v xml:space="preserve">   IT</v>
      </c>
      <c r="B11655" t="str">
        <f>T("   Italie")</f>
        <v xml:space="preserve">   Italie</v>
      </c>
      <c r="C11655">
        <v>1007555</v>
      </c>
      <c r="D11655">
        <v>9</v>
      </c>
    </row>
    <row r="11656" spans="1:4" x14ac:dyDescent="0.25">
      <c r="A11656" t="str">
        <f>T("   NL")</f>
        <v xml:space="preserve">   NL</v>
      </c>
      <c r="B11656" t="str">
        <f>T("   Pays-bas")</f>
        <v xml:space="preserve">   Pays-bas</v>
      </c>
      <c r="C11656">
        <v>1962632</v>
      </c>
      <c r="D11656">
        <v>222</v>
      </c>
    </row>
    <row r="11657" spans="1:4" x14ac:dyDescent="0.25">
      <c r="A11657" t="str">
        <f>T("845510")</f>
        <v>845510</v>
      </c>
      <c r="B11657" t="str">
        <f>T("Laminoirs à métaux, à tubes en métal")</f>
        <v>Laminoirs à métaux, à tubes en métal</v>
      </c>
    </row>
    <row r="11658" spans="1:4" x14ac:dyDescent="0.25">
      <c r="A11658" t="str">
        <f>T("   ZZZ_Monde")</f>
        <v xml:space="preserve">   ZZZ_Monde</v>
      </c>
      <c r="B11658" t="str">
        <f>T("   ZZZ_Monde")</f>
        <v xml:space="preserve">   ZZZ_Monde</v>
      </c>
      <c r="C11658">
        <v>2656638</v>
      </c>
      <c r="D11658">
        <v>90</v>
      </c>
    </row>
    <row r="11659" spans="1:4" x14ac:dyDescent="0.25">
      <c r="A11659" t="str">
        <f>T("   BE")</f>
        <v xml:space="preserve">   BE</v>
      </c>
      <c r="B11659" t="str">
        <f>T("   Belgique")</f>
        <v xml:space="preserve">   Belgique</v>
      </c>
      <c r="C11659">
        <v>2656638</v>
      </c>
      <c r="D11659">
        <v>90</v>
      </c>
    </row>
    <row r="11660" spans="1:4" x14ac:dyDescent="0.25">
      <c r="A11660" t="str">
        <f>T("845522")</f>
        <v>845522</v>
      </c>
      <c r="B11660" t="str">
        <f>T("Laminoirs à métaux à froid (autres qu'à tubes)")</f>
        <v>Laminoirs à métaux à froid (autres qu'à tubes)</v>
      </c>
    </row>
    <row r="11661" spans="1:4" x14ac:dyDescent="0.25">
      <c r="A11661" t="str">
        <f>T("   ZZZ_Monde")</f>
        <v xml:space="preserve">   ZZZ_Monde</v>
      </c>
      <c r="B11661" t="str">
        <f>T("   ZZZ_Monde")</f>
        <v xml:space="preserve">   ZZZ_Monde</v>
      </c>
      <c r="C11661">
        <v>227258458</v>
      </c>
      <c r="D11661">
        <v>26883</v>
      </c>
    </row>
    <row r="11662" spans="1:4" x14ac:dyDescent="0.25">
      <c r="A11662" t="str">
        <f>T("   FR")</f>
        <v xml:space="preserve">   FR</v>
      </c>
      <c r="B11662" t="str">
        <f>T("   France")</f>
        <v xml:space="preserve">   France</v>
      </c>
      <c r="C11662">
        <v>1635308</v>
      </c>
      <c r="D11662">
        <v>173</v>
      </c>
    </row>
    <row r="11663" spans="1:4" x14ac:dyDescent="0.25">
      <c r="A11663" t="str">
        <f>T("   IT")</f>
        <v xml:space="preserve">   IT</v>
      </c>
      <c r="B11663" t="str">
        <f>T("   Italie")</f>
        <v xml:space="preserve">   Italie</v>
      </c>
      <c r="C11663">
        <v>225623150</v>
      </c>
      <c r="D11663">
        <v>26710</v>
      </c>
    </row>
    <row r="11664" spans="1:4" x14ac:dyDescent="0.25">
      <c r="A11664" t="str">
        <f>T("845590")</f>
        <v>845590</v>
      </c>
      <c r="B11664" t="str">
        <f>T("Parties de laminoirs à métaux, n.d.a.")</f>
        <v>Parties de laminoirs à métaux, n.d.a.</v>
      </c>
    </row>
    <row r="11665" spans="1:4" x14ac:dyDescent="0.25">
      <c r="A11665" t="str">
        <f>T("   ZZZ_Monde")</f>
        <v xml:space="preserve">   ZZZ_Monde</v>
      </c>
      <c r="B11665" t="str">
        <f>T("   ZZZ_Monde")</f>
        <v xml:space="preserve">   ZZZ_Monde</v>
      </c>
      <c r="C11665">
        <v>10255693</v>
      </c>
      <c r="D11665">
        <v>13000</v>
      </c>
    </row>
    <row r="11666" spans="1:4" x14ac:dyDescent="0.25">
      <c r="A11666" t="str">
        <f>T("   CN")</f>
        <v xml:space="preserve">   CN</v>
      </c>
      <c r="B11666" t="str">
        <f>T("   Chine")</f>
        <v xml:space="preserve">   Chine</v>
      </c>
      <c r="C11666">
        <v>10255693</v>
      </c>
      <c r="D11666">
        <v>13000</v>
      </c>
    </row>
    <row r="11667" spans="1:4" x14ac:dyDescent="0.25">
      <c r="A11667" t="str">
        <f>T("845699")</f>
        <v>845699</v>
      </c>
      <c r="B11667" t="str">
        <f>T("Machines-outils travaillant par enlèvement de toute matière et opérant par procédés électrochimiques, par faisceaux d'électrons, par faisceaux ioniques ou par jet de plasma (à l'excl. des appareils à braser et à souder, des appareils pour essais de matièr")</f>
        <v>Machines-outils travaillant par enlèvement de toute matière et opérant par procédés électrochimiques, par faisceaux d'électrons, par faisceaux ioniques ou par jet de plasma (à l'excl. des appareils à braser et à souder, des appareils pour essais de matièr</v>
      </c>
    </row>
    <row r="11668" spans="1:4" x14ac:dyDescent="0.25">
      <c r="A11668" t="str">
        <f>T("   ZZZ_Monde")</f>
        <v xml:space="preserve">   ZZZ_Monde</v>
      </c>
      <c r="B11668" t="str">
        <f>T("   ZZZ_Monde")</f>
        <v xml:space="preserve">   ZZZ_Monde</v>
      </c>
      <c r="C11668">
        <v>2697373</v>
      </c>
      <c r="D11668">
        <v>641</v>
      </c>
    </row>
    <row r="11669" spans="1:4" x14ac:dyDescent="0.25">
      <c r="A11669" t="str">
        <f>T("   BE")</f>
        <v xml:space="preserve">   BE</v>
      </c>
      <c r="B11669" t="str">
        <f>T("   Belgique")</f>
        <v xml:space="preserve">   Belgique</v>
      </c>
      <c r="C11669">
        <v>892105</v>
      </c>
      <c r="D11669">
        <v>341</v>
      </c>
    </row>
    <row r="11670" spans="1:4" x14ac:dyDescent="0.25">
      <c r="A11670" t="str">
        <f>T("   FR")</f>
        <v xml:space="preserve">   FR</v>
      </c>
      <c r="B11670" t="str">
        <f>T("   France")</f>
        <v xml:space="preserve">   France</v>
      </c>
      <c r="C11670">
        <v>1805268</v>
      </c>
      <c r="D11670">
        <v>300</v>
      </c>
    </row>
    <row r="11671" spans="1:4" x14ac:dyDescent="0.25">
      <c r="A11671" t="str">
        <f>T("845899")</f>
        <v>845899</v>
      </c>
      <c r="B11671" t="str">
        <f>T("TOURS, Y.C. LES CENTRES DE TOURNAGE, TRAVAILLANT PAR ENLÈVEMENT DE MÉTAL (À L'EXCL. DES TOURS HORIZONTAUX ET DES TOURS À COMMANDE NUMÉRIQUE) [01/01/1988-31/12/1994: TOURS TRAVAILLANT PAR ENLEVEMENT DE METAL (AUTRES QU'A COMMANDE NUMÉRIQUE ET AUTRES QU' HO")</f>
        <v>TOURS, Y.C. LES CENTRES DE TOURNAGE, TRAVAILLANT PAR ENLÈVEMENT DE MÉTAL (À L'EXCL. DES TOURS HORIZONTAUX ET DES TOURS À COMMANDE NUMÉRIQUE) [01/01/1988-31/12/1994: TOURS TRAVAILLANT PAR ENLEVEMENT DE METAL (AUTRES QU'A COMMANDE NUMÉRIQUE ET AUTRES QU' HO</v>
      </c>
    </row>
    <row r="11672" spans="1:4" x14ac:dyDescent="0.25">
      <c r="A11672" t="str">
        <f>T("   ZZZ_Monde")</f>
        <v xml:space="preserve">   ZZZ_Monde</v>
      </c>
      <c r="B11672" t="str">
        <f>T("   ZZZ_Monde")</f>
        <v xml:space="preserve">   ZZZ_Monde</v>
      </c>
      <c r="C11672">
        <v>35383223</v>
      </c>
      <c r="D11672">
        <v>10500</v>
      </c>
    </row>
    <row r="11673" spans="1:4" x14ac:dyDescent="0.25">
      <c r="A11673" t="str">
        <f>T("   FR")</f>
        <v xml:space="preserve">   FR</v>
      </c>
      <c r="B11673" t="str">
        <f>T("   France")</f>
        <v xml:space="preserve">   France</v>
      </c>
      <c r="C11673">
        <v>35383223</v>
      </c>
      <c r="D11673">
        <v>10500</v>
      </c>
    </row>
    <row r="11674" spans="1:4" x14ac:dyDescent="0.25">
      <c r="A11674" t="str">
        <f>T("845910")</f>
        <v>845910</v>
      </c>
      <c r="B11674" t="str">
        <f>T("Unités d'usinage à glissières, à percer, aléser, fraiser, fileter ou tarauder les métaux par enlèvement de matière")</f>
        <v>Unités d'usinage à glissières, à percer, aléser, fraiser, fileter ou tarauder les métaux par enlèvement de matière</v>
      </c>
    </row>
    <row r="11675" spans="1:4" x14ac:dyDescent="0.25">
      <c r="A11675" t="str">
        <f>T("   ZZZ_Monde")</f>
        <v xml:space="preserve">   ZZZ_Monde</v>
      </c>
      <c r="B11675" t="str">
        <f>T("   ZZZ_Monde")</f>
        <v xml:space="preserve">   ZZZ_Monde</v>
      </c>
      <c r="C11675">
        <v>194400</v>
      </c>
      <c r="D11675">
        <v>100</v>
      </c>
    </row>
    <row r="11676" spans="1:4" x14ac:dyDescent="0.25">
      <c r="A11676" t="str">
        <f>T("   NG")</f>
        <v xml:space="preserve">   NG</v>
      </c>
      <c r="B11676" t="str">
        <f>T("   Nigéria")</f>
        <v xml:space="preserve">   Nigéria</v>
      </c>
      <c r="C11676">
        <v>194400</v>
      </c>
      <c r="D11676">
        <v>100</v>
      </c>
    </row>
    <row r="11677" spans="1:4" x14ac:dyDescent="0.25">
      <c r="A11677" t="str">
        <f>T("845929")</f>
        <v>845929</v>
      </c>
      <c r="B11677" t="str">
        <f>T("MACHINES À PERCER, POUR LE TRAVAIL DES MÉTAUX (À L'EXCL. DES MACHINES À COMMANDE NUMÉRIQUE, DES UNITÉS D'USINAGE À GLISSIÈRES ET DES MACHINES MUES À LA MAIN) [01/01/1988-31/12/1994: MACHINES A PERCER LES METAUX PAR ENLEVEMENT DE MATIÈRES (AUTRES QU'A COMM")</f>
        <v>MACHINES À PERCER, POUR LE TRAVAIL DES MÉTAUX (À L'EXCL. DES MACHINES À COMMANDE NUMÉRIQUE, DES UNITÉS D'USINAGE À GLISSIÈRES ET DES MACHINES MUES À LA MAIN) [01/01/1988-31/12/1994: MACHINES A PERCER LES METAUX PAR ENLEVEMENT DE MATIÈRES (AUTRES QU'A COMM</v>
      </c>
    </row>
    <row r="11678" spans="1:4" x14ac:dyDescent="0.25">
      <c r="A11678" t="str">
        <f>T("   ZZZ_Monde")</f>
        <v xml:space="preserve">   ZZZ_Monde</v>
      </c>
      <c r="B11678" t="str">
        <f>T("   ZZZ_Monde")</f>
        <v xml:space="preserve">   ZZZ_Monde</v>
      </c>
      <c r="C11678">
        <v>18133560</v>
      </c>
      <c r="D11678">
        <v>2803</v>
      </c>
    </row>
    <row r="11679" spans="1:4" x14ac:dyDescent="0.25">
      <c r="A11679" t="str">
        <f>T("   BE")</f>
        <v xml:space="preserve">   BE</v>
      </c>
      <c r="B11679" t="str">
        <f>T("   Belgique")</f>
        <v xml:space="preserve">   Belgique</v>
      </c>
      <c r="C11679">
        <v>17941364</v>
      </c>
      <c r="D11679">
        <v>2419</v>
      </c>
    </row>
    <row r="11680" spans="1:4" x14ac:dyDescent="0.25">
      <c r="A11680" t="str">
        <f>T("   IT")</f>
        <v xml:space="preserve">   IT</v>
      </c>
      <c r="B11680" t="str">
        <f>T("   Italie")</f>
        <v xml:space="preserve">   Italie</v>
      </c>
      <c r="C11680">
        <v>192196</v>
      </c>
      <c r="D11680">
        <v>384</v>
      </c>
    </row>
    <row r="11681" spans="1:4" x14ac:dyDescent="0.25">
      <c r="A11681" t="str">
        <f>T("845939")</f>
        <v>845939</v>
      </c>
      <c r="B11681" t="str">
        <f>T("Aléseuses-fraiseuses combinées pour métaux, opérant par enlèvement de matières (autres qu'à commande numérique et sauf unités d'usinage à glissières)")</f>
        <v>Aléseuses-fraiseuses combinées pour métaux, opérant par enlèvement de matières (autres qu'à commande numérique et sauf unités d'usinage à glissières)</v>
      </c>
    </row>
    <row r="11682" spans="1:4" x14ac:dyDescent="0.25">
      <c r="A11682" t="str">
        <f>T("   ZZZ_Monde")</f>
        <v xml:space="preserve">   ZZZ_Monde</v>
      </c>
      <c r="B11682" t="str">
        <f>T("   ZZZ_Monde")</f>
        <v xml:space="preserve">   ZZZ_Monde</v>
      </c>
      <c r="C11682">
        <v>15488843</v>
      </c>
      <c r="D11682">
        <v>5267</v>
      </c>
    </row>
    <row r="11683" spans="1:4" x14ac:dyDescent="0.25">
      <c r="A11683" t="str">
        <f>T("   CA")</f>
        <v xml:space="preserve">   CA</v>
      </c>
      <c r="B11683" t="str">
        <f>T("   Canada")</f>
        <v xml:space="preserve">   Canada</v>
      </c>
      <c r="C11683">
        <v>3213011</v>
      </c>
      <c r="D11683">
        <v>767</v>
      </c>
    </row>
    <row r="11684" spans="1:4" x14ac:dyDescent="0.25">
      <c r="A11684" t="str">
        <f>T("   FR")</f>
        <v xml:space="preserve">   FR</v>
      </c>
      <c r="B11684" t="str">
        <f>T("   France")</f>
        <v xml:space="preserve">   France</v>
      </c>
      <c r="C11684">
        <v>12275832</v>
      </c>
      <c r="D11684">
        <v>4500</v>
      </c>
    </row>
    <row r="11685" spans="1:4" x14ac:dyDescent="0.25">
      <c r="A11685" t="str">
        <f>T("845951")</f>
        <v>845951</v>
      </c>
      <c r="B11685" t="str">
        <f>T("Machines à fraiser les métaux par enlèvement de matières, à console, à commande numérique")</f>
        <v>Machines à fraiser les métaux par enlèvement de matières, à console, à commande numérique</v>
      </c>
    </row>
    <row r="11686" spans="1:4" x14ac:dyDescent="0.25">
      <c r="A11686" t="str">
        <f>T("   ZZZ_Monde")</f>
        <v xml:space="preserve">   ZZZ_Monde</v>
      </c>
      <c r="B11686" t="str">
        <f>T("   ZZZ_Monde")</f>
        <v xml:space="preserve">   ZZZ_Monde</v>
      </c>
      <c r="C11686">
        <v>5676022</v>
      </c>
      <c r="D11686">
        <v>361</v>
      </c>
    </row>
    <row r="11687" spans="1:4" x14ac:dyDescent="0.25">
      <c r="A11687" t="str">
        <f>T("   FR")</f>
        <v xml:space="preserve">   FR</v>
      </c>
      <c r="B11687" t="str">
        <f>T("   France")</f>
        <v xml:space="preserve">   France</v>
      </c>
      <c r="C11687">
        <v>5676022</v>
      </c>
      <c r="D11687">
        <v>361</v>
      </c>
    </row>
    <row r="11688" spans="1:4" x14ac:dyDescent="0.25">
      <c r="A11688" t="str">
        <f>T("845969")</f>
        <v>845969</v>
      </c>
      <c r="B11688" t="str">
        <f>T("Machines à fraiser les métaux par enlèvement de matières (autres qu'à commande numérique et sauf unités d'usinage à glissières, aléseuses-fraiseuses combinées, machines à fraiser à console et machines à tailler les engrenages)")</f>
        <v>Machines à fraiser les métaux par enlèvement de matières (autres qu'à commande numérique et sauf unités d'usinage à glissières, aléseuses-fraiseuses combinées, machines à fraiser à console et machines à tailler les engrenages)</v>
      </c>
    </row>
    <row r="11689" spans="1:4" x14ac:dyDescent="0.25">
      <c r="A11689" t="str">
        <f>T("   ZZZ_Monde")</f>
        <v xml:space="preserve">   ZZZ_Monde</v>
      </c>
      <c r="B11689" t="str">
        <f>T("   ZZZ_Monde")</f>
        <v xml:space="preserve">   ZZZ_Monde</v>
      </c>
      <c r="C11689">
        <v>23831985</v>
      </c>
      <c r="D11689">
        <v>14160</v>
      </c>
    </row>
    <row r="11690" spans="1:4" x14ac:dyDescent="0.25">
      <c r="A11690" t="str">
        <f>T("   FR")</f>
        <v xml:space="preserve">   FR</v>
      </c>
      <c r="B11690" t="str">
        <f>T("   France")</f>
        <v xml:space="preserve">   France</v>
      </c>
      <c r="C11690">
        <v>23831985</v>
      </c>
      <c r="D11690">
        <v>14160</v>
      </c>
    </row>
    <row r="11691" spans="1:4" x14ac:dyDescent="0.25">
      <c r="A11691" t="str">
        <f>T("846039")</f>
        <v>846039</v>
      </c>
      <c r="B11691" t="str">
        <f>T("MACHINES À AFF¹TER, POUR LE TRAVAIL DES MÉTAUX (AUTRES QU'À COMMANDE NUMÉRIQUE)")</f>
        <v>MACHINES À AFF¹TER, POUR LE TRAVAIL DES MÉTAUX (AUTRES QU'À COMMANDE NUMÉRIQUE)</v>
      </c>
    </row>
    <row r="11692" spans="1:4" x14ac:dyDescent="0.25">
      <c r="A11692" t="str">
        <f>T("   ZZZ_Monde")</f>
        <v xml:space="preserve">   ZZZ_Monde</v>
      </c>
      <c r="B11692" t="str">
        <f>T("   ZZZ_Monde")</f>
        <v xml:space="preserve">   ZZZ_Monde</v>
      </c>
      <c r="C11692">
        <v>134400</v>
      </c>
      <c r="D11692">
        <v>100</v>
      </c>
    </row>
    <row r="11693" spans="1:4" x14ac:dyDescent="0.25">
      <c r="A11693" t="str">
        <f>T("   NG")</f>
        <v xml:space="preserve">   NG</v>
      </c>
      <c r="B11693" t="str">
        <f>T("   Nigéria")</f>
        <v xml:space="preserve">   Nigéria</v>
      </c>
      <c r="C11693">
        <v>134400</v>
      </c>
      <c r="D11693">
        <v>100</v>
      </c>
    </row>
    <row r="11694" spans="1:4" x14ac:dyDescent="0.25">
      <c r="A11694" t="str">
        <f>T("846090")</f>
        <v>846090</v>
      </c>
      <c r="B11694" t="str">
        <f>T("Machines à ébarber, meuler, polir ou à faire d'autres opérations de finissage, pour le travail des métaux (autres que les machines à rectifier dont le positionnement dans un des axes peut être réglé à au moins 0,01 mm près, autres qu'à commande numérique,")</f>
        <v>Machines à ébarber, meuler, polir ou à faire d'autres opérations de finissage, pour le travail des métaux (autres que les machines à rectifier dont le positionnement dans un des axes peut être réglé à au moins 0,01 mm près, autres qu'à commande numérique,</v>
      </c>
    </row>
    <row r="11695" spans="1:4" x14ac:dyDescent="0.25">
      <c r="A11695" t="str">
        <f>T("   ZZZ_Monde")</f>
        <v xml:space="preserve">   ZZZ_Monde</v>
      </c>
      <c r="B11695" t="str">
        <f>T("   ZZZ_Monde")</f>
        <v xml:space="preserve">   ZZZ_Monde</v>
      </c>
      <c r="C11695">
        <v>437369</v>
      </c>
      <c r="D11695">
        <v>17</v>
      </c>
    </row>
    <row r="11696" spans="1:4" x14ac:dyDescent="0.25">
      <c r="A11696" t="str">
        <f>T("   FR")</f>
        <v xml:space="preserve">   FR</v>
      </c>
      <c r="B11696" t="str">
        <f>T("   France")</f>
        <v xml:space="preserve">   France</v>
      </c>
      <c r="C11696">
        <v>254706</v>
      </c>
      <c r="D11696">
        <v>12</v>
      </c>
    </row>
    <row r="11697" spans="1:4" x14ac:dyDescent="0.25">
      <c r="A11697" t="str">
        <f>T("   LB")</f>
        <v xml:space="preserve">   LB</v>
      </c>
      <c r="B11697" t="str">
        <f>T("   Liban")</f>
        <v xml:space="preserve">   Liban</v>
      </c>
      <c r="C11697">
        <v>182663</v>
      </c>
      <c r="D11697">
        <v>5</v>
      </c>
    </row>
    <row r="11698" spans="1:4" x14ac:dyDescent="0.25">
      <c r="A11698" t="str">
        <f>T("846120")</f>
        <v>846120</v>
      </c>
      <c r="B11698" t="str">
        <f>T("Etaux-limeurs et machines à mortaiser, pour le travail des métaux")</f>
        <v>Etaux-limeurs et machines à mortaiser, pour le travail des métaux</v>
      </c>
    </row>
    <row r="11699" spans="1:4" x14ac:dyDescent="0.25">
      <c r="A11699" t="str">
        <f>T("   ZZZ_Monde")</f>
        <v xml:space="preserve">   ZZZ_Monde</v>
      </c>
      <c r="B11699" t="str">
        <f>T("   ZZZ_Monde")</f>
        <v xml:space="preserve">   ZZZ_Monde</v>
      </c>
      <c r="C11699">
        <v>3971588</v>
      </c>
      <c r="D11699">
        <v>800</v>
      </c>
    </row>
    <row r="11700" spans="1:4" x14ac:dyDescent="0.25">
      <c r="A11700" t="str">
        <f>T("   FR")</f>
        <v xml:space="preserve">   FR</v>
      </c>
      <c r="B11700" t="str">
        <f>T("   France")</f>
        <v xml:space="preserve">   France</v>
      </c>
      <c r="C11700">
        <v>3971588</v>
      </c>
      <c r="D11700">
        <v>800</v>
      </c>
    </row>
    <row r="11701" spans="1:4" x14ac:dyDescent="0.25">
      <c r="A11701" t="str">
        <f>T("846150")</f>
        <v>846150</v>
      </c>
      <c r="B11701" t="str">
        <f>T("Machines à scier ou à tronçonner, pour le travail des métaux (autres que l'outillage à main)")</f>
        <v>Machines à scier ou à tronçonner, pour le travail des métaux (autres que l'outillage à main)</v>
      </c>
    </row>
    <row r="11702" spans="1:4" x14ac:dyDescent="0.25">
      <c r="A11702" t="str">
        <f>T("   ZZZ_Monde")</f>
        <v xml:space="preserve">   ZZZ_Monde</v>
      </c>
      <c r="B11702" t="str">
        <f>T("   ZZZ_Monde")</f>
        <v xml:space="preserve">   ZZZ_Monde</v>
      </c>
      <c r="C11702">
        <v>18655541</v>
      </c>
      <c r="D11702">
        <v>21789</v>
      </c>
    </row>
    <row r="11703" spans="1:4" x14ac:dyDescent="0.25">
      <c r="A11703" t="str">
        <f>T("   CN")</f>
        <v xml:space="preserve">   CN</v>
      </c>
      <c r="B11703" t="str">
        <f>T("   Chine")</f>
        <v xml:space="preserve">   Chine</v>
      </c>
      <c r="C11703">
        <v>9905623</v>
      </c>
      <c r="D11703">
        <v>17700</v>
      </c>
    </row>
    <row r="11704" spans="1:4" x14ac:dyDescent="0.25">
      <c r="A11704" t="str">
        <f>T("   DE")</f>
        <v xml:space="preserve">   DE</v>
      </c>
      <c r="B11704" t="str">
        <f>T("   Allemagne")</f>
        <v xml:space="preserve">   Allemagne</v>
      </c>
      <c r="C11704">
        <v>700284</v>
      </c>
      <c r="D11704">
        <v>2026</v>
      </c>
    </row>
    <row r="11705" spans="1:4" x14ac:dyDescent="0.25">
      <c r="A11705" t="str">
        <f>T("   FR")</f>
        <v xml:space="preserve">   FR</v>
      </c>
      <c r="B11705" t="str">
        <f>T("   France")</f>
        <v xml:space="preserve">   France</v>
      </c>
      <c r="C11705">
        <v>8049634</v>
      </c>
      <c r="D11705">
        <v>2063</v>
      </c>
    </row>
    <row r="11706" spans="1:4" x14ac:dyDescent="0.25">
      <c r="A11706" t="str">
        <f>T("846190")</f>
        <v>846190</v>
      </c>
      <c r="B11706" t="str">
        <f>T("Machines à raboter et autres machines-outils travaillant par enlèvement de métal, n.d.a.")</f>
        <v>Machines à raboter et autres machines-outils travaillant par enlèvement de métal, n.d.a.</v>
      </c>
    </row>
    <row r="11707" spans="1:4" x14ac:dyDescent="0.25">
      <c r="A11707" t="str">
        <f>T("   ZZZ_Monde")</f>
        <v xml:space="preserve">   ZZZ_Monde</v>
      </c>
      <c r="B11707" t="str">
        <f>T("   ZZZ_Monde")</f>
        <v xml:space="preserve">   ZZZ_Monde</v>
      </c>
      <c r="C11707">
        <v>64032822</v>
      </c>
      <c r="D11707">
        <v>45747</v>
      </c>
    </row>
    <row r="11708" spans="1:4" x14ac:dyDescent="0.25">
      <c r="A11708" t="str">
        <f>T("   CN")</f>
        <v xml:space="preserve">   CN</v>
      </c>
      <c r="B11708" t="str">
        <f>T("   Chine")</f>
        <v xml:space="preserve">   Chine</v>
      </c>
      <c r="C11708">
        <v>14855536</v>
      </c>
      <c r="D11708">
        <v>26180</v>
      </c>
    </row>
    <row r="11709" spans="1:4" x14ac:dyDescent="0.25">
      <c r="A11709" t="str">
        <f>T("   FR")</f>
        <v xml:space="preserve">   FR</v>
      </c>
      <c r="B11709" t="str">
        <f>T("   France")</f>
        <v xml:space="preserve">   France</v>
      </c>
      <c r="C11709">
        <v>546415</v>
      </c>
      <c r="D11709">
        <v>3267</v>
      </c>
    </row>
    <row r="11710" spans="1:4" x14ac:dyDescent="0.25">
      <c r="A11710" t="str">
        <f>T("   IN")</f>
        <v xml:space="preserve">   IN</v>
      </c>
      <c r="B11710" t="str">
        <f>T("   Inde")</f>
        <v xml:space="preserve">   Inde</v>
      </c>
      <c r="C11710">
        <v>48030871</v>
      </c>
      <c r="D11710">
        <v>16000</v>
      </c>
    </row>
    <row r="11711" spans="1:4" x14ac:dyDescent="0.25">
      <c r="A11711" t="str">
        <f>T("   NG")</f>
        <v xml:space="preserve">   NG</v>
      </c>
      <c r="B11711" t="str">
        <f>T("   Nigéria")</f>
        <v xml:space="preserve">   Nigéria</v>
      </c>
      <c r="C11711">
        <v>600000</v>
      </c>
      <c r="D11711">
        <v>300</v>
      </c>
    </row>
    <row r="11712" spans="1:4" x14ac:dyDescent="0.25">
      <c r="A11712" t="str">
        <f>T("846210")</f>
        <v>846210</v>
      </c>
      <c r="B11712" t="str">
        <f>T("Machines, y.c. -les presses-, à forger ou à estamper, moutons, marteaux-pilons et martinets, pour le travail des métaux")</f>
        <v>Machines, y.c. -les presses-, à forger ou à estamper, moutons, marteaux-pilons et martinets, pour le travail des métaux</v>
      </c>
    </row>
    <row r="11713" spans="1:4" x14ac:dyDescent="0.25">
      <c r="A11713" t="str">
        <f>T("   ZZZ_Monde")</f>
        <v xml:space="preserve">   ZZZ_Monde</v>
      </c>
      <c r="B11713" t="str">
        <f>T("   ZZZ_Monde")</f>
        <v xml:space="preserve">   ZZZ_Monde</v>
      </c>
      <c r="C11713">
        <v>21349531</v>
      </c>
      <c r="D11713">
        <v>12996</v>
      </c>
    </row>
    <row r="11714" spans="1:4" x14ac:dyDescent="0.25">
      <c r="A11714" t="str">
        <f>T("   CN")</f>
        <v xml:space="preserve">   CN</v>
      </c>
      <c r="B11714" t="str">
        <f>T("   Chine")</f>
        <v xml:space="preserve">   Chine</v>
      </c>
      <c r="C11714">
        <v>15543629</v>
      </c>
      <c r="D11714">
        <v>12600</v>
      </c>
    </row>
    <row r="11715" spans="1:4" x14ac:dyDescent="0.25">
      <c r="A11715" t="str">
        <f>T("   DE")</f>
        <v xml:space="preserve">   DE</v>
      </c>
      <c r="B11715" t="str">
        <f>T("   Allemagne")</f>
        <v xml:space="preserve">   Allemagne</v>
      </c>
      <c r="C11715">
        <v>5805902</v>
      </c>
      <c r="D11715">
        <v>396</v>
      </c>
    </row>
    <row r="11716" spans="1:4" x14ac:dyDescent="0.25">
      <c r="A11716" t="str">
        <f>T("846229")</f>
        <v>846229</v>
      </c>
      <c r="B11716" t="str">
        <f>T("Machines, y.c. -les presses-, à rouler, cintrer, plier, dresser ou planer, pour le travail des métaux (autres qu'à commande numérique)")</f>
        <v>Machines, y.c. -les presses-, à rouler, cintrer, plier, dresser ou planer, pour le travail des métaux (autres qu'à commande numérique)</v>
      </c>
    </row>
    <row r="11717" spans="1:4" x14ac:dyDescent="0.25">
      <c r="A11717" t="str">
        <f>T("   ZZZ_Monde")</f>
        <v xml:space="preserve">   ZZZ_Monde</v>
      </c>
      <c r="B11717" t="str">
        <f>T("   ZZZ_Monde")</f>
        <v xml:space="preserve">   ZZZ_Monde</v>
      </c>
      <c r="C11717">
        <v>1384143</v>
      </c>
      <c r="D11717">
        <v>218</v>
      </c>
    </row>
    <row r="11718" spans="1:4" x14ac:dyDescent="0.25">
      <c r="A11718" t="str">
        <f>T("   CN")</f>
        <v xml:space="preserve">   CN</v>
      </c>
      <c r="B11718" t="str">
        <f>T("   Chine")</f>
        <v xml:space="preserve">   Chine</v>
      </c>
      <c r="C11718">
        <v>846053</v>
      </c>
      <c r="D11718">
        <v>200</v>
      </c>
    </row>
    <row r="11719" spans="1:4" x14ac:dyDescent="0.25">
      <c r="A11719" t="str">
        <f>T("   FR")</f>
        <v xml:space="preserve">   FR</v>
      </c>
      <c r="B11719" t="str">
        <f>T("   France")</f>
        <v xml:space="preserve">   France</v>
      </c>
      <c r="C11719">
        <v>538090</v>
      </c>
      <c r="D11719">
        <v>18</v>
      </c>
    </row>
    <row r="11720" spans="1:4" x14ac:dyDescent="0.25">
      <c r="A11720" t="str">
        <f>T("846239")</f>
        <v>846239</v>
      </c>
      <c r="B11720" t="str">
        <f>T("Machines, y.c. -les presses-, à cisailler, pour le travail des métaux (autres que les machines combinées à poinçonner et à cisailler et autres qu'à commande numérique)")</f>
        <v>Machines, y.c. -les presses-, à cisailler, pour le travail des métaux (autres que les machines combinées à poinçonner et à cisailler et autres qu'à commande numérique)</v>
      </c>
    </row>
    <row r="11721" spans="1:4" x14ac:dyDescent="0.25">
      <c r="A11721" t="str">
        <f>T("   ZZZ_Monde")</f>
        <v xml:space="preserve">   ZZZ_Monde</v>
      </c>
      <c r="B11721" t="str">
        <f>T("   ZZZ_Monde")</f>
        <v xml:space="preserve">   ZZZ_Monde</v>
      </c>
      <c r="C11721">
        <v>3891947</v>
      </c>
      <c r="D11721">
        <v>4800</v>
      </c>
    </row>
    <row r="11722" spans="1:4" x14ac:dyDescent="0.25">
      <c r="A11722" t="str">
        <f>T("   IT")</f>
        <v xml:space="preserve">   IT</v>
      </c>
      <c r="B11722" t="str">
        <f>T("   Italie")</f>
        <v xml:space="preserve">   Italie</v>
      </c>
      <c r="C11722">
        <v>3891947</v>
      </c>
      <c r="D11722">
        <v>4800</v>
      </c>
    </row>
    <row r="11723" spans="1:4" x14ac:dyDescent="0.25">
      <c r="A11723" t="str">
        <f>T("846249")</f>
        <v>846249</v>
      </c>
      <c r="B11723" t="str">
        <f>T("MACHINES, Y.C. -LES PRESSES-, À POINÇONNER OU À GRUGER, Y.C. LES MACHINES COMBINÉES À POINÇONNER ET À CISAILLER, POUR LE TRAVAIL DES MÉTAUX (AUTRES QU'À COMMANDE NUMÉRIQUE)")</f>
        <v>MACHINES, Y.C. -LES PRESSES-, À POINÇONNER OU À GRUGER, Y.C. LES MACHINES COMBINÉES À POINÇONNER ET À CISAILLER, POUR LE TRAVAIL DES MÉTAUX (AUTRES QU'À COMMANDE NUMÉRIQUE)</v>
      </c>
    </row>
    <row r="11724" spans="1:4" x14ac:dyDescent="0.25">
      <c r="A11724" t="str">
        <f>T("   ZZZ_Monde")</f>
        <v xml:space="preserve">   ZZZ_Monde</v>
      </c>
      <c r="B11724" t="str">
        <f>T("   ZZZ_Monde")</f>
        <v xml:space="preserve">   ZZZ_Monde</v>
      </c>
      <c r="C11724">
        <v>48541</v>
      </c>
      <c r="D11724">
        <v>8</v>
      </c>
    </row>
    <row r="11725" spans="1:4" x14ac:dyDescent="0.25">
      <c r="A11725" t="str">
        <f>T("   FR")</f>
        <v xml:space="preserve">   FR</v>
      </c>
      <c r="B11725" t="str">
        <f>T("   France")</f>
        <v xml:space="preserve">   France</v>
      </c>
      <c r="C11725">
        <v>48541</v>
      </c>
      <c r="D11725">
        <v>8</v>
      </c>
    </row>
    <row r="11726" spans="1:4" x14ac:dyDescent="0.25">
      <c r="A11726" t="str">
        <f>T("846291")</f>
        <v>846291</v>
      </c>
      <c r="B11726" t="str">
        <f>T("Presses hydrauliques pour le travail des métaux ou des carbures métalliques (à l'excl. des presses à forger, à rouler, à cintrer, à dresses ou à planer)")</f>
        <v>Presses hydrauliques pour le travail des métaux ou des carbures métalliques (à l'excl. des presses à forger, à rouler, à cintrer, à dresses ou à planer)</v>
      </c>
    </row>
    <row r="11727" spans="1:4" x14ac:dyDescent="0.25">
      <c r="A11727" t="str">
        <f>T("   ZZZ_Monde")</f>
        <v xml:space="preserve">   ZZZ_Monde</v>
      </c>
      <c r="B11727" t="str">
        <f>T("   ZZZ_Monde")</f>
        <v xml:space="preserve">   ZZZ_Monde</v>
      </c>
      <c r="C11727">
        <v>20618214</v>
      </c>
      <c r="D11727">
        <v>12150</v>
      </c>
    </row>
    <row r="11728" spans="1:4" x14ac:dyDescent="0.25">
      <c r="A11728" t="str">
        <f>T("   FR")</f>
        <v xml:space="preserve">   FR</v>
      </c>
      <c r="B11728" t="str">
        <f>T("   France")</f>
        <v xml:space="preserve">   France</v>
      </c>
      <c r="C11728">
        <v>1444214</v>
      </c>
      <c r="D11728">
        <v>150</v>
      </c>
    </row>
    <row r="11729" spans="1:4" x14ac:dyDescent="0.25">
      <c r="A11729" t="str">
        <f>T("   IN")</f>
        <v xml:space="preserve">   IN</v>
      </c>
      <c r="B11729" t="str">
        <f>T("   Inde")</f>
        <v xml:space="preserve">   Inde</v>
      </c>
      <c r="C11729">
        <v>19174000</v>
      </c>
      <c r="D11729">
        <v>12000</v>
      </c>
    </row>
    <row r="11730" spans="1:4" x14ac:dyDescent="0.25">
      <c r="A11730" t="str">
        <f>T("846299")</f>
        <v>846299</v>
      </c>
      <c r="B11730" t="str">
        <f>T("Presses autres qu'hydrauliques pour le travail des métaux (à l'excl. des presses à forger, à rouler, à cintrer, dresser ou planer)")</f>
        <v>Presses autres qu'hydrauliques pour le travail des métaux (à l'excl. des presses à forger, à rouler, à cintrer, dresser ou planer)</v>
      </c>
    </row>
    <row r="11731" spans="1:4" x14ac:dyDescent="0.25">
      <c r="A11731" t="str">
        <f>T("   ZZZ_Monde")</f>
        <v xml:space="preserve">   ZZZ_Monde</v>
      </c>
      <c r="B11731" t="str">
        <f>T("   ZZZ_Monde")</f>
        <v xml:space="preserve">   ZZZ_Monde</v>
      </c>
      <c r="C11731">
        <v>5460640</v>
      </c>
      <c r="D11731">
        <v>10950</v>
      </c>
    </row>
    <row r="11732" spans="1:4" x14ac:dyDescent="0.25">
      <c r="A11732" t="str">
        <f>T("   BE")</f>
        <v xml:space="preserve">   BE</v>
      </c>
      <c r="B11732" t="str">
        <f>T("   Belgique")</f>
        <v xml:space="preserve">   Belgique</v>
      </c>
      <c r="C11732">
        <v>637593</v>
      </c>
      <c r="D11732">
        <v>100</v>
      </c>
    </row>
    <row r="11733" spans="1:4" x14ac:dyDescent="0.25">
      <c r="A11733" t="str">
        <f>T("   DE")</f>
        <v xml:space="preserve">   DE</v>
      </c>
      <c r="B11733" t="str">
        <f>T("   Allemagne")</f>
        <v xml:space="preserve">   Allemagne</v>
      </c>
      <c r="C11733">
        <v>4823047</v>
      </c>
      <c r="D11733">
        <v>10850</v>
      </c>
    </row>
    <row r="11734" spans="1:4" x14ac:dyDescent="0.25">
      <c r="A11734" t="str">
        <f>T("846390")</f>
        <v>846390</v>
      </c>
      <c r="B11734" t="str">
        <f>T("Machines-outils pour le travail des métaux, des carbures métalliques frittés ou des cermets, sans enlèvement de matière (sauf machines à forger, à rouler, à cintrer, dresser ou planer; machines à cisailler, à poinçonner ou à gruger; presses; bancs à étire")</f>
        <v>Machines-outils pour le travail des métaux, des carbures métalliques frittés ou des cermets, sans enlèvement de matière (sauf machines à forger, à rouler, à cintrer, dresser ou planer; machines à cisailler, à poinçonner ou à gruger; presses; bancs à étire</v>
      </c>
    </row>
    <row r="11735" spans="1:4" x14ac:dyDescent="0.25">
      <c r="A11735" t="str">
        <f>T("   ZZZ_Monde")</f>
        <v xml:space="preserve">   ZZZ_Monde</v>
      </c>
      <c r="B11735" t="str">
        <f>T("   ZZZ_Monde")</f>
        <v xml:space="preserve">   ZZZ_Monde</v>
      </c>
      <c r="C11735">
        <v>600203</v>
      </c>
      <c r="D11735">
        <v>8000</v>
      </c>
    </row>
    <row r="11736" spans="1:4" x14ac:dyDescent="0.25">
      <c r="A11736" t="str">
        <f>T("   BE")</f>
        <v xml:space="preserve">   BE</v>
      </c>
      <c r="B11736" t="str">
        <f>T("   Belgique")</f>
        <v xml:space="preserve">   Belgique</v>
      </c>
      <c r="C11736">
        <v>600203</v>
      </c>
      <c r="D11736">
        <v>8000</v>
      </c>
    </row>
    <row r="11737" spans="1:4" x14ac:dyDescent="0.25">
      <c r="A11737" t="str">
        <f>T("846420")</f>
        <v>846420</v>
      </c>
      <c r="B11737" t="str">
        <f>T("Machines à meuler ou à polir pour le travail de la pierre, des produits céramiques, du béton, de l'amiante-ciment ou de matières minérales simil., ou pour le travail à froid du verre (à l'excl. des machines pour emploi à la main)")</f>
        <v>Machines à meuler ou à polir pour le travail de la pierre, des produits céramiques, du béton, de l'amiante-ciment ou de matières minérales simil., ou pour le travail à froid du verre (à l'excl. des machines pour emploi à la main)</v>
      </c>
    </row>
    <row r="11738" spans="1:4" x14ac:dyDescent="0.25">
      <c r="A11738" t="str">
        <f>T("   ZZZ_Monde")</f>
        <v xml:space="preserve">   ZZZ_Monde</v>
      </c>
      <c r="B11738" t="str">
        <f>T("   ZZZ_Monde")</f>
        <v xml:space="preserve">   ZZZ_Monde</v>
      </c>
      <c r="C11738">
        <v>9086</v>
      </c>
      <c r="D11738">
        <v>24</v>
      </c>
    </row>
    <row r="11739" spans="1:4" x14ac:dyDescent="0.25">
      <c r="A11739" t="str">
        <f>T("   LB")</f>
        <v xml:space="preserve">   LB</v>
      </c>
      <c r="B11739" t="str">
        <f>T("   Liban")</f>
        <v xml:space="preserve">   Liban</v>
      </c>
      <c r="C11739">
        <v>9086</v>
      </c>
      <c r="D11739">
        <v>24</v>
      </c>
    </row>
    <row r="11740" spans="1:4" x14ac:dyDescent="0.25">
      <c r="A11740" t="str">
        <f>T("846490")</f>
        <v>846490</v>
      </c>
      <c r="B11740" t="str">
        <f>T("Machines-outils pour le travail de la pierre, des produits céramiques, du béton, de l'amiante-ciment ou de matières minérales simil., ou pour le travail à froid du verre (autres qu'à scier, à meuler ou à polir et autres que les machines pour emploi à la m")</f>
        <v>Machines-outils pour le travail de la pierre, des produits céramiques, du béton, de l'amiante-ciment ou de matières minérales simil., ou pour le travail à froid du verre (autres qu'à scier, à meuler ou à polir et autres que les machines pour emploi à la m</v>
      </c>
    </row>
    <row r="11741" spans="1:4" x14ac:dyDescent="0.25">
      <c r="A11741" t="str">
        <f>T("   ZZZ_Monde")</f>
        <v xml:space="preserve">   ZZZ_Monde</v>
      </c>
      <c r="B11741" t="str">
        <f>T("   ZZZ_Monde")</f>
        <v xml:space="preserve">   ZZZ_Monde</v>
      </c>
      <c r="C11741">
        <v>17358999</v>
      </c>
      <c r="D11741">
        <v>7240</v>
      </c>
    </row>
    <row r="11742" spans="1:4" x14ac:dyDescent="0.25">
      <c r="A11742" t="str">
        <f>T("   CN")</f>
        <v xml:space="preserve">   CN</v>
      </c>
      <c r="B11742" t="str">
        <f>T("   Chine")</f>
        <v xml:space="preserve">   Chine</v>
      </c>
      <c r="C11742">
        <v>147640</v>
      </c>
      <c r="D11742">
        <v>176</v>
      </c>
    </row>
    <row r="11743" spans="1:4" x14ac:dyDescent="0.25">
      <c r="A11743" t="str">
        <f>T("   ES")</f>
        <v xml:space="preserve">   ES</v>
      </c>
      <c r="B11743" t="str">
        <f>T("   Espagne")</f>
        <v xml:space="preserve">   Espagne</v>
      </c>
      <c r="C11743">
        <v>16357018</v>
      </c>
      <c r="D11743">
        <v>6883</v>
      </c>
    </row>
    <row r="11744" spans="1:4" x14ac:dyDescent="0.25">
      <c r="A11744" t="str">
        <f>T("   FR")</f>
        <v xml:space="preserve">   FR</v>
      </c>
      <c r="B11744" t="str">
        <f>T("   France")</f>
        <v xml:space="preserve">   France</v>
      </c>
      <c r="C11744">
        <v>754341</v>
      </c>
      <c r="D11744">
        <v>81</v>
      </c>
    </row>
    <row r="11745" spans="1:4" x14ac:dyDescent="0.25">
      <c r="A11745" t="str">
        <f>T("   NG")</f>
        <v xml:space="preserve">   NG</v>
      </c>
      <c r="B11745" t="str">
        <f>T("   Nigéria")</f>
        <v xml:space="preserve">   Nigéria</v>
      </c>
      <c r="C11745">
        <v>100000</v>
      </c>
      <c r="D11745">
        <v>100</v>
      </c>
    </row>
    <row r="11746" spans="1:4" x14ac:dyDescent="0.25">
      <c r="A11746" t="str">
        <f>T("846591")</f>
        <v>846591</v>
      </c>
      <c r="B11746" t="str">
        <f>T("Machines à scier, pour le travail du bois, des matières plastiques dures, etc. (autres que pour emploi à la main)")</f>
        <v>Machines à scier, pour le travail du bois, des matières plastiques dures, etc. (autres que pour emploi à la main)</v>
      </c>
    </row>
    <row r="11747" spans="1:4" x14ac:dyDescent="0.25">
      <c r="A11747" t="str">
        <f>T("   ZZZ_Monde")</f>
        <v xml:space="preserve">   ZZZ_Monde</v>
      </c>
      <c r="B11747" t="str">
        <f>T("   ZZZ_Monde")</f>
        <v xml:space="preserve">   ZZZ_Monde</v>
      </c>
      <c r="C11747">
        <v>72690663</v>
      </c>
      <c r="D11747">
        <v>96482</v>
      </c>
    </row>
    <row r="11748" spans="1:4" x14ac:dyDescent="0.25">
      <c r="A11748" t="str">
        <f>T("   BE")</f>
        <v xml:space="preserve">   BE</v>
      </c>
      <c r="B11748" t="str">
        <f>T("   Belgique")</f>
        <v xml:space="preserve">   Belgique</v>
      </c>
      <c r="C11748">
        <v>1836688</v>
      </c>
      <c r="D11748">
        <v>1328</v>
      </c>
    </row>
    <row r="11749" spans="1:4" x14ac:dyDescent="0.25">
      <c r="A11749" t="str">
        <f>T("   CN")</f>
        <v xml:space="preserve">   CN</v>
      </c>
      <c r="B11749" t="str">
        <f>T("   Chine")</f>
        <v xml:space="preserve">   Chine</v>
      </c>
      <c r="C11749">
        <v>18715379</v>
      </c>
      <c r="D11749">
        <v>29600</v>
      </c>
    </row>
    <row r="11750" spans="1:4" x14ac:dyDescent="0.25">
      <c r="A11750" t="str">
        <f>T("   DE")</f>
        <v xml:space="preserve">   DE</v>
      </c>
      <c r="B11750" t="str">
        <f>T("   Allemagne")</f>
        <v xml:space="preserve">   Allemagne</v>
      </c>
      <c r="C11750">
        <v>23020981</v>
      </c>
      <c r="D11750">
        <v>40900</v>
      </c>
    </row>
    <row r="11751" spans="1:4" x14ac:dyDescent="0.25">
      <c r="A11751" t="str">
        <f>T("   DK")</f>
        <v xml:space="preserve">   DK</v>
      </c>
      <c r="B11751" t="str">
        <f>T("   Danemark")</f>
        <v xml:space="preserve">   Danemark</v>
      </c>
      <c r="C11751">
        <v>360122</v>
      </c>
      <c r="D11751">
        <v>614</v>
      </c>
    </row>
    <row r="11752" spans="1:4" x14ac:dyDescent="0.25">
      <c r="A11752" t="str">
        <f>T("   ES")</f>
        <v xml:space="preserve">   ES</v>
      </c>
      <c r="B11752" t="str">
        <f>T("   Espagne")</f>
        <v xml:space="preserve">   Espagne</v>
      </c>
      <c r="C11752">
        <v>500000</v>
      </c>
      <c r="D11752">
        <v>2100</v>
      </c>
    </row>
    <row r="11753" spans="1:4" x14ac:dyDescent="0.25">
      <c r="A11753" t="str">
        <f>T("   FR")</f>
        <v xml:space="preserve">   FR</v>
      </c>
      <c r="B11753" t="str">
        <f>T("   France")</f>
        <v xml:space="preserve">   France</v>
      </c>
      <c r="C11753">
        <v>7905382</v>
      </c>
      <c r="D11753">
        <v>1030</v>
      </c>
    </row>
    <row r="11754" spans="1:4" x14ac:dyDescent="0.25">
      <c r="A11754" t="str">
        <f>T("   IN")</f>
        <v xml:space="preserve">   IN</v>
      </c>
      <c r="B11754" t="str">
        <f>T("   Inde")</f>
        <v xml:space="preserve">   Inde</v>
      </c>
      <c r="C11754">
        <v>15966836</v>
      </c>
      <c r="D11754">
        <v>5430</v>
      </c>
    </row>
    <row r="11755" spans="1:4" x14ac:dyDescent="0.25">
      <c r="A11755" t="str">
        <f>T("   IT")</f>
        <v xml:space="preserve">   IT</v>
      </c>
      <c r="B11755" t="str">
        <f>T("   Italie")</f>
        <v xml:space="preserve">   Italie</v>
      </c>
      <c r="C11755">
        <v>85275</v>
      </c>
      <c r="D11755">
        <v>1300</v>
      </c>
    </row>
    <row r="11756" spans="1:4" x14ac:dyDescent="0.25">
      <c r="A11756" t="str">
        <f>T("   TG")</f>
        <v xml:space="preserve">   TG</v>
      </c>
      <c r="B11756" t="str">
        <f>T("   Togo")</f>
        <v xml:space="preserve">   Togo</v>
      </c>
      <c r="C11756">
        <v>4300000</v>
      </c>
      <c r="D11756">
        <v>14180</v>
      </c>
    </row>
    <row r="11757" spans="1:4" x14ac:dyDescent="0.25">
      <c r="A11757" t="str">
        <f>T("846592")</f>
        <v>846592</v>
      </c>
      <c r="B11757" t="str">
        <f>T("Machines à dégauchir ou à raboter; machines à fraiser ou à moulurer, pour le travail du bois, des matières plastiques dures, etc. (autres que les machines pour emploi à la main et les machines pouvant effectuer différents types d'opérations d'usinage sans")</f>
        <v>Machines à dégauchir ou à raboter; machines à fraiser ou à moulurer, pour le travail du bois, des matières plastiques dures, etc. (autres que les machines pour emploi à la main et les machines pouvant effectuer différents types d'opérations d'usinage sans</v>
      </c>
    </row>
    <row r="11758" spans="1:4" x14ac:dyDescent="0.25">
      <c r="A11758" t="str">
        <f>T("   ZZZ_Monde")</f>
        <v xml:space="preserve">   ZZZ_Monde</v>
      </c>
      <c r="B11758" t="str">
        <f>T("   ZZZ_Monde")</f>
        <v xml:space="preserve">   ZZZ_Monde</v>
      </c>
      <c r="C11758">
        <v>822963</v>
      </c>
      <c r="D11758">
        <v>770</v>
      </c>
    </row>
    <row r="11759" spans="1:4" x14ac:dyDescent="0.25">
      <c r="A11759" t="str">
        <f>T("   BE")</f>
        <v xml:space="preserve">   BE</v>
      </c>
      <c r="B11759" t="str">
        <f>T("   Belgique")</f>
        <v xml:space="preserve">   Belgique</v>
      </c>
      <c r="C11759">
        <v>787153</v>
      </c>
      <c r="D11759">
        <v>520</v>
      </c>
    </row>
    <row r="11760" spans="1:4" x14ac:dyDescent="0.25">
      <c r="A11760" t="str">
        <f>T("   TG")</f>
        <v xml:space="preserve">   TG</v>
      </c>
      <c r="B11760" t="str">
        <f>T("   Togo")</f>
        <v xml:space="preserve">   Togo</v>
      </c>
      <c r="C11760">
        <v>35810</v>
      </c>
      <c r="D11760">
        <v>250</v>
      </c>
    </row>
    <row r="11761" spans="1:4" x14ac:dyDescent="0.25">
      <c r="A11761" t="str">
        <f>T("846593")</f>
        <v>846593</v>
      </c>
      <c r="B11761" t="str">
        <f>T("Machines à meuler, à poncer ou à polir, pour le travail du bois, des matières plastiques dures, etc. (autres que machines pour emploi à la main)")</f>
        <v>Machines à meuler, à poncer ou à polir, pour le travail du bois, des matières plastiques dures, etc. (autres que machines pour emploi à la main)</v>
      </c>
    </row>
    <row r="11762" spans="1:4" x14ac:dyDescent="0.25">
      <c r="A11762" t="str">
        <f>T("   ZZZ_Monde")</f>
        <v xml:space="preserve">   ZZZ_Monde</v>
      </c>
      <c r="B11762" t="str">
        <f>T("   ZZZ_Monde")</f>
        <v xml:space="preserve">   ZZZ_Monde</v>
      </c>
      <c r="C11762">
        <v>1541658</v>
      </c>
      <c r="D11762">
        <v>1337.61</v>
      </c>
    </row>
    <row r="11763" spans="1:4" x14ac:dyDescent="0.25">
      <c r="A11763" t="str">
        <f>T("   BE")</f>
        <v xml:space="preserve">   BE</v>
      </c>
      <c r="B11763" t="str">
        <f>T("   Belgique")</f>
        <v xml:space="preserve">   Belgique</v>
      </c>
      <c r="C11763">
        <v>1180728</v>
      </c>
      <c r="D11763">
        <v>785</v>
      </c>
    </row>
    <row r="11764" spans="1:4" x14ac:dyDescent="0.25">
      <c r="A11764" t="str">
        <f>T("   FR")</f>
        <v xml:space="preserve">   FR</v>
      </c>
      <c r="B11764" t="str">
        <f>T("   France")</f>
        <v xml:space="preserve">   France</v>
      </c>
      <c r="C11764">
        <v>271404</v>
      </c>
      <c r="D11764">
        <v>112.61</v>
      </c>
    </row>
    <row r="11765" spans="1:4" x14ac:dyDescent="0.25">
      <c r="A11765" t="str">
        <f>T("   TG")</f>
        <v xml:space="preserve">   TG</v>
      </c>
      <c r="B11765" t="str">
        <f>T("   Togo")</f>
        <v xml:space="preserve">   Togo</v>
      </c>
      <c r="C11765">
        <v>89526</v>
      </c>
      <c r="D11765">
        <v>440</v>
      </c>
    </row>
    <row r="11766" spans="1:4" x14ac:dyDescent="0.25">
      <c r="A11766" t="str">
        <f>T("846595")</f>
        <v>846595</v>
      </c>
      <c r="B11766" t="str">
        <f>T("Machines à percer ou à mortaiser, pour le travail du bois, des matières plastiques dures, etc. (autres que machines pour emploi à la main et les machines pouvant effectuer différents types d'opération d'usinage sans changement d'outils entre les opération")</f>
        <v>Machines à percer ou à mortaiser, pour le travail du bois, des matières plastiques dures, etc. (autres que machines pour emploi à la main et les machines pouvant effectuer différents types d'opération d'usinage sans changement d'outils entre les opération</v>
      </c>
    </row>
    <row r="11767" spans="1:4" x14ac:dyDescent="0.25">
      <c r="A11767" t="str">
        <f>T("   ZZZ_Monde")</f>
        <v xml:space="preserve">   ZZZ_Monde</v>
      </c>
      <c r="B11767" t="str">
        <f>T("   ZZZ_Monde")</f>
        <v xml:space="preserve">   ZZZ_Monde</v>
      </c>
      <c r="C11767">
        <v>8087987</v>
      </c>
      <c r="D11767">
        <v>11950</v>
      </c>
    </row>
    <row r="11768" spans="1:4" x14ac:dyDescent="0.25">
      <c r="A11768" t="str">
        <f>T("   BE")</f>
        <v xml:space="preserve">   BE</v>
      </c>
      <c r="B11768" t="str">
        <f>T("   Belgique")</f>
        <v xml:space="preserve">   Belgique</v>
      </c>
      <c r="C11768">
        <v>1500181</v>
      </c>
      <c r="D11768">
        <v>1000</v>
      </c>
    </row>
    <row r="11769" spans="1:4" x14ac:dyDescent="0.25">
      <c r="A11769" t="str">
        <f>T("   FR")</f>
        <v xml:space="preserve">   FR</v>
      </c>
      <c r="B11769" t="str">
        <f>T("   France")</f>
        <v xml:space="preserve">   France</v>
      </c>
      <c r="C11769">
        <v>1340126</v>
      </c>
      <c r="D11769">
        <v>950</v>
      </c>
    </row>
    <row r="11770" spans="1:4" x14ac:dyDescent="0.25">
      <c r="A11770" t="str">
        <f>T("   TG")</f>
        <v xml:space="preserve">   TG</v>
      </c>
      <c r="B11770" t="str">
        <f>T("   Togo")</f>
        <v xml:space="preserve">   Togo</v>
      </c>
      <c r="C11770">
        <v>5247680</v>
      </c>
      <c r="D11770">
        <v>10000</v>
      </c>
    </row>
    <row r="11771" spans="1:4" x14ac:dyDescent="0.25">
      <c r="A11771" t="str">
        <f>T("846599")</f>
        <v>846599</v>
      </c>
      <c r="B11771" t="str">
        <f>T("Machines-outils pour le travail du bois, des matières plastiques dures, etc. (sauf outillage à main, machines pouvant effectuer différents types d'opérations d'usinage sans changement d'outils entre les opérations; machines à scier, à dégauchir ou à rabot")</f>
        <v>Machines-outils pour le travail du bois, des matières plastiques dures, etc. (sauf outillage à main, machines pouvant effectuer différents types d'opérations d'usinage sans changement d'outils entre les opérations; machines à scier, à dégauchir ou à rabot</v>
      </c>
    </row>
    <row r="11772" spans="1:4" x14ac:dyDescent="0.25">
      <c r="A11772" t="str">
        <f>T("   ZZZ_Monde")</f>
        <v xml:space="preserve">   ZZZ_Monde</v>
      </c>
      <c r="B11772" t="str">
        <f>T("   ZZZ_Monde")</f>
        <v xml:space="preserve">   ZZZ_Monde</v>
      </c>
      <c r="C11772">
        <v>55882409</v>
      </c>
      <c r="D11772">
        <v>51159.89</v>
      </c>
    </row>
    <row r="11773" spans="1:4" x14ac:dyDescent="0.25">
      <c r="A11773" t="str">
        <f>T("   BE")</f>
        <v xml:space="preserve">   BE</v>
      </c>
      <c r="B11773" t="str">
        <f>T("   Belgique")</f>
        <v xml:space="preserve">   Belgique</v>
      </c>
      <c r="C11773">
        <v>983940</v>
      </c>
      <c r="D11773">
        <v>555</v>
      </c>
    </row>
    <row r="11774" spans="1:4" x14ac:dyDescent="0.25">
      <c r="A11774" t="str">
        <f>T("   FR")</f>
        <v xml:space="preserve">   FR</v>
      </c>
      <c r="B11774" t="str">
        <f>T("   France")</f>
        <v xml:space="preserve">   France</v>
      </c>
      <c r="C11774">
        <v>4207549</v>
      </c>
      <c r="D11774">
        <v>5290.39</v>
      </c>
    </row>
    <row r="11775" spans="1:4" x14ac:dyDescent="0.25">
      <c r="A11775" t="str">
        <f>T("   IN")</f>
        <v xml:space="preserve">   IN</v>
      </c>
      <c r="B11775" t="str">
        <f>T("   Inde")</f>
        <v xml:space="preserve">   Inde</v>
      </c>
      <c r="C11775">
        <v>35192902</v>
      </c>
      <c r="D11775">
        <v>16930</v>
      </c>
    </row>
    <row r="11776" spans="1:4" x14ac:dyDescent="0.25">
      <c r="A11776" t="str">
        <f>T("   IT")</f>
        <v xml:space="preserve">   IT</v>
      </c>
      <c r="B11776" t="str">
        <f>T("   Italie")</f>
        <v xml:space="preserve">   Italie</v>
      </c>
      <c r="C11776">
        <v>15215418</v>
      </c>
      <c r="D11776">
        <v>28222</v>
      </c>
    </row>
    <row r="11777" spans="1:4" x14ac:dyDescent="0.25">
      <c r="A11777" t="str">
        <f>T("   VN")</f>
        <v xml:space="preserve">   VN</v>
      </c>
      <c r="B11777" t="str">
        <f>T("   Vietnam")</f>
        <v xml:space="preserve">   Vietnam</v>
      </c>
      <c r="C11777">
        <v>282600</v>
      </c>
      <c r="D11777">
        <v>162.5</v>
      </c>
    </row>
    <row r="11778" spans="1:4" x14ac:dyDescent="0.25">
      <c r="A11778" t="str">
        <f>T("846691")</f>
        <v>846691</v>
      </c>
      <c r="B11778" t="str">
        <f>T("Parties et accessoires pour machines-outils pour le travail de la pierre, des produits céramiques, du béton, etc., y.c. le travail à froid du verre, n.d.a.")</f>
        <v>Parties et accessoires pour machines-outils pour le travail de la pierre, des produits céramiques, du béton, etc., y.c. le travail à froid du verre, n.d.a.</v>
      </c>
    </row>
    <row r="11779" spans="1:4" x14ac:dyDescent="0.25">
      <c r="A11779" t="str">
        <f>T("   ZZZ_Monde")</f>
        <v xml:space="preserve">   ZZZ_Monde</v>
      </c>
      <c r="B11779" t="str">
        <f>T("   ZZZ_Monde")</f>
        <v xml:space="preserve">   ZZZ_Monde</v>
      </c>
      <c r="C11779">
        <v>27640023</v>
      </c>
      <c r="D11779">
        <v>12662</v>
      </c>
    </row>
    <row r="11780" spans="1:4" x14ac:dyDescent="0.25">
      <c r="A11780" t="str">
        <f>T("   CN")</f>
        <v xml:space="preserve">   CN</v>
      </c>
      <c r="B11780" t="str">
        <f>T("   Chine")</f>
        <v xml:space="preserve">   Chine</v>
      </c>
      <c r="C11780">
        <v>22352493</v>
      </c>
      <c r="D11780">
        <v>5640</v>
      </c>
    </row>
    <row r="11781" spans="1:4" x14ac:dyDescent="0.25">
      <c r="A11781" t="str">
        <f>T("   ES")</f>
        <v xml:space="preserve">   ES</v>
      </c>
      <c r="B11781" t="str">
        <f>T("   Espagne")</f>
        <v xml:space="preserve">   Espagne</v>
      </c>
      <c r="C11781">
        <v>3229947</v>
      </c>
      <c r="D11781">
        <v>473</v>
      </c>
    </row>
    <row r="11782" spans="1:4" x14ac:dyDescent="0.25">
      <c r="A11782" t="str">
        <f>T("   FR")</f>
        <v xml:space="preserve">   FR</v>
      </c>
      <c r="B11782" t="str">
        <f>T("   France")</f>
        <v xml:space="preserve">   France</v>
      </c>
      <c r="C11782">
        <v>2057583</v>
      </c>
      <c r="D11782">
        <v>6549</v>
      </c>
    </row>
    <row r="11783" spans="1:4" x14ac:dyDescent="0.25">
      <c r="A11783" t="str">
        <f>T("846692")</f>
        <v>846692</v>
      </c>
      <c r="B11783" t="str">
        <f>T("Parties et accessoires pour machines-outils pour le travail du bois, des matières plastiques dures, etc., n.d.a.")</f>
        <v>Parties et accessoires pour machines-outils pour le travail du bois, des matières plastiques dures, etc., n.d.a.</v>
      </c>
    </row>
    <row r="11784" spans="1:4" x14ac:dyDescent="0.25">
      <c r="A11784" t="str">
        <f>T("   ZZZ_Monde")</f>
        <v xml:space="preserve">   ZZZ_Monde</v>
      </c>
      <c r="B11784" t="str">
        <f>T("   ZZZ_Monde")</f>
        <v xml:space="preserve">   ZZZ_Monde</v>
      </c>
      <c r="C11784">
        <v>5544057</v>
      </c>
      <c r="D11784">
        <v>5430</v>
      </c>
    </row>
    <row r="11785" spans="1:4" x14ac:dyDescent="0.25">
      <c r="A11785" t="str">
        <f>T("   IN")</f>
        <v xml:space="preserve">   IN</v>
      </c>
      <c r="B11785" t="str">
        <f>T("   Inde")</f>
        <v xml:space="preserve">   Inde</v>
      </c>
      <c r="C11785">
        <v>5544057</v>
      </c>
      <c r="D11785">
        <v>5430</v>
      </c>
    </row>
    <row r="11786" spans="1:4" x14ac:dyDescent="0.25">
      <c r="A11786" t="str">
        <f>T("846693")</f>
        <v>846693</v>
      </c>
      <c r="B11786" t="str">
        <f>T("Parties et accessoires pour machines-outils pour le travail du métal avec enlèvement de métal, n.d.a.")</f>
        <v>Parties et accessoires pour machines-outils pour le travail du métal avec enlèvement de métal, n.d.a.</v>
      </c>
    </row>
    <row r="11787" spans="1:4" x14ac:dyDescent="0.25">
      <c r="A11787" t="str">
        <f>T("   ZZZ_Monde")</f>
        <v xml:space="preserve">   ZZZ_Monde</v>
      </c>
      <c r="B11787" t="str">
        <f>T("   ZZZ_Monde")</f>
        <v xml:space="preserve">   ZZZ_Monde</v>
      </c>
      <c r="C11787">
        <v>21953112</v>
      </c>
      <c r="D11787">
        <v>763</v>
      </c>
    </row>
    <row r="11788" spans="1:4" x14ac:dyDescent="0.25">
      <c r="A11788" t="str">
        <f>T("   FR")</f>
        <v xml:space="preserve">   FR</v>
      </c>
      <c r="B11788" t="str">
        <f>T("   France")</f>
        <v xml:space="preserve">   France</v>
      </c>
      <c r="C11788">
        <v>21953112</v>
      </c>
      <c r="D11788">
        <v>763</v>
      </c>
    </row>
    <row r="11789" spans="1:4" x14ac:dyDescent="0.25">
      <c r="A11789" t="str">
        <f>T("846694")</f>
        <v>846694</v>
      </c>
      <c r="B11789" t="str">
        <f>T("Parties et accessoires pour machines-outils pour le travail du métal avec enlèvement de matière, n.d.a.")</f>
        <v>Parties et accessoires pour machines-outils pour le travail du métal avec enlèvement de matière, n.d.a.</v>
      </c>
    </row>
    <row r="11790" spans="1:4" x14ac:dyDescent="0.25">
      <c r="A11790" t="str">
        <f>T("   ZZZ_Monde")</f>
        <v xml:space="preserve">   ZZZ_Monde</v>
      </c>
      <c r="B11790" t="str">
        <f>T("   ZZZ_Monde")</f>
        <v xml:space="preserve">   ZZZ_Monde</v>
      </c>
      <c r="C11790">
        <v>108863686</v>
      </c>
      <c r="D11790">
        <v>3626</v>
      </c>
    </row>
    <row r="11791" spans="1:4" x14ac:dyDescent="0.25">
      <c r="A11791" t="str">
        <f>T("   AF")</f>
        <v xml:space="preserve">   AF</v>
      </c>
      <c r="B11791" t="str">
        <f>T("   Afghanistan")</f>
        <v xml:space="preserve">   Afghanistan</v>
      </c>
      <c r="C11791">
        <v>6708458</v>
      </c>
      <c r="D11791">
        <v>81</v>
      </c>
    </row>
    <row r="11792" spans="1:4" x14ac:dyDescent="0.25">
      <c r="A11792" t="str">
        <f>T("   DE")</f>
        <v xml:space="preserve">   DE</v>
      </c>
      <c r="B11792" t="str">
        <f>T("   Allemagne")</f>
        <v xml:space="preserve">   Allemagne</v>
      </c>
      <c r="C11792">
        <v>92189100</v>
      </c>
      <c r="D11792">
        <v>1660</v>
      </c>
    </row>
    <row r="11793" spans="1:4" x14ac:dyDescent="0.25">
      <c r="A11793" t="str">
        <f>T("   FR")</f>
        <v xml:space="preserve">   FR</v>
      </c>
      <c r="B11793" t="str">
        <f>T("   France")</f>
        <v xml:space="preserve">   France</v>
      </c>
      <c r="C11793">
        <v>2322351</v>
      </c>
      <c r="D11793">
        <v>1488</v>
      </c>
    </row>
    <row r="11794" spans="1:4" x14ac:dyDescent="0.25">
      <c r="A11794" t="str">
        <f>T("   IT")</f>
        <v xml:space="preserve">   IT</v>
      </c>
      <c r="B11794" t="str">
        <f>T("   Italie")</f>
        <v xml:space="preserve">   Italie</v>
      </c>
      <c r="C11794">
        <v>5826768</v>
      </c>
      <c r="D11794">
        <v>227</v>
      </c>
    </row>
    <row r="11795" spans="1:4" x14ac:dyDescent="0.25">
      <c r="A11795" t="str">
        <f>T("   LB")</f>
        <v xml:space="preserve">   LB</v>
      </c>
      <c r="B11795" t="str">
        <f>T("   Liban")</f>
        <v xml:space="preserve">   Liban</v>
      </c>
      <c r="C11795">
        <v>1817009</v>
      </c>
      <c r="D11795">
        <v>170</v>
      </c>
    </row>
    <row r="11796" spans="1:4" x14ac:dyDescent="0.25">
      <c r="A11796" t="str">
        <f>T("846711")</f>
        <v>846711</v>
      </c>
      <c r="B11796" t="str">
        <f>T("Outils pneumatiques pour emploi à la main, rotatifs, -même à percussion-")</f>
        <v>Outils pneumatiques pour emploi à la main, rotatifs, -même à percussion-</v>
      </c>
    </row>
    <row r="11797" spans="1:4" x14ac:dyDescent="0.25">
      <c r="A11797" t="str">
        <f>T("   ZZZ_Monde")</f>
        <v xml:space="preserve">   ZZZ_Monde</v>
      </c>
      <c r="B11797" t="str">
        <f>T("   ZZZ_Monde")</f>
        <v xml:space="preserve">   ZZZ_Monde</v>
      </c>
      <c r="C11797">
        <v>404989</v>
      </c>
      <c r="D11797">
        <v>792</v>
      </c>
    </row>
    <row r="11798" spans="1:4" x14ac:dyDescent="0.25">
      <c r="A11798" t="str">
        <f>T("   DE")</f>
        <v xml:space="preserve">   DE</v>
      </c>
      <c r="B11798" t="str">
        <f>T("   Allemagne")</f>
        <v xml:space="preserve">   Allemagne</v>
      </c>
      <c r="C11798">
        <v>208201</v>
      </c>
      <c r="D11798">
        <v>40</v>
      </c>
    </row>
    <row r="11799" spans="1:4" x14ac:dyDescent="0.25">
      <c r="A11799" t="str">
        <f>T("   FR")</f>
        <v xml:space="preserve">   FR</v>
      </c>
      <c r="B11799" t="str">
        <f>T("   France")</f>
        <v xml:space="preserve">   France</v>
      </c>
      <c r="C11799">
        <v>196788</v>
      </c>
      <c r="D11799">
        <v>752</v>
      </c>
    </row>
    <row r="11800" spans="1:4" x14ac:dyDescent="0.25">
      <c r="A11800" t="str">
        <f>T("846719")</f>
        <v>846719</v>
      </c>
      <c r="B11800" t="str">
        <f>T("OUTILS PNEUMATIQUES, POUR EMPLOI À LA MAIN (À L'EXCL. DES OUTILS ROTATIFS) [01/01/1988-31/12/1994: OUTILS PNEUMATIQUES POUR EMPLOI A LA MAIN, AUTRES QUE ROTATIFS]")</f>
        <v>OUTILS PNEUMATIQUES, POUR EMPLOI À LA MAIN (À L'EXCL. DES OUTILS ROTATIFS) [01/01/1988-31/12/1994: OUTILS PNEUMATIQUES POUR EMPLOI A LA MAIN, AUTRES QUE ROTATIFS]</v>
      </c>
    </row>
    <row r="11801" spans="1:4" x14ac:dyDescent="0.25">
      <c r="A11801" t="str">
        <f>T("   ZZZ_Monde")</f>
        <v xml:space="preserve">   ZZZ_Monde</v>
      </c>
      <c r="B11801" t="str">
        <f>T("   ZZZ_Monde")</f>
        <v xml:space="preserve">   ZZZ_Monde</v>
      </c>
      <c r="C11801">
        <v>4793557</v>
      </c>
      <c r="D11801">
        <v>1830</v>
      </c>
    </row>
    <row r="11802" spans="1:4" x14ac:dyDescent="0.25">
      <c r="A11802" t="str">
        <f>T("   FR")</f>
        <v xml:space="preserve">   FR</v>
      </c>
      <c r="B11802" t="str">
        <f>T("   France")</f>
        <v xml:space="preserve">   France</v>
      </c>
      <c r="C11802">
        <v>3056119</v>
      </c>
      <c r="D11802">
        <v>675</v>
      </c>
    </row>
    <row r="11803" spans="1:4" x14ac:dyDescent="0.25">
      <c r="A11803" t="str">
        <f>T("   NL")</f>
        <v xml:space="preserve">   NL</v>
      </c>
      <c r="B11803" t="str">
        <f>T("   Pays-bas")</f>
        <v xml:space="preserve">   Pays-bas</v>
      </c>
      <c r="C11803">
        <v>1737438</v>
      </c>
      <c r="D11803">
        <v>1155</v>
      </c>
    </row>
    <row r="11804" spans="1:4" x14ac:dyDescent="0.25">
      <c r="A11804" t="str">
        <f>T("846721")</f>
        <v>846721</v>
      </c>
      <c r="B11804" t="str">
        <f>T("Perceuses à moteur électrique incorporé, pour emploi à la main, y.c. les perforatrices rotatives")</f>
        <v>Perceuses à moteur électrique incorporé, pour emploi à la main, y.c. les perforatrices rotatives</v>
      </c>
    </row>
    <row r="11805" spans="1:4" x14ac:dyDescent="0.25">
      <c r="A11805" t="str">
        <f>T("   ZZZ_Monde")</f>
        <v xml:space="preserve">   ZZZ_Monde</v>
      </c>
      <c r="B11805" t="str">
        <f>T("   ZZZ_Monde")</f>
        <v xml:space="preserve">   ZZZ_Monde</v>
      </c>
      <c r="C11805">
        <v>22656993</v>
      </c>
      <c r="D11805">
        <v>5697</v>
      </c>
    </row>
    <row r="11806" spans="1:4" x14ac:dyDescent="0.25">
      <c r="A11806" t="str">
        <f>T("   DE")</f>
        <v xml:space="preserve">   DE</v>
      </c>
      <c r="B11806" t="str">
        <f>T("   Allemagne")</f>
        <v xml:space="preserve">   Allemagne</v>
      </c>
      <c r="C11806">
        <v>9251800</v>
      </c>
      <c r="D11806">
        <v>59</v>
      </c>
    </row>
    <row r="11807" spans="1:4" x14ac:dyDescent="0.25">
      <c r="A11807" t="str">
        <f>T("   ES")</f>
        <v xml:space="preserve">   ES</v>
      </c>
      <c r="B11807" t="str">
        <f>T("   Espagne")</f>
        <v xml:space="preserve">   Espagne</v>
      </c>
      <c r="C11807">
        <v>133160</v>
      </c>
      <c r="D11807">
        <v>4</v>
      </c>
    </row>
    <row r="11808" spans="1:4" x14ac:dyDescent="0.25">
      <c r="A11808" t="str">
        <f>T("   FR")</f>
        <v xml:space="preserve">   FR</v>
      </c>
      <c r="B11808" t="str">
        <f>T("   France")</f>
        <v xml:space="preserve">   France</v>
      </c>
      <c r="C11808">
        <v>12959488</v>
      </c>
      <c r="D11808">
        <v>5270</v>
      </c>
    </row>
    <row r="11809" spans="1:4" x14ac:dyDescent="0.25">
      <c r="A11809" t="str">
        <f>T("   LB")</f>
        <v xml:space="preserve">   LB</v>
      </c>
      <c r="B11809" t="str">
        <f>T("   Liban")</f>
        <v xml:space="preserve">   Liban</v>
      </c>
      <c r="C11809">
        <v>312545</v>
      </c>
      <c r="D11809">
        <v>364</v>
      </c>
    </row>
    <row r="11810" spans="1:4" x14ac:dyDescent="0.25">
      <c r="A11810" t="str">
        <f>T("846722")</f>
        <v>846722</v>
      </c>
      <c r="B11810" t="str">
        <f>T("Scies et tronçonneuses, à moteur électrique incorporé, pour emploi à la main")</f>
        <v>Scies et tronçonneuses, à moteur électrique incorporé, pour emploi à la main</v>
      </c>
    </row>
    <row r="11811" spans="1:4" x14ac:dyDescent="0.25">
      <c r="A11811" t="str">
        <f>T("   ZZZ_Monde")</f>
        <v xml:space="preserve">   ZZZ_Monde</v>
      </c>
      <c r="B11811" t="str">
        <f>T("   ZZZ_Monde")</f>
        <v xml:space="preserve">   ZZZ_Monde</v>
      </c>
      <c r="C11811">
        <v>4057113</v>
      </c>
      <c r="D11811">
        <v>1014</v>
      </c>
    </row>
    <row r="11812" spans="1:4" x14ac:dyDescent="0.25">
      <c r="A11812" t="str">
        <f>T("   ES")</f>
        <v xml:space="preserve">   ES</v>
      </c>
      <c r="B11812" t="str">
        <f>T("   Espagne")</f>
        <v xml:space="preserve">   Espagne</v>
      </c>
      <c r="C11812">
        <v>173174</v>
      </c>
      <c r="D11812">
        <v>5</v>
      </c>
    </row>
    <row r="11813" spans="1:4" x14ac:dyDescent="0.25">
      <c r="A11813" t="str">
        <f>T("   FR")</f>
        <v xml:space="preserve">   FR</v>
      </c>
      <c r="B11813" t="str">
        <f>T("   France")</f>
        <v xml:space="preserve">   France</v>
      </c>
      <c r="C11813">
        <v>2228296</v>
      </c>
      <c r="D11813">
        <v>334</v>
      </c>
    </row>
    <row r="11814" spans="1:4" x14ac:dyDescent="0.25">
      <c r="A11814" t="str">
        <f>T("   TR")</f>
        <v xml:space="preserve">   TR</v>
      </c>
      <c r="B11814" t="str">
        <f>T("   Turquie")</f>
        <v xml:space="preserve">   Turquie</v>
      </c>
      <c r="C11814">
        <v>1655643</v>
      </c>
      <c r="D11814">
        <v>675</v>
      </c>
    </row>
    <row r="11815" spans="1:4" x14ac:dyDescent="0.25">
      <c r="A11815" t="str">
        <f>T("846729")</f>
        <v>846729</v>
      </c>
      <c r="B11815" t="str">
        <f>T("Outils électromécaniques à moteur électrique incorporé, pour emploi à la main (autres que scies et perceuses)")</f>
        <v>Outils électromécaniques à moteur électrique incorporé, pour emploi à la main (autres que scies et perceuses)</v>
      </c>
    </row>
    <row r="11816" spans="1:4" x14ac:dyDescent="0.25">
      <c r="A11816" t="str">
        <f>T("   ZZZ_Monde")</f>
        <v xml:space="preserve">   ZZZ_Monde</v>
      </c>
      <c r="B11816" t="str">
        <f>T("   ZZZ_Monde")</f>
        <v xml:space="preserve">   ZZZ_Monde</v>
      </c>
      <c r="C11816">
        <v>16812906</v>
      </c>
      <c r="D11816">
        <v>18717</v>
      </c>
    </row>
    <row r="11817" spans="1:4" x14ac:dyDescent="0.25">
      <c r="A11817" t="str">
        <f>T("   CN")</f>
        <v xml:space="preserve">   CN</v>
      </c>
      <c r="B11817" t="str">
        <f>T("   Chine")</f>
        <v xml:space="preserve">   Chine</v>
      </c>
      <c r="C11817">
        <v>12466417</v>
      </c>
      <c r="D11817">
        <v>16879</v>
      </c>
    </row>
    <row r="11818" spans="1:4" x14ac:dyDescent="0.25">
      <c r="A11818" t="str">
        <f>T("   FR")</f>
        <v xml:space="preserve">   FR</v>
      </c>
      <c r="B11818" t="str">
        <f>T("   France")</f>
        <v xml:space="preserve">   France</v>
      </c>
      <c r="C11818">
        <v>3727045</v>
      </c>
      <c r="D11818">
        <v>608</v>
      </c>
    </row>
    <row r="11819" spans="1:4" x14ac:dyDescent="0.25">
      <c r="A11819" t="str">
        <f>T("   LB")</f>
        <v xml:space="preserve">   LB</v>
      </c>
      <c r="B11819" t="str">
        <f>T("   Liban")</f>
        <v xml:space="preserve">   Liban</v>
      </c>
      <c r="C11819">
        <v>619444</v>
      </c>
      <c r="D11819">
        <v>1230</v>
      </c>
    </row>
    <row r="11820" spans="1:4" x14ac:dyDescent="0.25">
      <c r="A11820" t="str">
        <f>T("846781")</f>
        <v>846781</v>
      </c>
      <c r="B11820" t="str">
        <f>T("Tronçonneuses à chaîne pour emploi à la main, à moteur non électrique incorporé")</f>
        <v>Tronçonneuses à chaîne pour emploi à la main, à moteur non électrique incorporé</v>
      </c>
    </row>
    <row r="11821" spans="1:4" x14ac:dyDescent="0.25">
      <c r="A11821" t="str">
        <f>T("   ZZZ_Monde")</f>
        <v xml:space="preserve">   ZZZ_Monde</v>
      </c>
      <c r="B11821" t="str">
        <f>T("   ZZZ_Monde")</f>
        <v xml:space="preserve">   ZZZ_Monde</v>
      </c>
      <c r="C11821">
        <v>288707</v>
      </c>
      <c r="D11821">
        <v>192</v>
      </c>
    </row>
    <row r="11822" spans="1:4" x14ac:dyDescent="0.25">
      <c r="A11822" t="str">
        <f>T("   NL")</f>
        <v xml:space="preserve">   NL</v>
      </c>
      <c r="B11822" t="str">
        <f>T("   Pays-bas")</f>
        <v xml:space="preserve">   Pays-bas</v>
      </c>
      <c r="C11822">
        <v>288707</v>
      </c>
      <c r="D11822">
        <v>192</v>
      </c>
    </row>
    <row r="11823" spans="1:4" x14ac:dyDescent="0.25">
      <c r="A11823" t="str">
        <f>T("846789")</f>
        <v>846789</v>
      </c>
      <c r="B11823" t="str">
        <f>T("Outils pour emploi à la main, hydrauliques ou à moteur non électrique incorporé (sauf tronçonneuses à chaîne et outils pneumatiques)")</f>
        <v>Outils pour emploi à la main, hydrauliques ou à moteur non électrique incorporé (sauf tronçonneuses à chaîne et outils pneumatiques)</v>
      </c>
    </row>
    <row r="11824" spans="1:4" x14ac:dyDescent="0.25">
      <c r="A11824" t="str">
        <f>T("   ZZZ_Monde")</f>
        <v xml:space="preserve">   ZZZ_Monde</v>
      </c>
      <c r="B11824" t="str">
        <f>T("   ZZZ_Monde")</f>
        <v xml:space="preserve">   ZZZ_Monde</v>
      </c>
      <c r="C11824">
        <v>3914164</v>
      </c>
      <c r="D11824">
        <v>1838</v>
      </c>
    </row>
    <row r="11825" spans="1:4" x14ac:dyDescent="0.25">
      <c r="A11825" t="str">
        <f>T("   CN")</f>
        <v xml:space="preserve">   CN</v>
      </c>
      <c r="B11825" t="str">
        <f>T("   Chine")</f>
        <v xml:space="preserve">   Chine</v>
      </c>
      <c r="C11825">
        <v>694056</v>
      </c>
      <c r="D11825">
        <v>1327</v>
      </c>
    </row>
    <row r="11826" spans="1:4" x14ac:dyDescent="0.25">
      <c r="A11826" t="str">
        <f>T("   FR")</f>
        <v xml:space="preserve">   FR</v>
      </c>
      <c r="B11826" t="str">
        <f>T("   France")</f>
        <v xml:space="preserve">   France</v>
      </c>
      <c r="C11826">
        <v>3220108</v>
      </c>
      <c r="D11826">
        <v>511</v>
      </c>
    </row>
    <row r="11827" spans="1:4" x14ac:dyDescent="0.25">
      <c r="A11827" t="str">
        <f>T("846799")</f>
        <v>846799</v>
      </c>
      <c r="B11827" t="str">
        <f>T("Parties d'outils pour emploi à la main, hydrauliques ou à moteur électrique ou non électrique incorporé, n.d.a.")</f>
        <v>Parties d'outils pour emploi à la main, hydrauliques ou à moteur électrique ou non électrique incorporé, n.d.a.</v>
      </c>
    </row>
    <row r="11828" spans="1:4" x14ac:dyDescent="0.25">
      <c r="A11828" t="str">
        <f>T("   ZZZ_Monde")</f>
        <v xml:space="preserve">   ZZZ_Monde</v>
      </c>
      <c r="B11828" t="str">
        <f>T("   ZZZ_Monde")</f>
        <v xml:space="preserve">   ZZZ_Monde</v>
      </c>
      <c r="C11828">
        <v>57668648</v>
      </c>
      <c r="D11828">
        <v>31907</v>
      </c>
    </row>
    <row r="11829" spans="1:4" x14ac:dyDescent="0.25">
      <c r="A11829" t="str">
        <f>T("   CN")</f>
        <v xml:space="preserve">   CN</v>
      </c>
      <c r="B11829" t="str">
        <f>T("   Chine")</f>
        <v xml:space="preserve">   Chine</v>
      </c>
      <c r="C11829">
        <v>50796877</v>
      </c>
      <c r="D11829">
        <v>31460</v>
      </c>
    </row>
    <row r="11830" spans="1:4" x14ac:dyDescent="0.25">
      <c r="A11830" t="str">
        <f>T("   FR")</f>
        <v xml:space="preserve">   FR</v>
      </c>
      <c r="B11830" t="str">
        <f>T("   France")</f>
        <v xml:space="preserve">   France</v>
      </c>
      <c r="C11830">
        <v>6871771</v>
      </c>
      <c r="D11830">
        <v>447</v>
      </c>
    </row>
    <row r="11831" spans="1:4" x14ac:dyDescent="0.25">
      <c r="A11831" t="str">
        <f>T("846810")</f>
        <v>846810</v>
      </c>
      <c r="B11831" t="str">
        <f>T("Chalumeaux guidés à la main pour le brasage ou le soudage aux gaz")</f>
        <v>Chalumeaux guidés à la main pour le brasage ou le soudage aux gaz</v>
      </c>
    </row>
    <row r="11832" spans="1:4" x14ac:dyDescent="0.25">
      <c r="A11832" t="str">
        <f>T("   ZZZ_Monde")</f>
        <v xml:space="preserve">   ZZZ_Monde</v>
      </c>
      <c r="B11832" t="str">
        <f>T("   ZZZ_Monde")</f>
        <v xml:space="preserve">   ZZZ_Monde</v>
      </c>
      <c r="C11832">
        <v>2263257</v>
      </c>
      <c r="D11832">
        <v>44</v>
      </c>
    </row>
    <row r="11833" spans="1:4" x14ac:dyDescent="0.25">
      <c r="A11833" t="str">
        <f>T("   FR")</f>
        <v xml:space="preserve">   FR</v>
      </c>
      <c r="B11833" t="str">
        <f>T("   France")</f>
        <v xml:space="preserve">   France</v>
      </c>
      <c r="C11833">
        <v>2263257</v>
      </c>
      <c r="D11833">
        <v>44</v>
      </c>
    </row>
    <row r="11834" spans="1:4" x14ac:dyDescent="0.25">
      <c r="A11834" t="str">
        <f>T("846880")</f>
        <v>846880</v>
      </c>
      <c r="B11834" t="str">
        <f>T("Machines et appareils pour le brasage ou le soudage (autres qu'aux gaz et à l'excl. des machines ou appareils pour le brasage ou le soudage électriques du n° 8515)")</f>
        <v>Machines et appareils pour le brasage ou le soudage (autres qu'aux gaz et à l'excl. des machines ou appareils pour le brasage ou le soudage électriques du n° 8515)</v>
      </c>
    </row>
    <row r="11835" spans="1:4" x14ac:dyDescent="0.25">
      <c r="A11835" t="str">
        <f>T("   ZZZ_Monde")</f>
        <v xml:space="preserve">   ZZZ_Monde</v>
      </c>
      <c r="B11835" t="str">
        <f>T("   ZZZ_Monde")</f>
        <v xml:space="preserve">   ZZZ_Monde</v>
      </c>
      <c r="C11835">
        <v>8595272</v>
      </c>
      <c r="D11835">
        <v>1944</v>
      </c>
    </row>
    <row r="11836" spans="1:4" x14ac:dyDescent="0.25">
      <c r="A11836" t="str">
        <f>T("   BE")</f>
        <v xml:space="preserve">   BE</v>
      </c>
      <c r="B11836" t="str">
        <f>T("   Belgique")</f>
        <v xml:space="preserve">   Belgique</v>
      </c>
      <c r="C11836">
        <v>5280478</v>
      </c>
      <c r="D11836">
        <v>500</v>
      </c>
    </row>
    <row r="11837" spans="1:4" x14ac:dyDescent="0.25">
      <c r="A11837" t="str">
        <f>T("   CA")</f>
        <v xml:space="preserve">   CA</v>
      </c>
      <c r="B11837" t="str">
        <f>T("   Canada")</f>
        <v xml:space="preserve">   Canada</v>
      </c>
      <c r="C11837">
        <v>3122536</v>
      </c>
      <c r="D11837">
        <v>1322</v>
      </c>
    </row>
    <row r="11838" spans="1:4" x14ac:dyDescent="0.25">
      <c r="A11838" t="str">
        <f>T("   CN")</f>
        <v xml:space="preserve">   CN</v>
      </c>
      <c r="B11838" t="str">
        <f>T("   Chine")</f>
        <v xml:space="preserve">   Chine</v>
      </c>
      <c r="C11838">
        <v>192258</v>
      </c>
      <c r="D11838">
        <v>122</v>
      </c>
    </row>
    <row r="11839" spans="1:4" x14ac:dyDescent="0.25">
      <c r="A11839" t="str">
        <f>T("846890")</f>
        <v>846890</v>
      </c>
      <c r="B11839" t="str">
        <f>T("Parties de machines et appareils pour le brasage, le soudage, la trempe artificielle non-électriques, n.d.a.")</f>
        <v>Parties de machines et appareils pour le brasage, le soudage, la trempe artificielle non-électriques, n.d.a.</v>
      </c>
    </row>
    <row r="11840" spans="1:4" x14ac:dyDescent="0.25">
      <c r="A11840" t="str">
        <f>T("   ZZZ_Monde")</f>
        <v xml:space="preserve">   ZZZ_Monde</v>
      </c>
      <c r="B11840" t="str">
        <f>T("   ZZZ_Monde")</f>
        <v xml:space="preserve">   ZZZ_Monde</v>
      </c>
      <c r="C11840">
        <v>5061733</v>
      </c>
      <c r="D11840">
        <v>697</v>
      </c>
    </row>
    <row r="11841" spans="1:4" x14ac:dyDescent="0.25">
      <c r="A11841" t="str">
        <f>T("   FR")</f>
        <v xml:space="preserve">   FR</v>
      </c>
      <c r="B11841" t="str">
        <f>T("   France")</f>
        <v xml:space="preserve">   France</v>
      </c>
      <c r="C11841">
        <v>5061733</v>
      </c>
      <c r="D11841">
        <v>697</v>
      </c>
    </row>
    <row r="11842" spans="1:4" x14ac:dyDescent="0.25">
      <c r="A11842" t="str">
        <f>T("846912")</f>
        <v>846912</v>
      </c>
      <c r="B11842" t="str">
        <f>T("Machines à écrire automatiques (à l'excl. des machines pour le traitement des textes, des machines automatiques de traitement de l'information et de leurs unités du n° 8471, ainsi que des imprimantes au laser, des imprimantes thermiques et des imprimantes")</f>
        <v>Machines à écrire automatiques (à l'excl. des machines pour le traitement des textes, des machines automatiques de traitement de l'information et de leurs unités du n° 8471, ainsi que des imprimantes au laser, des imprimantes thermiques et des imprimantes</v>
      </c>
    </row>
    <row r="11843" spans="1:4" x14ac:dyDescent="0.25">
      <c r="A11843" t="str">
        <f>T("   ZZZ_Monde")</f>
        <v xml:space="preserve">   ZZZ_Monde</v>
      </c>
      <c r="B11843" t="str">
        <f>T("   ZZZ_Monde")</f>
        <v xml:space="preserve">   ZZZ_Monde</v>
      </c>
      <c r="C11843">
        <v>2537659</v>
      </c>
      <c r="D11843">
        <v>354</v>
      </c>
    </row>
    <row r="11844" spans="1:4" x14ac:dyDescent="0.25">
      <c r="A11844" t="str">
        <f>T("   CN")</f>
        <v xml:space="preserve">   CN</v>
      </c>
      <c r="B11844" t="str">
        <f>T("   Chine")</f>
        <v xml:space="preserve">   Chine</v>
      </c>
      <c r="C11844">
        <v>100177</v>
      </c>
      <c r="D11844">
        <v>141</v>
      </c>
    </row>
    <row r="11845" spans="1:4" x14ac:dyDescent="0.25">
      <c r="A11845" t="str">
        <f>T("   FR")</f>
        <v xml:space="preserve">   FR</v>
      </c>
      <c r="B11845" t="str">
        <f>T("   France")</f>
        <v xml:space="preserve">   France</v>
      </c>
      <c r="C11845">
        <v>2437482</v>
      </c>
      <c r="D11845">
        <v>213</v>
      </c>
    </row>
    <row r="11846" spans="1:4" x14ac:dyDescent="0.25">
      <c r="A11846" t="str">
        <f>T("846920")</f>
        <v>846920</v>
      </c>
      <c r="B11846" t="str">
        <f>T("Machines à écrire électriques (à l'excl. des machines à écrire automatiques, des unités pour machines automatiques de traitement de l'information du n° 8471, ainsi que des imprimantes au laser, thermiques ou électrosensibles)")</f>
        <v>Machines à écrire électriques (à l'excl. des machines à écrire automatiques, des unités pour machines automatiques de traitement de l'information du n° 8471, ainsi que des imprimantes au laser, thermiques ou électrosensibles)</v>
      </c>
    </row>
    <row r="11847" spans="1:4" x14ac:dyDescent="0.25">
      <c r="A11847" t="str">
        <f>T("   ZZZ_Monde")</f>
        <v xml:space="preserve">   ZZZ_Monde</v>
      </c>
      <c r="B11847" t="str">
        <f>T("   ZZZ_Monde")</f>
        <v xml:space="preserve">   ZZZ_Monde</v>
      </c>
      <c r="C11847">
        <v>131580</v>
      </c>
      <c r="D11847">
        <v>3366</v>
      </c>
    </row>
    <row r="11848" spans="1:4" x14ac:dyDescent="0.25">
      <c r="A11848" t="str">
        <f>T("   TG")</f>
        <v xml:space="preserve">   TG</v>
      </c>
      <c r="B11848" t="str">
        <f>T("   Togo")</f>
        <v xml:space="preserve">   Togo</v>
      </c>
      <c r="C11848">
        <v>131580</v>
      </c>
      <c r="D11848">
        <v>3366</v>
      </c>
    </row>
    <row r="11849" spans="1:4" x14ac:dyDescent="0.25">
      <c r="A11849" t="str">
        <f>T("846930")</f>
        <v>846930</v>
      </c>
      <c r="B11849" t="str">
        <f>T("Machines à écrire non-électriques")</f>
        <v>Machines à écrire non-électriques</v>
      </c>
    </row>
    <row r="11850" spans="1:4" x14ac:dyDescent="0.25">
      <c r="A11850" t="str">
        <f>T("   ZZZ_Monde")</f>
        <v xml:space="preserve">   ZZZ_Monde</v>
      </c>
      <c r="B11850" t="str">
        <f>T("   ZZZ_Monde")</f>
        <v xml:space="preserve">   ZZZ_Monde</v>
      </c>
      <c r="C11850">
        <v>7872</v>
      </c>
      <c r="D11850">
        <v>35</v>
      </c>
    </row>
    <row r="11851" spans="1:4" x14ac:dyDescent="0.25">
      <c r="A11851" t="str">
        <f>T("   FR")</f>
        <v xml:space="preserve">   FR</v>
      </c>
      <c r="B11851" t="str">
        <f>T("   France")</f>
        <v xml:space="preserve">   France</v>
      </c>
      <c r="C11851">
        <v>7872</v>
      </c>
      <c r="D11851">
        <v>35</v>
      </c>
    </row>
    <row r="11852" spans="1:4" x14ac:dyDescent="0.25">
      <c r="A11852" t="str">
        <f>T("847010")</f>
        <v>847010</v>
      </c>
      <c r="B11852" t="str">
        <f>T("Calculatrices électroniques pouvant fonctionner sans source d'énergie électrique extérieure et machines de poche [dimensions &lt;= 170 mm x 100 mm x 45 mm] comportant une fonction de calcul permettant d'enregistrer, de reproduire et d'afficher des informatio")</f>
        <v>Calculatrices électroniques pouvant fonctionner sans source d'énergie électrique extérieure et machines de poche [dimensions &lt;= 170 mm x 100 mm x 45 mm] comportant une fonction de calcul permettant d'enregistrer, de reproduire et d'afficher des informatio</v>
      </c>
    </row>
    <row r="11853" spans="1:4" x14ac:dyDescent="0.25">
      <c r="A11853" t="str">
        <f>T("   ZZZ_Monde")</f>
        <v xml:space="preserve">   ZZZ_Monde</v>
      </c>
      <c r="B11853" t="str">
        <f>T("   ZZZ_Monde")</f>
        <v xml:space="preserve">   ZZZ_Monde</v>
      </c>
      <c r="C11853">
        <v>9191451</v>
      </c>
      <c r="D11853">
        <v>2803</v>
      </c>
    </row>
    <row r="11854" spans="1:4" x14ac:dyDescent="0.25">
      <c r="A11854" t="str">
        <f>T("   CN")</f>
        <v xml:space="preserve">   CN</v>
      </c>
      <c r="B11854" t="str">
        <f>T("   Chine")</f>
        <v xml:space="preserve">   Chine</v>
      </c>
      <c r="C11854">
        <v>246376</v>
      </c>
      <c r="D11854">
        <v>868</v>
      </c>
    </row>
    <row r="11855" spans="1:4" x14ac:dyDescent="0.25">
      <c r="A11855" t="str">
        <f>T("   FR")</f>
        <v xml:space="preserve">   FR</v>
      </c>
      <c r="B11855" t="str">
        <f>T("   France")</f>
        <v xml:space="preserve">   France</v>
      </c>
      <c r="C11855">
        <v>8383037</v>
      </c>
      <c r="D11855">
        <v>1705</v>
      </c>
    </row>
    <row r="11856" spans="1:4" x14ac:dyDescent="0.25">
      <c r="A11856" t="str">
        <f>T("   SG")</f>
        <v xml:space="preserve">   SG</v>
      </c>
      <c r="B11856" t="str">
        <f>T("   Singapour")</f>
        <v xml:space="preserve">   Singapour</v>
      </c>
      <c r="C11856">
        <v>562038</v>
      </c>
      <c r="D11856">
        <v>230</v>
      </c>
    </row>
    <row r="11857" spans="1:4" x14ac:dyDescent="0.25">
      <c r="A11857" t="str">
        <f>T("847029")</f>
        <v>847029</v>
      </c>
      <c r="B11857" t="str">
        <f>T("Machines à calculer électroniques sans organe imprimant, raccordées au réseau (à l'excl. des machines automatiques de traitement de l'information du n° 8471)")</f>
        <v>Machines à calculer électroniques sans organe imprimant, raccordées au réseau (à l'excl. des machines automatiques de traitement de l'information du n° 8471)</v>
      </c>
    </row>
    <row r="11858" spans="1:4" x14ac:dyDescent="0.25">
      <c r="A11858" t="str">
        <f>T("   ZZZ_Monde")</f>
        <v xml:space="preserve">   ZZZ_Monde</v>
      </c>
      <c r="B11858" t="str">
        <f>T("   ZZZ_Monde")</f>
        <v xml:space="preserve">   ZZZ_Monde</v>
      </c>
      <c r="C11858">
        <v>1201719</v>
      </c>
      <c r="D11858">
        <v>9213</v>
      </c>
    </row>
    <row r="11859" spans="1:4" x14ac:dyDescent="0.25">
      <c r="A11859" t="str">
        <f>T("   CN")</f>
        <v xml:space="preserve">   CN</v>
      </c>
      <c r="B11859" t="str">
        <f>T("   Chine")</f>
        <v xml:space="preserve">   Chine</v>
      </c>
      <c r="C11859">
        <v>659896</v>
      </c>
      <c r="D11859">
        <v>9200</v>
      </c>
    </row>
    <row r="11860" spans="1:4" x14ac:dyDescent="0.25">
      <c r="A11860" t="str">
        <f>T("   FR")</f>
        <v xml:space="preserve">   FR</v>
      </c>
      <c r="B11860" t="str">
        <f>T("   France")</f>
        <v xml:space="preserve">   France</v>
      </c>
      <c r="C11860">
        <v>541823</v>
      </c>
      <c r="D11860">
        <v>13</v>
      </c>
    </row>
    <row r="11861" spans="1:4" x14ac:dyDescent="0.25">
      <c r="A11861" t="str">
        <f>T("847030")</f>
        <v>847030</v>
      </c>
      <c r="B11861" t="str">
        <f>T("Machines à calculer autres qu'électroniques")</f>
        <v>Machines à calculer autres qu'électroniques</v>
      </c>
    </row>
    <row r="11862" spans="1:4" x14ac:dyDescent="0.25">
      <c r="A11862" t="str">
        <f>T("   ZZZ_Monde")</f>
        <v xml:space="preserve">   ZZZ_Monde</v>
      </c>
      <c r="B11862" t="str">
        <f>T("   ZZZ_Monde")</f>
        <v xml:space="preserve">   ZZZ_Monde</v>
      </c>
      <c r="C11862">
        <v>6114062</v>
      </c>
      <c r="D11862">
        <v>4264</v>
      </c>
    </row>
    <row r="11863" spans="1:4" x14ac:dyDescent="0.25">
      <c r="A11863" t="str">
        <f>T("   AE")</f>
        <v xml:space="preserve">   AE</v>
      </c>
      <c r="B11863" t="str">
        <f>T("   Emirats Arabes Unis")</f>
        <v xml:space="preserve">   Emirats Arabes Unis</v>
      </c>
      <c r="C11863">
        <v>4680681</v>
      </c>
      <c r="D11863">
        <v>596</v>
      </c>
    </row>
    <row r="11864" spans="1:4" x14ac:dyDescent="0.25">
      <c r="A11864" t="str">
        <f>T("   CN")</f>
        <v xml:space="preserve">   CN</v>
      </c>
      <c r="B11864" t="str">
        <f>T("   Chine")</f>
        <v xml:space="preserve">   Chine</v>
      </c>
      <c r="C11864">
        <v>818307</v>
      </c>
      <c r="D11864">
        <v>1918</v>
      </c>
    </row>
    <row r="11865" spans="1:4" x14ac:dyDescent="0.25">
      <c r="A11865" t="str">
        <f>T("   FR")</f>
        <v xml:space="preserve">   FR</v>
      </c>
      <c r="B11865" t="str">
        <f>T("   France")</f>
        <v xml:space="preserve">   France</v>
      </c>
      <c r="C11865">
        <v>615074</v>
      </c>
      <c r="D11865">
        <v>1750</v>
      </c>
    </row>
    <row r="11866" spans="1:4" x14ac:dyDescent="0.25">
      <c r="A11866" t="str">
        <f>T("847040")</f>
        <v>847040</v>
      </c>
      <c r="B11866" t="str">
        <f>T("Machines comptables comportant un dispositif de calcul (à l'excl. des machines automatiques de traitement de l'information du n° 8471)")</f>
        <v>Machines comptables comportant un dispositif de calcul (à l'excl. des machines automatiques de traitement de l'information du n° 8471)</v>
      </c>
    </row>
    <row r="11867" spans="1:4" x14ac:dyDescent="0.25">
      <c r="A11867" t="str">
        <f>T("   ZZZ_Monde")</f>
        <v xml:space="preserve">   ZZZ_Monde</v>
      </c>
      <c r="B11867" t="str">
        <f>T("   ZZZ_Monde")</f>
        <v xml:space="preserve">   ZZZ_Monde</v>
      </c>
      <c r="C11867">
        <v>590080</v>
      </c>
      <c r="D11867">
        <v>60</v>
      </c>
    </row>
    <row r="11868" spans="1:4" x14ac:dyDescent="0.25">
      <c r="A11868" t="str">
        <f>T("   CN")</f>
        <v xml:space="preserve">   CN</v>
      </c>
      <c r="B11868" t="str">
        <f>T("   Chine")</f>
        <v xml:space="preserve">   Chine</v>
      </c>
      <c r="C11868">
        <v>590080</v>
      </c>
      <c r="D11868">
        <v>60</v>
      </c>
    </row>
    <row r="11869" spans="1:4" x14ac:dyDescent="0.25">
      <c r="A11869" t="str">
        <f>T("847050")</f>
        <v>847050</v>
      </c>
      <c r="B11869" t="str">
        <f>T("Caisses enregistreuses comportant un dispositif de calcul")</f>
        <v>Caisses enregistreuses comportant un dispositif de calcul</v>
      </c>
    </row>
    <row r="11870" spans="1:4" x14ac:dyDescent="0.25">
      <c r="A11870" t="str">
        <f>T("   ZZZ_Monde")</f>
        <v xml:space="preserve">   ZZZ_Monde</v>
      </c>
      <c r="B11870" t="str">
        <f>T("   ZZZ_Monde")</f>
        <v xml:space="preserve">   ZZZ_Monde</v>
      </c>
      <c r="C11870">
        <v>5785554</v>
      </c>
      <c r="D11870">
        <v>1585</v>
      </c>
    </row>
    <row r="11871" spans="1:4" x14ac:dyDescent="0.25">
      <c r="A11871" t="str">
        <f>T("   CN")</f>
        <v xml:space="preserve">   CN</v>
      </c>
      <c r="B11871" t="str">
        <f>T("   Chine")</f>
        <v xml:space="preserve">   Chine</v>
      </c>
      <c r="C11871">
        <v>4448065</v>
      </c>
      <c r="D11871">
        <v>681</v>
      </c>
    </row>
    <row r="11872" spans="1:4" x14ac:dyDescent="0.25">
      <c r="A11872" t="str">
        <f>T("   FR")</f>
        <v xml:space="preserve">   FR</v>
      </c>
      <c r="B11872" t="str">
        <f>T("   France")</f>
        <v xml:space="preserve">   France</v>
      </c>
      <c r="C11872">
        <v>240081</v>
      </c>
      <c r="D11872">
        <v>72</v>
      </c>
    </row>
    <row r="11873" spans="1:4" x14ac:dyDescent="0.25">
      <c r="A11873" t="str">
        <f>T("   SG")</f>
        <v xml:space="preserve">   SG</v>
      </c>
      <c r="B11873" t="str">
        <f>T("   Singapour")</f>
        <v xml:space="preserve">   Singapour</v>
      </c>
      <c r="C11873">
        <v>1097408</v>
      </c>
      <c r="D11873">
        <v>832</v>
      </c>
    </row>
    <row r="11874" spans="1:4" x14ac:dyDescent="0.25">
      <c r="A11874" t="str">
        <f>T("847090")</f>
        <v>847090</v>
      </c>
      <c r="B11874" t="str">
        <f>T("Machines à affranchir, à établir les tickets et simil., avec dispositif de calcul (à l'excl. des machines comptables, des caisses enregistreuses et des distributeurs automatiques)")</f>
        <v>Machines à affranchir, à établir les tickets et simil., avec dispositif de calcul (à l'excl. des machines comptables, des caisses enregistreuses et des distributeurs automatiques)</v>
      </c>
    </row>
    <row r="11875" spans="1:4" x14ac:dyDescent="0.25">
      <c r="A11875" t="str">
        <f>T("   ZZZ_Monde")</f>
        <v xml:space="preserve">   ZZZ_Monde</v>
      </c>
      <c r="B11875" t="str">
        <f>T("   ZZZ_Monde")</f>
        <v xml:space="preserve">   ZZZ_Monde</v>
      </c>
      <c r="C11875">
        <v>3892391</v>
      </c>
      <c r="D11875">
        <v>900.25</v>
      </c>
    </row>
    <row r="11876" spans="1:4" x14ac:dyDescent="0.25">
      <c r="A11876" t="str">
        <f>T("   AR")</f>
        <v xml:space="preserve">   AR</v>
      </c>
      <c r="B11876" t="str">
        <f>T("   Argentine")</f>
        <v xml:space="preserve">   Argentine</v>
      </c>
      <c r="C11876">
        <v>118187</v>
      </c>
      <c r="D11876">
        <v>38</v>
      </c>
    </row>
    <row r="11877" spans="1:4" x14ac:dyDescent="0.25">
      <c r="A11877" t="str">
        <f>T("   CN")</f>
        <v xml:space="preserve">   CN</v>
      </c>
      <c r="B11877" t="str">
        <f>T("   Chine")</f>
        <v xml:space="preserve">   Chine</v>
      </c>
      <c r="C11877">
        <v>356113</v>
      </c>
      <c r="D11877">
        <v>323</v>
      </c>
    </row>
    <row r="11878" spans="1:4" x14ac:dyDescent="0.25">
      <c r="A11878" t="str">
        <f>T("   FR")</f>
        <v xml:space="preserve">   FR</v>
      </c>
      <c r="B11878" t="str">
        <f>T("   France")</f>
        <v xml:space="preserve">   France</v>
      </c>
      <c r="C11878">
        <v>3059945</v>
      </c>
      <c r="D11878">
        <v>31.25</v>
      </c>
    </row>
    <row r="11879" spans="1:4" x14ac:dyDescent="0.25">
      <c r="A11879" t="str">
        <f>T("   NG")</f>
        <v xml:space="preserve">   NG</v>
      </c>
      <c r="B11879" t="str">
        <f>T("   Nigéria")</f>
        <v xml:space="preserve">   Nigéria</v>
      </c>
      <c r="C11879">
        <v>345000</v>
      </c>
      <c r="D11879">
        <v>500</v>
      </c>
    </row>
    <row r="11880" spans="1:4" x14ac:dyDescent="0.25">
      <c r="A11880" t="str">
        <f>T("   SG")</f>
        <v xml:space="preserve">   SG</v>
      </c>
      <c r="B11880" t="str">
        <f>T("   Singapour")</f>
        <v xml:space="preserve">   Singapour</v>
      </c>
      <c r="C11880">
        <v>13146</v>
      </c>
      <c r="D11880">
        <v>8</v>
      </c>
    </row>
    <row r="11881" spans="1:4" x14ac:dyDescent="0.25">
      <c r="A11881" t="str">
        <f>T("847110")</f>
        <v>847110</v>
      </c>
      <c r="B11881" t="str">
        <f>T("Machines automatiques de traitement de l'information, analogiques ou hybrides")</f>
        <v>Machines automatiques de traitement de l'information, analogiques ou hybrides</v>
      </c>
    </row>
    <row r="11882" spans="1:4" x14ac:dyDescent="0.25">
      <c r="A11882" t="str">
        <f>T("   ZZZ_Monde")</f>
        <v xml:space="preserve">   ZZZ_Monde</v>
      </c>
      <c r="B11882" t="str">
        <f>T("   ZZZ_Monde")</f>
        <v xml:space="preserve">   ZZZ_Monde</v>
      </c>
      <c r="C11882">
        <v>70825962</v>
      </c>
      <c r="D11882">
        <v>66823</v>
      </c>
    </row>
    <row r="11883" spans="1:4" x14ac:dyDescent="0.25">
      <c r="A11883" t="str">
        <f>T("   BE")</f>
        <v xml:space="preserve">   BE</v>
      </c>
      <c r="B11883" t="str">
        <f>T("   Belgique")</f>
        <v xml:space="preserve">   Belgique</v>
      </c>
      <c r="C11883">
        <v>360778</v>
      </c>
      <c r="D11883">
        <v>3360</v>
      </c>
    </row>
    <row r="11884" spans="1:4" x14ac:dyDescent="0.25">
      <c r="A11884" t="str">
        <f>T("   CN")</f>
        <v xml:space="preserve">   CN</v>
      </c>
      <c r="B11884" t="str">
        <f>T("   Chine")</f>
        <v xml:space="preserve">   Chine</v>
      </c>
      <c r="C11884">
        <v>5610118</v>
      </c>
      <c r="D11884">
        <v>10391</v>
      </c>
    </row>
    <row r="11885" spans="1:4" x14ac:dyDescent="0.25">
      <c r="A11885" t="str">
        <f>T("   DE")</f>
        <v xml:space="preserve">   DE</v>
      </c>
      <c r="B11885" t="str">
        <f>T("   Allemagne")</f>
        <v xml:space="preserve">   Allemagne</v>
      </c>
      <c r="C11885">
        <v>393576</v>
      </c>
      <c r="D11885">
        <v>300</v>
      </c>
    </row>
    <row r="11886" spans="1:4" x14ac:dyDescent="0.25">
      <c r="A11886" t="str">
        <f>T("   DK")</f>
        <v xml:space="preserve">   DK</v>
      </c>
      <c r="B11886" t="str">
        <f>T("   Danemark")</f>
        <v xml:space="preserve">   Danemark</v>
      </c>
      <c r="C11886">
        <v>22849222</v>
      </c>
      <c r="D11886">
        <v>1737</v>
      </c>
    </row>
    <row r="11887" spans="1:4" x14ac:dyDescent="0.25">
      <c r="A11887" t="str">
        <f>T("   FR")</f>
        <v xml:space="preserve">   FR</v>
      </c>
      <c r="B11887" t="str">
        <f>T("   France")</f>
        <v xml:space="preserve">   France</v>
      </c>
      <c r="C11887">
        <v>16698117</v>
      </c>
      <c r="D11887">
        <v>18724</v>
      </c>
    </row>
    <row r="11888" spans="1:4" x14ac:dyDescent="0.25">
      <c r="A11888" t="str">
        <f>T("   GB")</f>
        <v xml:space="preserve">   GB</v>
      </c>
      <c r="B11888" t="str">
        <f>T("   Royaume-Uni")</f>
        <v xml:space="preserve">   Royaume-Uni</v>
      </c>
      <c r="C11888">
        <v>3744883</v>
      </c>
      <c r="D11888">
        <v>14460</v>
      </c>
    </row>
    <row r="11889" spans="1:4" x14ac:dyDescent="0.25">
      <c r="A11889" t="str">
        <f>T("   IT")</f>
        <v xml:space="preserve">   IT</v>
      </c>
      <c r="B11889" t="str">
        <f>T("   Italie")</f>
        <v xml:space="preserve">   Italie</v>
      </c>
      <c r="C11889">
        <v>157431</v>
      </c>
      <c r="D11889">
        <v>900</v>
      </c>
    </row>
    <row r="11890" spans="1:4" x14ac:dyDescent="0.25">
      <c r="A11890" t="str">
        <f>T("   NG")</f>
        <v xml:space="preserve">   NG</v>
      </c>
      <c r="B11890" t="str">
        <f>T("   Nigéria")</f>
        <v xml:space="preserve">   Nigéria</v>
      </c>
      <c r="C11890">
        <v>16451000</v>
      </c>
      <c r="D11890">
        <v>3186</v>
      </c>
    </row>
    <row r="11891" spans="1:4" x14ac:dyDescent="0.25">
      <c r="A11891" t="str">
        <f>T("   NL")</f>
        <v xml:space="preserve">   NL</v>
      </c>
      <c r="B11891" t="str">
        <f>T("   Pays-bas")</f>
        <v xml:space="preserve">   Pays-bas</v>
      </c>
      <c r="C11891">
        <v>48000</v>
      </c>
      <c r="D11891">
        <v>10</v>
      </c>
    </row>
    <row r="11892" spans="1:4" x14ac:dyDescent="0.25">
      <c r="A11892" t="str">
        <f>T("   TG")</f>
        <v xml:space="preserve">   TG</v>
      </c>
      <c r="B11892" t="str">
        <f>T("   Togo")</f>
        <v xml:space="preserve">   Togo</v>
      </c>
      <c r="C11892">
        <v>1804835</v>
      </c>
      <c r="D11892">
        <v>1610</v>
      </c>
    </row>
    <row r="11893" spans="1:4" x14ac:dyDescent="0.25">
      <c r="A11893" t="str">
        <f>T("   US")</f>
        <v xml:space="preserve">   US</v>
      </c>
      <c r="B11893" t="str">
        <f>T("   Etats-Unis")</f>
        <v xml:space="preserve">   Etats-Unis</v>
      </c>
      <c r="C11893">
        <v>2708002</v>
      </c>
      <c r="D11893">
        <v>12145</v>
      </c>
    </row>
    <row r="11894" spans="1:4" x14ac:dyDescent="0.25">
      <c r="A11894" t="str">
        <f>T("847130")</f>
        <v>847130</v>
      </c>
      <c r="B11894" t="str">
        <f>T("Machines automatiques de traitement de l'information numériques, portatives, d'un poids &lt;= 10 kg, comportant au moins une unité centrale de traitement, un clavier et un écran (à l'excl. des unités périphériques)")</f>
        <v>Machines automatiques de traitement de l'information numériques, portatives, d'un poids &lt;= 10 kg, comportant au moins une unité centrale de traitement, un clavier et un écran (à l'excl. des unités périphériques)</v>
      </c>
    </row>
    <row r="11895" spans="1:4" x14ac:dyDescent="0.25">
      <c r="A11895" t="str">
        <f>T("   ZZZ_Monde")</f>
        <v xml:space="preserve">   ZZZ_Monde</v>
      </c>
      <c r="B11895" t="str">
        <f>T("   ZZZ_Monde")</f>
        <v xml:space="preserve">   ZZZ_Monde</v>
      </c>
      <c r="C11895">
        <v>355835200</v>
      </c>
      <c r="D11895">
        <v>203275.6</v>
      </c>
    </row>
    <row r="11896" spans="1:4" x14ac:dyDescent="0.25">
      <c r="A11896" t="str">
        <f>T("   AE")</f>
        <v xml:space="preserve">   AE</v>
      </c>
      <c r="B11896" t="str">
        <f>T("   Emirats Arabes Unis")</f>
        <v xml:space="preserve">   Emirats Arabes Unis</v>
      </c>
      <c r="C11896">
        <v>13500000</v>
      </c>
      <c r="D11896">
        <v>10000</v>
      </c>
    </row>
    <row r="11897" spans="1:4" x14ac:dyDescent="0.25">
      <c r="A11897" t="str">
        <f>T("   BE")</f>
        <v xml:space="preserve">   BE</v>
      </c>
      <c r="B11897" t="str">
        <f>T("   Belgique")</f>
        <v xml:space="preserve">   Belgique</v>
      </c>
      <c r="C11897">
        <v>17000000</v>
      </c>
      <c r="D11897">
        <v>20000</v>
      </c>
    </row>
    <row r="11898" spans="1:4" x14ac:dyDescent="0.25">
      <c r="A11898" t="str">
        <f>T("   CN")</f>
        <v xml:space="preserve">   CN</v>
      </c>
      <c r="B11898" t="str">
        <f>T("   Chine")</f>
        <v xml:space="preserve">   Chine</v>
      </c>
      <c r="C11898">
        <v>21362834</v>
      </c>
      <c r="D11898">
        <v>1677</v>
      </c>
    </row>
    <row r="11899" spans="1:4" x14ac:dyDescent="0.25">
      <c r="A11899" t="str">
        <f>T("   DE")</f>
        <v xml:space="preserve">   DE</v>
      </c>
      <c r="B11899" t="str">
        <f>T("   Allemagne")</f>
        <v xml:space="preserve">   Allemagne</v>
      </c>
      <c r="C11899">
        <v>38554705</v>
      </c>
      <c r="D11899">
        <v>2096.6</v>
      </c>
    </row>
    <row r="11900" spans="1:4" x14ac:dyDescent="0.25">
      <c r="A11900" t="str">
        <f>T("   FI")</f>
        <v xml:space="preserve">   FI</v>
      </c>
      <c r="B11900" t="str">
        <f>T("   Finlande")</f>
        <v xml:space="preserve">   Finlande</v>
      </c>
      <c r="C11900">
        <v>3264057</v>
      </c>
      <c r="D11900">
        <v>36</v>
      </c>
    </row>
    <row r="11901" spans="1:4" x14ac:dyDescent="0.25">
      <c r="A11901" t="str">
        <f>T("   FR")</f>
        <v xml:space="preserve">   FR</v>
      </c>
      <c r="B11901" t="str">
        <f>T("   France")</f>
        <v xml:space="preserve">   France</v>
      </c>
      <c r="C11901">
        <v>52959558</v>
      </c>
      <c r="D11901">
        <v>16701</v>
      </c>
    </row>
    <row r="11902" spans="1:4" x14ac:dyDescent="0.25">
      <c r="A11902" t="str">
        <f>T("   GB")</f>
        <v xml:space="preserve">   GB</v>
      </c>
      <c r="B11902" t="str">
        <f>T("   Royaume-Uni")</f>
        <v xml:space="preserve">   Royaume-Uni</v>
      </c>
      <c r="C11902">
        <v>38496134</v>
      </c>
      <c r="D11902">
        <v>45310</v>
      </c>
    </row>
    <row r="11903" spans="1:4" x14ac:dyDescent="0.25">
      <c r="A11903" t="str">
        <f>T("   IE")</f>
        <v xml:space="preserve">   IE</v>
      </c>
      <c r="B11903" t="str">
        <f>T("   Irlande")</f>
        <v xml:space="preserve">   Irlande</v>
      </c>
      <c r="C11903">
        <v>17000000</v>
      </c>
      <c r="D11903">
        <v>20000</v>
      </c>
    </row>
    <row r="11904" spans="1:4" x14ac:dyDescent="0.25">
      <c r="A11904" t="str">
        <f>T("   KR")</f>
        <v xml:space="preserve">   KR</v>
      </c>
      <c r="B11904" t="str">
        <f>T("   Corée, République de")</f>
        <v xml:space="preserve">   Corée, République de</v>
      </c>
      <c r="C11904">
        <v>59812786</v>
      </c>
      <c r="D11904">
        <v>70010</v>
      </c>
    </row>
    <row r="11905" spans="1:4" x14ac:dyDescent="0.25">
      <c r="A11905" t="str">
        <f>T("   LB")</f>
        <v xml:space="preserve">   LB</v>
      </c>
      <c r="B11905" t="str">
        <f>T("   Liban")</f>
        <v xml:space="preserve">   Liban</v>
      </c>
      <c r="C11905">
        <v>14779293</v>
      </c>
      <c r="D11905">
        <v>3662</v>
      </c>
    </row>
    <row r="11906" spans="1:4" x14ac:dyDescent="0.25">
      <c r="A11906" t="str">
        <f>T("   MA")</f>
        <v xml:space="preserve">   MA</v>
      </c>
      <c r="B11906" t="str">
        <f>T("   Maroc")</f>
        <v xml:space="preserve">   Maroc</v>
      </c>
      <c r="C11906">
        <v>400000</v>
      </c>
      <c r="D11906">
        <v>126</v>
      </c>
    </row>
    <row r="11907" spans="1:4" x14ac:dyDescent="0.25">
      <c r="A11907" t="str">
        <f>T("   RO")</f>
        <v xml:space="preserve">   RO</v>
      </c>
      <c r="B11907" t="str">
        <f>T("   Roumanie")</f>
        <v xml:space="preserve">   Roumanie</v>
      </c>
      <c r="C11907">
        <v>36045002</v>
      </c>
      <c r="D11907">
        <v>1257</v>
      </c>
    </row>
    <row r="11908" spans="1:4" x14ac:dyDescent="0.25">
      <c r="A11908" t="str">
        <f>T("   SG")</f>
        <v xml:space="preserve">   SG</v>
      </c>
      <c r="B11908" t="str">
        <f>T("   Singapour")</f>
        <v xml:space="preserve">   Singapour</v>
      </c>
      <c r="C11908">
        <v>5496945</v>
      </c>
      <c r="D11908">
        <v>20</v>
      </c>
    </row>
    <row r="11909" spans="1:4" x14ac:dyDescent="0.25">
      <c r="A11909" t="str">
        <f>T("   TG")</f>
        <v xml:space="preserve">   TG</v>
      </c>
      <c r="B11909" t="str">
        <f>T("   Togo")</f>
        <v xml:space="preserve">   Togo</v>
      </c>
      <c r="C11909">
        <v>28364421</v>
      </c>
      <c r="D11909">
        <v>1080</v>
      </c>
    </row>
    <row r="11910" spans="1:4" x14ac:dyDescent="0.25">
      <c r="A11910" t="str">
        <f>T("   US")</f>
        <v xml:space="preserve">   US</v>
      </c>
      <c r="B11910" t="str">
        <f>T("   Etats-Unis")</f>
        <v xml:space="preserve">   Etats-Unis</v>
      </c>
      <c r="C11910">
        <v>8799465</v>
      </c>
      <c r="D11910">
        <v>11300</v>
      </c>
    </row>
    <row r="11911" spans="1:4" x14ac:dyDescent="0.25">
      <c r="A11911" t="str">
        <f>T("847141")</f>
        <v>847141</v>
      </c>
      <c r="B11911" t="str">
        <f>T("Machines automatiques de traitement de l'information numériques, comportant, sous une même enveloppe, au moins une unité centrale de traitement et, qu'elles soient ou non combinées, une unité d'entrée et une unité de sortie (sauf portatives d'un poids &lt;=")</f>
        <v>Machines automatiques de traitement de l'information numériques, comportant, sous une même enveloppe, au moins une unité centrale de traitement et, qu'elles soient ou non combinées, une unité d'entrée et une unité de sortie (sauf portatives d'un poids &lt;=</v>
      </c>
    </row>
    <row r="11912" spans="1:4" x14ac:dyDescent="0.25">
      <c r="A11912" t="str">
        <f>T("   ZZZ_Monde")</f>
        <v xml:space="preserve">   ZZZ_Monde</v>
      </c>
      <c r="B11912" t="str">
        <f>T("   ZZZ_Monde")</f>
        <v xml:space="preserve">   ZZZ_Monde</v>
      </c>
      <c r="C11912">
        <v>171392767</v>
      </c>
      <c r="D11912">
        <v>44673.64</v>
      </c>
    </row>
    <row r="11913" spans="1:4" x14ac:dyDescent="0.25">
      <c r="A11913" t="str">
        <f>T("   AE")</f>
        <v xml:space="preserve">   AE</v>
      </c>
      <c r="B11913" t="str">
        <f>T("   Emirats Arabes Unis")</f>
        <v xml:space="preserve">   Emirats Arabes Unis</v>
      </c>
      <c r="C11913">
        <v>26560548</v>
      </c>
      <c r="D11913">
        <v>11782</v>
      </c>
    </row>
    <row r="11914" spans="1:4" x14ac:dyDescent="0.25">
      <c r="A11914" t="str">
        <f>T("   BE")</f>
        <v xml:space="preserve">   BE</v>
      </c>
      <c r="B11914" t="str">
        <f>T("   Belgique")</f>
        <v xml:space="preserve">   Belgique</v>
      </c>
      <c r="C11914">
        <v>1314544</v>
      </c>
      <c r="D11914">
        <v>3650</v>
      </c>
    </row>
    <row r="11915" spans="1:4" x14ac:dyDescent="0.25">
      <c r="A11915" t="str">
        <f>T("   CA")</f>
        <v xml:space="preserve">   CA</v>
      </c>
      <c r="B11915" t="str">
        <f>T("   Canada")</f>
        <v xml:space="preserve">   Canada</v>
      </c>
      <c r="C11915">
        <v>548860</v>
      </c>
      <c r="D11915">
        <v>17.64</v>
      </c>
    </row>
    <row r="11916" spans="1:4" x14ac:dyDescent="0.25">
      <c r="A11916" t="str">
        <f>T("   CN")</f>
        <v xml:space="preserve">   CN</v>
      </c>
      <c r="B11916" t="str">
        <f>T("   Chine")</f>
        <v xml:space="preserve">   Chine</v>
      </c>
      <c r="C11916">
        <v>337511</v>
      </c>
      <c r="D11916">
        <v>2500</v>
      </c>
    </row>
    <row r="11917" spans="1:4" x14ac:dyDescent="0.25">
      <c r="A11917" t="str">
        <f>T("   FR")</f>
        <v xml:space="preserve">   FR</v>
      </c>
      <c r="B11917" t="str">
        <f>T("   France")</f>
        <v xml:space="preserve">   France</v>
      </c>
      <c r="C11917">
        <v>134861563</v>
      </c>
      <c r="D11917">
        <v>25158</v>
      </c>
    </row>
    <row r="11918" spans="1:4" x14ac:dyDescent="0.25">
      <c r="A11918" t="str">
        <f>T("   RO")</f>
        <v xml:space="preserve">   RO</v>
      </c>
      <c r="B11918" t="str">
        <f>T("   Roumanie")</f>
        <v xml:space="preserve">   Roumanie</v>
      </c>
      <c r="C11918">
        <v>1269939</v>
      </c>
      <c r="D11918">
        <v>14</v>
      </c>
    </row>
    <row r="11919" spans="1:4" x14ac:dyDescent="0.25">
      <c r="A11919" t="str">
        <f>T("   US")</f>
        <v xml:space="preserve">   US</v>
      </c>
      <c r="B11919" t="str">
        <f>T("   Etats-Unis")</f>
        <v xml:space="preserve">   Etats-Unis</v>
      </c>
      <c r="C11919">
        <v>6499802</v>
      </c>
      <c r="D11919">
        <v>1552</v>
      </c>
    </row>
    <row r="11920" spans="1:4" x14ac:dyDescent="0.25">
      <c r="A11920" t="str">
        <f>T("847149")</f>
        <v>847149</v>
      </c>
      <c r="B11920" t="str">
        <f>T("Machines automatiques de traitement de l'information numériques se présentant sous forme de systèmes [comportant au moins une unité centrale de traitement, une unité d'entrée et une unité de sortie] (sauf portatives d'un poids &lt;= 10 kg et à l'excl. des un")</f>
        <v>Machines automatiques de traitement de l'information numériques se présentant sous forme de systèmes [comportant au moins une unité centrale de traitement, une unité d'entrée et une unité de sortie] (sauf portatives d'un poids &lt;= 10 kg et à l'excl. des un</v>
      </c>
    </row>
    <row r="11921" spans="1:4" x14ac:dyDescent="0.25">
      <c r="A11921" t="str">
        <f>T("   ZZZ_Monde")</f>
        <v xml:space="preserve">   ZZZ_Monde</v>
      </c>
      <c r="B11921" t="str">
        <f>T("   ZZZ_Monde")</f>
        <v xml:space="preserve">   ZZZ_Monde</v>
      </c>
      <c r="C11921">
        <v>393919399</v>
      </c>
      <c r="D11921">
        <v>108335.8</v>
      </c>
    </row>
    <row r="11922" spans="1:4" x14ac:dyDescent="0.25">
      <c r="A11922" t="str">
        <f>T("   BE")</f>
        <v xml:space="preserve">   BE</v>
      </c>
      <c r="B11922" t="str">
        <f>T("   Belgique")</f>
        <v xml:space="preserve">   Belgique</v>
      </c>
      <c r="C11922">
        <v>10200178</v>
      </c>
      <c r="D11922">
        <v>945</v>
      </c>
    </row>
    <row r="11923" spans="1:4" x14ac:dyDescent="0.25">
      <c r="A11923" t="str">
        <f>T("   CN")</f>
        <v xml:space="preserve">   CN</v>
      </c>
      <c r="B11923" t="str">
        <f>T("   Chine")</f>
        <v xml:space="preserve">   Chine</v>
      </c>
      <c r="C11923">
        <v>51937888</v>
      </c>
      <c r="D11923">
        <v>27575</v>
      </c>
    </row>
    <row r="11924" spans="1:4" x14ac:dyDescent="0.25">
      <c r="A11924" t="str">
        <f>T("   DE")</f>
        <v xml:space="preserve">   DE</v>
      </c>
      <c r="B11924" t="str">
        <f>T("   Allemagne")</f>
        <v xml:space="preserve">   Allemagne</v>
      </c>
      <c r="C11924">
        <v>1905512</v>
      </c>
      <c r="D11924">
        <v>2182</v>
      </c>
    </row>
    <row r="11925" spans="1:4" x14ac:dyDescent="0.25">
      <c r="A11925" t="str">
        <f>T("   FR")</f>
        <v xml:space="preserve">   FR</v>
      </c>
      <c r="B11925" t="str">
        <f>T("   France")</f>
        <v xml:space="preserve">   France</v>
      </c>
      <c r="C11925">
        <v>258838587</v>
      </c>
      <c r="D11925">
        <v>41754</v>
      </c>
    </row>
    <row r="11926" spans="1:4" x14ac:dyDescent="0.25">
      <c r="A11926" t="str">
        <f>T("   GB")</f>
        <v xml:space="preserve">   GB</v>
      </c>
      <c r="B11926" t="str">
        <f>T("   Royaume-Uni")</f>
        <v xml:space="preserve">   Royaume-Uni</v>
      </c>
      <c r="C11926">
        <v>2722113</v>
      </c>
      <c r="D11926">
        <v>2771</v>
      </c>
    </row>
    <row r="11927" spans="1:4" x14ac:dyDescent="0.25">
      <c r="A11927" t="str">
        <f>T("   IT")</f>
        <v xml:space="preserve">   IT</v>
      </c>
      <c r="B11927" t="str">
        <f>T("   Italie")</f>
        <v xml:space="preserve">   Italie</v>
      </c>
      <c r="C11927">
        <v>346788</v>
      </c>
      <c r="D11927">
        <v>865</v>
      </c>
    </row>
    <row r="11928" spans="1:4" x14ac:dyDescent="0.25">
      <c r="A11928" t="str">
        <f>T("   NG")</f>
        <v xml:space="preserve">   NG</v>
      </c>
      <c r="B11928" t="str">
        <f>T("   Nigéria")</f>
        <v xml:space="preserve">   Nigéria</v>
      </c>
      <c r="C11928">
        <v>61988000</v>
      </c>
      <c r="D11928">
        <v>28875</v>
      </c>
    </row>
    <row r="11929" spans="1:4" x14ac:dyDescent="0.25">
      <c r="A11929" t="str">
        <f>T("   NL")</f>
        <v xml:space="preserve">   NL</v>
      </c>
      <c r="B11929" t="str">
        <f>T("   Pays-bas")</f>
        <v xml:space="preserve">   Pays-bas</v>
      </c>
      <c r="C11929">
        <v>631939</v>
      </c>
      <c r="D11929">
        <v>6.8</v>
      </c>
    </row>
    <row r="11930" spans="1:4" x14ac:dyDescent="0.25">
      <c r="A11930" t="str">
        <f>T("   SN")</f>
        <v xml:space="preserve">   SN</v>
      </c>
      <c r="B11930" t="str">
        <f>T("   Sénégal")</f>
        <v xml:space="preserve">   Sénégal</v>
      </c>
      <c r="C11930">
        <v>135000</v>
      </c>
      <c r="D11930">
        <v>250</v>
      </c>
    </row>
    <row r="11931" spans="1:4" x14ac:dyDescent="0.25">
      <c r="A11931" t="str">
        <f>T("   US")</f>
        <v xml:space="preserve">   US</v>
      </c>
      <c r="B11931" t="str">
        <f>T("   Etats-Unis")</f>
        <v xml:space="preserve">   Etats-Unis</v>
      </c>
      <c r="C11931">
        <v>5213394</v>
      </c>
      <c r="D11931">
        <v>3112</v>
      </c>
    </row>
    <row r="11932" spans="1:4" x14ac:dyDescent="0.25">
      <c r="A11932" t="str">
        <f>T("847150")</f>
        <v>847150</v>
      </c>
      <c r="B11932" t="str">
        <f>T("Unités de traitement numériques pour machines automatiques de traitement de l'information, pouvant comporter, sous une même enveloppe, un ou deux des types d'unités suivants: unité de mémoire, unité d'entrée et unité de sortie (autres que celles du n° 847")</f>
        <v>Unités de traitement numériques pour machines automatiques de traitement de l'information, pouvant comporter, sous une même enveloppe, un ou deux des types d'unités suivants: unité de mémoire, unité d'entrée et unité de sortie (autres que celles du n° 847</v>
      </c>
    </row>
    <row r="11933" spans="1:4" x14ac:dyDescent="0.25">
      <c r="A11933" t="str">
        <f>T("   ZZZ_Monde")</f>
        <v xml:space="preserve">   ZZZ_Monde</v>
      </c>
      <c r="B11933" t="str">
        <f>T("   ZZZ_Monde")</f>
        <v xml:space="preserve">   ZZZ_Monde</v>
      </c>
      <c r="C11933">
        <v>27539683</v>
      </c>
      <c r="D11933">
        <v>1562</v>
      </c>
    </row>
    <row r="11934" spans="1:4" x14ac:dyDescent="0.25">
      <c r="A11934" t="str">
        <f>T("   CN")</f>
        <v xml:space="preserve">   CN</v>
      </c>
      <c r="B11934" t="str">
        <f>T("   Chine")</f>
        <v xml:space="preserve">   Chine</v>
      </c>
      <c r="C11934">
        <v>7717535</v>
      </c>
      <c r="D11934">
        <v>34</v>
      </c>
    </row>
    <row r="11935" spans="1:4" x14ac:dyDescent="0.25">
      <c r="A11935" t="str">
        <f>T("   FR")</f>
        <v xml:space="preserve">   FR</v>
      </c>
      <c r="B11935" t="str">
        <f>T("   France")</f>
        <v xml:space="preserve">   France</v>
      </c>
      <c r="C11935">
        <v>8582751</v>
      </c>
      <c r="D11935">
        <v>128</v>
      </c>
    </row>
    <row r="11936" spans="1:4" x14ac:dyDescent="0.25">
      <c r="A11936" t="str">
        <f>T("   GB")</f>
        <v xml:space="preserve">   GB</v>
      </c>
      <c r="B11936" t="str">
        <f>T("   Royaume-Uni")</f>
        <v xml:space="preserve">   Royaume-Uni</v>
      </c>
      <c r="C11936">
        <v>437316</v>
      </c>
      <c r="D11936">
        <v>1200</v>
      </c>
    </row>
    <row r="11937" spans="1:4" x14ac:dyDescent="0.25">
      <c r="A11937" t="str">
        <f>T("   NL")</f>
        <v xml:space="preserve">   NL</v>
      </c>
      <c r="B11937" t="str">
        <f>T("   Pays-bas")</f>
        <v xml:space="preserve">   Pays-bas</v>
      </c>
      <c r="C11937">
        <v>10802081</v>
      </c>
      <c r="D11937">
        <v>200</v>
      </c>
    </row>
    <row r="11938" spans="1:4" x14ac:dyDescent="0.25">
      <c r="A11938" t="str">
        <f>T("847160")</f>
        <v>847160</v>
      </c>
      <c r="B11938" t="str">
        <f>T("UNITÉS D'ENTRÉE OU DE SORTIE POUR MACHINES AUTOMATIQUES DE TRAITEMENT DE L'INFORMATION, POUVANT COMPORTER, SOUS LA MÊME ENVELOPPE, DES UNITÉS DE MÉMOIRE")</f>
        <v>UNITÉS D'ENTRÉE OU DE SORTIE POUR MACHINES AUTOMATIQUES DE TRAITEMENT DE L'INFORMATION, POUVANT COMPORTER, SOUS LA MÊME ENVELOPPE, DES UNITÉS DE MÉMOIRE</v>
      </c>
    </row>
    <row r="11939" spans="1:4" x14ac:dyDescent="0.25">
      <c r="A11939" t="str">
        <f>T("   ZZZ_Monde")</f>
        <v xml:space="preserve">   ZZZ_Monde</v>
      </c>
      <c r="B11939" t="str">
        <f>T("   ZZZ_Monde")</f>
        <v xml:space="preserve">   ZZZ_Monde</v>
      </c>
      <c r="C11939">
        <v>69179073</v>
      </c>
      <c r="D11939">
        <v>29514</v>
      </c>
    </row>
    <row r="11940" spans="1:4" x14ac:dyDescent="0.25">
      <c r="A11940" t="str">
        <f>T("   CN")</f>
        <v xml:space="preserve">   CN</v>
      </c>
      <c r="B11940" t="str">
        <f>T("   Chine")</f>
        <v xml:space="preserve">   Chine</v>
      </c>
      <c r="C11940">
        <v>3515666</v>
      </c>
      <c r="D11940">
        <v>11927</v>
      </c>
    </row>
    <row r="11941" spans="1:4" x14ac:dyDescent="0.25">
      <c r="A11941" t="str">
        <f>T("   FR")</f>
        <v xml:space="preserve">   FR</v>
      </c>
      <c r="B11941" t="str">
        <f>T("   France")</f>
        <v xml:space="preserve">   France</v>
      </c>
      <c r="C11941">
        <v>2873855</v>
      </c>
      <c r="D11941">
        <v>2014.5</v>
      </c>
    </row>
    <row r="11942" spans="1:4" x14ac:dyDescent="0.25">
      <c r="A11942" t="str">
        <f>T("   GB")</f>
        <v xml:space="preserve">   GB</v>
      </c>
      <c r="B11942" t="str">
        <f>T("   Royaume-Uni")</f>
        <v xml:space="preserve">   Royaume-Uni</v>
      </c>
      <c r="C11942">
        <v>4734600</v>
      </c>
      <c r="D11942">
        <v>289</v>
      </c>
    </row>
    <row r="11943" spans="1:4" x14ac:dyDescent="0.25">
      <c r="A11943" t="str">
        <f>T("   IE")</f>
        <v xml:space="preserve">   IE</v>
      </c>
      <c r="B11943" t="str">
        <f>T("   Irlande")</f>
        <v xml:space="preserve">   Irlande</v>
      </c>
      <c r="C11943">
        <v>33865858</v>
      </c>
      <c r="D11943">
        <v>5030</v>
      </c>
    </row>
    <row r="11944" spans="1:4" x14ac:dyDescent="0.25">
      <c r="A11944" t="str">
        <f>T("   LB")</f>
        <v xml:space="preserve">   LB</v>
      </c>
      <c r="B11944" t="str">
        <f>T("   Liban")</f>
        <v xml:space="preserve">   Liban</v>
      </c>
      <c r="C11944">
        <v>190091</v>
      </c>
      <c r="D11944">
        <v>3.5</v>
      </c>
    </row>
    <row r="11945" spans="1:4" x14ac:dyDescent="0.25">
      <c r="A11945" t="str">
        <f>T("   NL")</f>
        <v xml:space="preserve">   NL</v>
      </c>
      <c r="B11945" t="str">
        <f>T("   Pays-bas")</f>
        <v xml:space="preserve">   Pays-bas</v>
      </c>
      <c r="C11945">
        <v>7779868</v>
      </c>
      <c r="D11945">
        <v>139</v>
      </c>
    </row>
    <row r="11946" spans="1:4" x14ac:dyDescent="0.25">
      <c r="A11946" t="str">
        <f>T("   TF")</f>
        <v xml:space="preserve">   TF</v>
      </c>
      <c r="B11946" t="str">
        <f>T("   Terres Australes Françaises")</f>
        <v xml:space="preserve">   Terres Australes Françaises</v>
      </c>
      <c r="C11946">
        <v>8222936</v>
      </c>
      <c r="D11946">
        <v>5000</v>
      </c>
    </row>
    <row r="11947" spans="1:4" x14ac:dyDescent="0.25">
      <c r="A11947" t="str">
        <f>T("   TH")</f>
        <v xml:space="preserve">   TH</v>
      </c>
      <c r="B11947" t="str">
        <f>T("   Thaïlande")</f>
        <v xml:space="preserve">   Thaïlande</v>
      </c>
      <c r="C11947">
        <v>6591127</v>
      </c>
      <c r="D11947">
        <v>5067</v>
      </c>
    </row>
    <row r="11948" spans="1:4" x14ac:dyDescent="0.25">
      <c r="A11948" t="str">
        <f>T("   US")</f>
        <v xml:space="preserve">   US</v>
      </c>
      <c r="B11948" t="str">
        <f>T("   Etats-Unis")</f>
        <v xml:space="preserve">   Etats-Unis</v>
      </c>
      <c r="C11948">
        <v>1405072</v>
      </c>
      <c r="D11948">
        <v>44</v>
      </c>
    </row>
    <row r="11949" spans="1:4" x14ac:dyDescent="0.25">
      <c r="A11949" t="str">
        <f>T("847170")</f>
        <v>847170</v>
      </c>
      <c r="B11949" t="str">
        <f>T("UNITÉS DE MÉMOIRE POUR MACHINES AUTOMATIQUES DE TRAITEMENT DE L'INFORMATION")</f>
        <v>UNITÉS DE MÉMOIRE POUR MACHINES AUTOMATIQUES DE TRAITEMENT DE L'INFORMATION</v>
      </c>
    </row>
    <row r="11950" spans="1:4" x14ac:dyDescent="0.25">
      <c r="A11950" t="str">
        <f>T("   ZZZ_Monde")</f>
        <v xml:space="preserve">   ZZZ_Monde</v>
      </c>
      <c r="B11950" t="str">
        <f>T("   ZZZ_Monde")</f>
        <v xml:space="preserve">   ZZZ_Monde</v>
      </c>
      <c r="C11950">
        <v>32352944</v>
      </c>
      <c r="D11950">
        <v>1318.79</v>
      </c>
    </row>
    <row r="11951" spans="1:4" x14ac:dyDescent="0.25">
      <c r="A11951" t="str">
        <f>T("   FI")</f>
        <v xml:space="preserve">   FI</v>
      </c>
      <c r="B11951" t="str">
        <f>T("   Finlande")</f>
        <v xml:space="preserve">   Finlande</v>
      </c>
      <c r="C11951">
        <v>269600</v>
      </c>
      <c r="D11951">
        <v>2</v>
      </c>
    </row>
    <row r="11952" spans="1:4" x14ac:dyDescent="0.25">
      <c r="A11952" t="str">
        <f>T("   FR")</f>
        <v xml:space="preserve">   FR</v>
      </c>
      <c r="B11952" t="str">
        <f>T("   France")</f>
        <v xml:space="preserve">   France</v>
      </c>
      <c r="C11952">
        <v>31126857</v>
      </c>
      <c r="D11952">
        <v>1311.39</v>
      </c>
    </row>
    <row r="11953" spans="1:4" x14ac:dyDescent="0.25">
      <c r="A11953" t="str">
        <f>T("   GB")</f>
        <v xml:space="preserve">   GB</v>
      </c>
      <c r="B11953" t="str">
        <f>T("   Royaume-Uni")</f>
        <v xml:space="preserve">   Royaume-Uni</v>
      </c>
      <c r="C11953">
        <v>763538</v>
      </c>
      <c r="D11953">
        <v>4</v>
      </c>
    </row>
    <row r="11954" spans="1:4" x14ac:dyDescent="0.25">
      <c r="A11954" t="str">
        <f>T("   NL")</f>
        <v xml:space="preserve">   NL</v>
      </c>
      <c r="B11954" t="str">
        <f>T("   Pays-bas")</f>
        <v xml:space="preserve">   Pays-bas</v>
      </c>
      <c r="C11954">
        <v>192949</v>
      </c>
      <c r="D11954">
        <v>1.4</v>
      </c>
    </row>
    <row r="11955" spans="1:4" x14ac:dyDescent="0.25">
      <c r="A11955" t="str">
        <f>T("847180")</f>
        <v>847180</v>
      </c>
      <c r="B11955" t="str">
        <f>T("Unités de machines automatiques de traitement de l'information, numériques (à l'excl. des unités de traitement, unités d'entrée ou de sortie et unités de mémoire)")</f>
        <v>Unités de machines automatiques de traitement de l'information, numériques (à l'excl. des unités de traitement, unités d'entrée ou de sortie et unités de mémoire)</v>
      </c>
    </row>
    <row r="11956" spans="1:4" x14ac:dyDescent="0.25">
      <c r="A11956" t="str">
        <f>T("   ZZZ_Monde")</f>
        <v xml:space="preserve">   ZZZ_Monde</v>
      </c>
      <c r="B11956" t="str">
        <f>T("   ZZZ_Monde")</f>
        <v xml:space="preserve">   ZZZ_Monde</v>
      </c>
      <c r="C11956">
        <v>1179662698</v>
      </c>
      <c r="D11956">
        <v>199486.04</v>
      </c>
    </row>
    <row r="11957" spans="1:4" x14ac:dyDescent="0.25">
      <c r="A11957" t="str">
        <f>T("   AE")</f>
        <v xml:space="preserve">   AE</v>
      </c>
      <c r="B11957" t="str">
        <f>T("   Emirats Arabes Unis")</f>
        <v xml:space="preserve">   Emirats Arabes Unis</v>
      </c>
      <c r="C11957">
        <v>8020163</v>
      </c>
      <c r="D11957">
        <v>2858</v>
      </c>
    </row>
    <row r="11958" spans="1:4" x14ac:dyDescent="0.25">
      <c r="A11958" t="str">
        <f>T("   AL")</f>
        <v xml:space="preserve">   AL</v>
      </c>
      <c r="B11958" t="str">
        <f>T("   Albanie")</f>
        <v xml:space="preserve">   Albanie</v>
      </c>
      <c r="C11958">
        <v>1106262</v>
      </c>
      <c r="D11958">
        <v>76</v>
      </c>
    </row>
    <row r="11959" spans="1:4" x14ac:dyDescent="0.25">
      <c r="A11959" t="str">
        <f>T("   BE")</f>
        <v xml:space="preserve">   BE</v>
      </c>
      <c r="B11959" t="str">
        <f>T("   Belgique")</f>
        <v xml:space="preserve">   Belgique</v>
      </c>
      <c r="C11959">
        <v>39748654</v>
      </c>
      <c r="D11959">
        <v>8540</v>
      </c>
    </row>
    <row r="11960" spans="1:4" x14ac:dyDescent="0.25">
      <c r="A11960" t="str">
        <f>T("   BW")</f>
        <v xml:space="preserve">   BW</v>
      </c>
      <c r="B11960" t="str">
        <f>T("   Botswana")</f>
        <v xml:space="preserve">   Botswana</v>
      </c>
      <c r="C11960">
        <v>50000</v>
      </c>
      <c r="D11960">
        <v>3</v>
      </c>
    </row>
    <row r="11961" spans="1:4" x14ac:dyDescent="0.25">
      <c r="A11961" t="str">
        <f>T("   CH")</f>
        <v xml:space="preserve">   CH</v>
      </c>
      <c r="B11961" t="str">
        <f>T("   Suisse")</f>
        <v xml:space="preserve">   Suisse</v>
      </c>
      <c r="C11961">
        <v>250000</v>
      </c>
      <c r="D11961">
        <v>350</v>
      </c>
    </row>
    <row r="11962" spans="1:4" x14ac:dyDescent="0.25">
      <c r="A11962" t="str">
        <f>T("   CN")</f>
        <v xml:space="preserve">   CN</v>
      </c>
      <c r="B11962" t="str">
        <f>T("   Chine")</f>
        <v xml:space="preserve">   Chine</v>
      </c>
      <c r="C11962">
        <v>114181442</v>
      </c>
      <c r="D11962">
        <v>43499</v>
      </c>
    </row>
    <row r="11963" spans="1:4" x14ac:dyDescent="0.25">
      <c r="A11963" t="str">
        <f>T("   DE")</f>
        <v xml:space="preserve">   DE</v>
      </c>
      <c r="B11963" t="str">
        <f>T("   Allemagne")</f>
        <v xml:space="preserve">   Allemagne</v>
      </c>
      <c r="C11963">
        <v>1744828</v>
      </c>
      <c r="D11963">
        <v>974</v>
      </c>
    </row>
    <row r="11964" spans="1:4" x14ac:dyDescent="0.25">
      <c r="A11964" t="str">
        <f>T("   ES")</f>
        <v xml:space="preserve">   ES</v>
      </c>
      <c r="B11964" t="str">
        <f>T("   Espagne")</f>
        <v xml:space="preserve">   Espagne</v>
      </c>
      <c r="C11964">
        <v>131192</v>
      </c>
      <c r="D11964">
        <v>907</v>
      </c>
    </row>
    <row r="11965" spans="1:4" x14ac:dyDescent="0.25">
      <c r="A11965" t="str">
        <f>T("   FR")</f>
        <v xml:space="preserve">   FR</v>
      </c>
      <c r="B11965" t="str">
        <f>T("   France")</f>
        <v xml:space="preserve">   France</v>
      </c>
      <c r="C11965">
        <v>963925058</v>
      </c>
      <c r="D11965">
        <v>119226.5</v>
      </c>
    </row>
    <row r="11966" spans="1:4" x14ac:dyDescent="0.25">
      <c r="A11966" t="str">
        <f>T("   GB")</f>
        <v xml:space="preserve">   GB</v>
      </c>
      <c r="B11966" t="str">
        <f>T("   Royaume-Uni")</f>
        <v xml:space="preserve">   Royaume-Uni</v>
      </c>
      <c r="C11966">
        <v>4819490</v>
      </c>
      <c r="D11966">
        <v>2821.78</v>
      </c>
    </row>
    <row r="11967" spans="1:4" x14ac:dyDescent="0.25">
      <c r="A11967" t="str">
        <f>T("   KR")</f>
        <v xml:space="preserve">   KR</v>
      </c>
      <c r="B11967" t="str">
        <f>T("   Corée, République de")</f>
        <v xml:space="preserve">   Corée, République de</v>
      </c>
      <c r="C11967">
        <v>15690250</v>
      </c>
      <c r="D11967">
        <v>10797</v>
      </c>
    </row>
    <row r="11968" spans="1:4" x14ac:dyDescent="0.25">
      <c r="A11968" t="str">
        <f>T("   MA")</f>
        <v xml:space="preserve">   MA</v>
      </c>
      <c r="B11968" t="str">
        <f>T("   Maroc")</f>
        <v xml:space="preserve">   Maroc</v>
      </c>
      <c r="C11968">
        <v>220250</v>
      </c>
      <c r="D11968">
        <v>90</v>
      </c>
    </row>
    <row r="11969" spans="1:4" x14ac:dyDescent="0.25">
      <c r="A11969" t="str">
        <f>T("   MG")</f>
        <v xml:space="preserve">   MG</v>
      </c>
      <c r="B11969" t="str">
        <f>T("   Madagascar")</f>
        <v xml:space="preserve">   Madagascar</v>
      </c>
      <c r="C11969">
        <v>131192</v>
      </c>
      <c r="D11969">
        <v>200</v>
      </c>
    </row>
    <row r="11970" spans="1:4" x14ac:dyDescent="0.25">
      <c r="A11970" t="str">
        <f>T("   NL")</f>
        <v xml:space="preserve">   NL</v>
      </c>
      <c r="B11970" t="str">
        <f>T("   Pays-bas")</f>
        <v xml:space="preserve">   Pays-bas</v>
      </c>
      <c r="C11970">
        <v>7516941</v>
      </c>
      <c r="D11970">
        <v>210.5</v>
      </c>
    </row>
    <row r="11971" spans="1:4" x14ac:dyDescent="0.25">
      <c r="A11971" t="str">
        <f>T("   RU")</f>
        <v xml:space="preserve">   RU</v>
      </c>
      <c r="B11971" t="str">
        <f>T("   Russie, Fédération de")</f>
        <v xml:space="preserve">   Russie, Fédération de</v>
      </c>
      <c r="C11971">
        <v>3721195</v>
      </c>
      <c r="D11971">
        <v>33.26</v>
      </c>
    </row>
    <row r="11972" spans="1:4" x14ac:dyDescent="0.25">
      <c r="A11972" t="str">
        <f>T("   SE")</f>
        <v xml:space="preserve">   SE</v>
      </c>
      <c r="B11972" t="str">
        <f>T("   Suède")</f>
        <v xml:space="preserve">   Suède</v>
      </c>
      <c r="C11972">
        <v>343396</v>
      </c>
      <c r="D11972">
        <v>164</v>
      </c>
    </row>
    <row r="11973" spans="1:4" x14ac:dyDescent="0.25">
      <c r="A11973" t="str">
        <f>T("   SN")</f>
        <v xml:space="preserve">   SN</v>
      </c>
      <c r="B11973" t="str">
        <f>T("   Sénégal")</f>
        <v xml:space="preserve">   Sénégal</v>
      </c>
      <c r="C11973">
        <v>2599189</v>
      </c>
      <c r="D11973">
        <v>105</v>
      </c>
    </row>
    <row r="11974" spans="1:4" x14ac:dyDescent="0.25">
      <c r="A11974" t="str">
        <f>T("   US")</f>
        <v xml:space="preserve">   US</v>
      </c>
      <c r="B11974" t="str">
        <f>T("   Etats-Unis")</f>
        <v xml:space="preserve">   Etats-Unis</v>
      </c>
      <c r="C11974">
        <v>15463196</v>
      </c>
      <c r="D11974">
        <v>8631</v>
      </c>
    </row>
    <row r="11975" spans="1:4" x14ac:dyDescent="0.25">
      <c r="A11975" t="str">
        <f>T("847190")</f>
        <v>847190</v>
      </c>
      <c r="B11975" t="str">
        <f>T("Lecteurs magnétiques ou optiques, machines de mise d'informations sur support sous forme codée et machines de traitement de ces informations, n.d.a.")</f>
        <v>Lecteurs magnétiques ou optiques, machines de mise d'informations sur support sous forme codée et machines de traitement de ces informations, n.d.a.</v>
      </c>
    </row>
    <row r="11976" spans="1:4" x14ac:dyDescent="0.25">
      <c r="A11976" t="str">
        <f>T("   ZZZ_Monde")</f>
        <v xml:space="preserve">   ZZZ_Monde</v>
      </c>
      <c r="B11976" t="str">
        <f>T("   ZZZ_Monde")</f>
        <v xml:space="preserve">   ZZZ_Monde</v>
      </c>
      <c r="C11976">
        <v>1026336284</v>
      </c>
      <c r="D11976">
        <v>214210.06</v>
      </c>
    </row>
    <row r="11977" spans="1:4" x14ac:dyDescent="0.25">
      <c r="A11977" t="str">
        <f>T("   AE")</f>
        <v xml:space="preserve">   AE</v>
      </c>
      <c r="B11977" t="str">
        <f>T("   Emirats Arabes Unis")</f>
        <v xml:space="preserve">   Emirats Arabes Unis</v>
      </c>
      <c r="C11977">
        <v>18621991</v>
      </c>
      <c r="D11977">
        <v>8634</v>
      </c>
    </row>
    <row r="11978" spans="1:4" x14ac:dyDescent="0.25">
      <c r="A11978" t="str">
        <f>T("   AF")</f>
        <v xml:space="preserve">   AF</v>
      </c>
      <c r="B11978" t="str">
        <f>T("   Afghanistan")</f>
        <v xml:space="preserve">   Afghanistan</v>
      </c>
      <c r="C11978">
        <v>978704</v>
      </c>
      <c r="D11978">
        <v>2</v>
      </c>
    </row>
    <row r="11979" spans="1:4" x14ac:dyDescent="0.25">
      <c r="A11979" t="str">
        <f>T("   AL")</f>
        <v xml:space="preserve">   AL</v>
      </c>
      <c r="B11979" t="str">
        <f>T("   Albanie")</f>
        <v xml:space="preserve">   Albanie</v>
      </c>
      <c r="C11979">
        <v>412313</v>
      </c>
      <c r="D11979">
        <v>3</v>
      </c>
    </row>
    <row r="11980" spans="1:4" x14ac:dyDescent="0.25">
      <c r="A11980" t="str">
        <f>T("   AU")</f>
        <v xml:space="preserve">   AU</v>
      </c>
      <c r="B11980" t="str">
        <f>T("   Australie")</f>
        <v xml:space="preserve">   Australie</v>
      </c>
      <c r="C11980">
        <v>1919995</v>
      </c>
      <c r="D11980">
        <v>1232</v>
      </c>
    </row>
    <row r="11981" spans="1:4" x14ac:dyDescent="0.25">
      <c r="A11981" t="str">
        <f>T("   BA")</f>
        <v xml:space="preserve">   BA</v>
      </c>
      <c r="B11981" t="str">
        <f>T("   Bosnie Herzégovine")</f>
        <v xml:space="preserve">   Bosnie Herzégovine</v>
      </c>
      <c r="C11981">
        <v>561624</v>
      </c>
      <c r="D11981">
        <v>10</v>
      </c>
    </row>
    <row r="11982" spans="1:4" x14ac:dyDescent="0.25">
      <c r="A11982" t="str">
        <f>T("   BE")</f>
        <v xml:space="preserve">   BE</v>
      </c>
      <c r="B11982" t="str">
        <f>T("   Belgique")</f>
        <v xml:space="preserve">   Belgique</v>
      </c>
      <c r="C11982">
        <v>4697092</v>
      </c>
      <c r="D11982">
        <v>1444.5</v>
      </c>
    </row>
    <row r="11983" spans="1:4" x14ac:dyDescent="0.25">
      <c r="A11983" t="str">
        <f>T("   BG")</f>
        <v xml:space="preserve">   BG</v>
      </c>
      <c r="B11983" t="str">
        <f>T("   Bulgarie")</f>
        <v xml:space="preserve">   Bulgarie</v>
      </c>
      <c r="C11983">
        <v>600000</v>
      </c>
      <c r="D11983">
        <v>134</v>
      </c>
    </row>
    <row r="11984" spans="1:4" x14ac:dyDescent="0.25">
      <c r="A11984" t="str">
        <f>T("   CA")</f>
        <v xml:space="preserve">   CA</v>
      </c>
      <c r="B11984" t="str">
        <f>T("   Canada")</f>
        <v xml:space="preserve">   Canada</v>
      </c>
      <c r="C11984">
        <v>15575814</v>
      </c>
      <c r="D11984">
        <v>449</v>
      </c>
    </row>
    <row r="11985" spans="1:4" x14ac:dyDescent="0.25">
      <c r="A11985" t="str">
        <f>T("   CG")</f>
        <v xml:space="preserve">   CG</v>
      </c>
      <c r="B11985" t="str">
        <f>T("   Congo (Brazzaville)")</f>
        <v xml:space="preserve">   Congo (Brazzaville)</v>
      </c>
      <c r="C11985">
        <v>206000</v>
      </c>
      <c r="D11985">
        <v>4</v>
      </c>
    </row>
    <row r="11986" spans="1:4" x14ac:dyDescent="0.25">
      <c r="A11986" t="str">
        <f>T("   CH")</f>
        <v xml:space="preserve">   CH</v>
      </c>
      <c r="B11986" t="str">
        <f>T("   Suisse")</f>
        <v xml:space="preserve">   Suisse</v>
      </c>
      <c r="C11986">
        <v>421344</v>
      </c>
      <c r="D11986">
        <v>672</v>
      </c>
    </row>
    <row r="11987" spans="1:4" x14ac:dyDescent="0.25">
      <c r="A11987" t="str">
        <f>T("   CI")</f>
        <v xml:space="preserve">   CI</v>
      </c>
      <c r="B11987" t="str">
        <f>T("   Côte d'Ivoire")</f>
        <v xml:space="preserve">   Côte d'Ivoire</v>
      </c>
      <c r="C11987">
        <v>32092194</v>
      </c>
      <c r="D11987">
        <v>666</v>
      </c>
    </row>
    <row r="11988" spans="1:4" x14ac:dyDescent="0.25">
      <c r="A11988" t="str">
        <f>T("   CN")</f>
        <v xml:space="preserve">   CN</v>
      </c>
      <c r="B11988" t="str">
        <f>T("   Chine")</f>
        <v xml:space="preserve">   Chine</v>
      </c>
      <c r="C11988">
        <v>86946613</v>
      </c>
      <c r="D11988">
        <v>38218</v>
      </c>
    </row>
    <row r="11989" spans="1:4" x14ac:dyDescent="0.25">
      <c r="A11989" t="str">
        <f>T("   DE")</f>
        <v xml:space="preserve">   DE</v>
      </c>
      <c r="B11989" t="str">
        <f>T("   Allemagne")</f>
        <v xml:space="preserve">   Allemagne</v>
      </c>
      <c r="C11989">
        <v>140167365</v>
      </c>
      <c r="D11989">
        <v>8120.75</v>
      </c>
    </row>
    <row r="11990" spans="1:4" x14ac:dyDescent="0.25">
      <c r="A11990" t="str">
        <f>T("   DK")</f>
        <v xml:space="preserve">   DK</v>
      </c>
      <c r="B11990" t="str">
        <f>T("   Danemark")</f>
        <v xml:space="preserve">   Danemark</v>
      </c>
      <c r="C11990">
        <v>9097185</v>
      </c>
      <c r="D11990">
        <v>23</v>
      </c>
    </row>
    <row r="11991" spans="1:4" x14ac:dyDescent="0.25">
      <c r="A11991" t="str">
        <f>T("   DZ")</f>
        <v xml:space="preserve">   DZ</v>
      </c>
      <c r="B11991" t="str">
        <f>T("   Algérie")</f>
        <v xml:space="preserve">   Algérie</v>
      </c>
      <c r="C11991">
        <v>1515203</v>
      </c>
      <c r="D11991">
        <v>397</v>
      </c>
    </row>
    <row r="11992" spans="1:4" x14ac:dyDescent="0.25">
      <c r="A11992" t="str">
        <f>T("   FR")</f>
        <v xml:space="preserve">   FR</v>
      </c>
      <c r="B11992" t="str">
        <f>T("   France")</f>
        <v xml:space="preserve">   France</v>
      </c>
      <c r="C11992">
        <v>536192797</v>
      </c>
      <c r="D11992">
        <v>99256.7</v>
      </c>
    </row>
    <row r="11993" spans="1:4" x14ac:dyDescent="0.25">
      <c r="A11993" t="str">
        <f>T("   GB")</f>
        <v xml:space="preserve">   GB</v>
      </c>
      <c r="B11993" t="str">
        <f>T("   Royaume-Uni")</f>
        <v xml:space="preserve">   Royaume-Uni</v>
      </c>
      <c r="C11993">
        <v>4089553</v>
      </c>
      <c r="D11993">
        <v>2538.6</v>
      </c>
    </row>
    <row r="11994" spans="1:4" x14ac:dyDescent="0.25">
      <c r="A11994" t="str">
        <f>T("   GE")</f>
        <v xml:space="preserve">   GE</v>
      </c>
      <c r="B11994" t="str">
        <f>T("   Géorgie")</f>
        <v xml:space="preserve">   Géorgie</v>
      </c>
      <c r="C11994">
        <v>157706</v>
      </c>
      <c r="D11994">
        <v>1</v>
      </c>
    </row>
    <row r="11995" spans="1:4" x14ac:dyDescent="0.25">
      <c r="A11995" t="str">
        <f>T("   GH")</f>
        <v xml:space="preserve">   GH</v>
      </c>
      <c r="B11995" t="str">
        <f>T("   Ghana")</f>
        <v xml:space="preserve">   Ghana</v>
      </c>
      <c r="C11995">
        <v>28738911</v>
      </c>
      <c r="D11995">
        <v>316</v>
      </c>
    </row>
    <row r="11996" spans="1:4" x14ac:dyDescent="0.25">
      <c r="A11996" t="str">
        <f>T("   HK")</f>
        <v xml:space="preserve">   HK</v>
      </c>
      <c r="B11996" t="str">
        <f>T("   Hong-Kong")</f>
        <v xml:space="preserve">   Hong-Kong</v>
      </c>
      <c r="C11996">
        <v>6882344</v>
      </c>
      <c r="D11996">
        <v>31.97</v>
      </c>
    </row>
    <row r="11997" spans="1:4" x14ac:dyDescent="0.25">
      <c r="A11997" t="str">
        <f>T("   HM")</f>
        <v xml:space="preserve">   HM</v>
      </c>
      <c r="B11997" t="str">
        <f>T("   Heard et McDonald, îles")</f>
        <v xml:space="preserve">   Heard et McDonald, îles</v>
      </c>
      <c r="C11997">
        <v>2398034</v>
      </c>
      <c r="D11997">
        <v>17.7</v>
      </c>
    </row>
    <row r="11998" spans="1:4" x14ac:dyDescent="0.25">
      <c r="A11998" t="str">
        <f>T("   HN")</f>
        <v xml:space="preserve">   HN</v>
      </c>
      <c r="B11998" t="str">
        <f>T("   Honduras")</f>
        <v xml:space="preserve">   Honduras</v>
      </c>
      <c r="C11998">
        <v>490000</v>
      </c>
      <c r="D11998">
        <v>68</v>
      </c>
    </row>
    <row r="11999" spans="1:4" x14ac:dyDescent="0.25">
      <c r="A11999" t="str">
        <f>T("   HR")</f>
        <v xml:space="preserve">   HR</v>
      </c>
      <c r="B11999" t="str">
        <f>T("   Croatie")</f>
        <v xml:space="preserve">   Croatie</v>
      </c>
      <c r="C11999">
        <v>11438665</v>
      </c>
      <c r="D11999">
        <v>73</v>
      </c>
    </row>
    <row r="12000" spans="1:4" x14ac:dyDescent="0.25">
      <c r="A12000" t="str">
        <f>T("   IN")</f>
        <v xml:space="preserve">   IN</v>
      </c>
      <c r="B12000" t="str">
        <f>T("   Inde")</f>
        <v xml:space="preserve">   Inde</v>
      </c>
      <c r="C12000">
        <v>1230314</v>
      </c>
      <c r="D12000">
        <v>375</v>
      </c>
    </row>
    <row r="12001" spans="1:4" x14ac:dyDescent="0.25">
      <c r="A12001" t="str">
        <f>T("   IT")</f>
        <v xml:space="preserve">   IT</v>
      </c>
      <c r="B12001" t="str">
        <f>T("   Italie")</f>
        <v xml:space="preserve">   Italie</v>
      </c>
      <c r="C12001">
        <v>4289627</v>
      </c>
      <c r="D12001">
        <v>6460.2</v>
      </c>
    </row>
    <row r="12002" spans="1:4" x14ac:dyDescent="0.25">
      <c r="A12002" t="str">
        <f>T("   JM")</f>
        <v xml:space="preserve">   JM</v>
      </c>
      <c r="B12002" t="str">
        <f>T("   Jamaïque")</f>
        <v xml:space="preserve">   Jamaïque</v>
      </c>
      <c r="C12002">
        <v>1381938</v>
      </c>
      <c r="D12002">
        <v>35</v>
      </c>
    </row>
    <row r="12003" spans="1:4" x14ac:dyDescent="0.25">
      <c r="A12003" t="str">
        <f>T("   JO")</f>
        <v xml:space="preserve">   JO</v>
      </c>
      <c r="B12003" t="str">
        <f>T("   Jordanie")</f>
        <v xml:space="preserve">   Jordanie</v>
      </c>
      <c r="C12003">
        <v>6145267</v>
      </c>
      <c r="D12003">
        <v>285</v>
      </c>
    </row>
    <row r="12004" spans="1:4" x14ac:dyDescent="0.25">
      <c r="A12004" t="str">
        <f>T("   KW")</f>
        <v xml:space="preserve">   KW</v>
      </c>
      <c r="B12004" t="str">
        <f>T("   Koweit")</f>
        <v xml:space="preserve">   Koweit</v>
      </c>
      <c r="C12004">
        <v>200000</v>
      </c>
      <c r="D12004">
        <v>29</v>
      </c>
    </row>
    <row r="12005" spans="1:4" x14ac:dyDescent="0.25">
      <c r="A12005" t="str">
        <f>T("   LB")</f>
        <v xml:space="preserve">   LB</v>
      </c>
      <c r="B12005" t="str">
        <f>T("   Liban")</f>
        <v xml:space="preserve">   Liban</v>
      </c>
      <c r="C12005">
        <v>373893</v>
      </c>
      <c r="D12005">
        <v>8</v>
      </c>
    </row>
    <row r="12006" spans="1:4" x14ac:dyDescent="0.25">
      <c r="A12006" t="str">
        <f>T("   LR")</f>
        <v xml:space="preserve">   LR</v>
      </c>
      <c r="B12006" t="str">
        <f>T("   Libéria")</f>
        <v xml:space="preserve">   Libéria</v>
      </c>
      <c r="C12006">
        <v>243360</v>
      </c>
      <c r="D12006">
        <v>4</v>
      </c>
    </row>
    <row r="12007" spans="1:4" x14ac:dyDescent="0.25">
      <c r="A12007" t="str">
        <f>T("   MR")</f>
        <v xml:space="preserve">   MR</v>
      </c>
      <c r="B12007" t="str">
        <f>T("   Mauritanie")</f>
        <v xml:space="preserve">   Mauritanie</v>
      </c>
      <c r="C12007">
        <v>9736395</v>
      </c>
      <c r="D12007">
        <v>40</v>
      </c>
    </row>
    <row r="12008" spans="1:4" x14ac:dyDescent="0.25">
      <c r="A12008" t="str">
        <f>T("   NE")</f>
        <v xml:space="preserve">   NE</v>
      </c>
      <c r="B12008" t="str">
        <f>T("   Niger")</f>
        <v xml:space="preserve">   Niger</v>
      </c>
      <c r="C12008">
        <v>2544897</v>
      </c>
      <c r="D12008">
        <v>239</v>
      </c>
    </row>
    <row r="12009" spans="1:4" x14ac:dyDescent="0.25">
      <c r="A12009" t="str">
        <f>T("   NG")</f>
        <v xml:space="preserve">   NG</v>
      </c>
      <c r="B12009" t="str">
        <f>T("   Nigéria")</f>
        <v xml:space="preserve">   Nigéria</v>
      </c>
      <c r="C12009">
        <v>33084000</v>
      </c>
      <c r="D12009">
        <v>37800</v>
      </c>
    </row>
    <row r="12010" spans="1:4" x14ac:dyDescent="0.25">
      <c r="A12010" t="str">
        <f>T("   NL")</f>
        <v xml:space="preserve">   NL</v>
      </c>
      <c r="B12010" t="str">
        <f>T("   Pays-bas")</f>
        <v xml:space="preserve">   Pays-bas</v>
      </c>
      <c r="C12010">
        <v>20493363</v>
      </c>
      <c r="D12010">
        <v>329.6</v>
      </c>
    </row>
    <row r="12011" spans="1:4" x14ac:dyDescent="0.25">
      <c r="A12011" t="str">
        <f>T("   SE")</f>
        <v xml:space="preserve">   SE</v>
      </c>
      <c r="B12011" t="str">
        <f>T("   Suède")</f>
        <v xml:space="preserve">   Suède</v>
      </c>
      <c r="C12011">
        <v>887000</v>
      </c>
      <c r="D12011">
        <v>691</v>
      </c>
    </row>
    <row r="12012" spans="1:4" x14ac:dyDescent="0.25">
      <c r="A12012" t="str">
        <f>T("   SN")</f>
        <v xml:space="preserve">   SN</v>
      </c>
      <c r="B12012" t="str">
        <f>T("   Sénégal")</f>
        <v xml:space="preserve">   Sénégal</v>
      </c>
      <c r="C12012">
        <v>2501580</v>
      </c>
      <c r="D12012">
        <v>40</v>
      </c>
    </row>
    <row r="12013" spans="1:4" x14ac:dyDescent="0.25">
      <c r="A12013" t="str">
        <f>T("   TG")</f>
        <v xml:space="preserve">   TG</v>
      </c>
      <c r="B12013" t="str">
        <f>T("   Togo")</f>
        <v xml:space="preserve">   Togo</v>
      </c>
      <c r="C12013">
        <v>986482</v>
      </c>
      <c r="D12013">
        <v>2620</v>
      </c>
    </row>
    <row r="12014" spans="1:4" x14ac:dyDescent="0.25">
      <c r="A12014" t="str">
        <f>T("   TH")</f>
        <v xml:space="preserve">   TH</v>
      </c>
      <c r="B12014" t="str">
        <f>T("   Thaïlande")</f>
        <v xml:space="preserve">   Thaïlande</v>
      </c>
      <c r="C12014">
        <v>2249829</v>
      </c>
      <c r="D12014">
        <v>221</v>
      </c>
    </row>
    <row r="12015" spans="1:4" x14ac:dyDescent="0.25">
      <c r="A12015" t="str">
        <f>T("   UG")</f>
        <v xml:space="preserve">   UG</v>
      </c>
      <c r="B12015" t="str">
        <f>T("   Ouganda")</f>
        <v xml:space="preserve">   Ouganda</v>
      </c>
      <c r="C12015">
        <v>7570368</v>
      </c>
      <c r="D12015">
        <v>29</v>
      </c>
    </row>
    <row r="12016" spans="1:4" x14ac:dyDescent="0.25">
      <c r="A12016" t="str">
        <f>T("   US")</f>
        <v xml:space="preserve">   US</v>
      </c>
      <c r="B12016" t="str">
        <f>T("   Etats-Unis")</f>
        <v xml:space="preserve">   Etats-Unis</v>
      </c>
      <c r="C12016">
        <v>28216524</v>
      </c>
      <c r="D12016">
        <v>2692.04</v>
      </c>
    </row>
    <row r="12017" spans="1:4" x14ac:dyDescent="0.25">
      <c r="A12017" t="str">
        <f>T("847210")</f>
        <v>847210</v>
      </c>
      <c r="B12017" t="str">
        <f>T("Duplicateurs hectographiques ou à stencils (sauf imprimantes, photocopieuses et appareils à procédé thermique de reproduction)")</f>
        <v>Duplicateurs hectographiques ou à stencils (sauf imprimantes, photocopieuses et appareils à procédé thermique de reproduction)</v>
      </c>
    </row>
    <row r="12018" spans="1:4" x14ac:dyDescent="0.25">
      <c r="A12018" t="str">
        <f>T("   ZZZ_Monde")</f>
        <v xml:space="preserve">   ZZZ_Monde</v>
      </c>
      <c r="B12018" t="str">
        <f>T("   ZZZ_Monde")</f>
        <v xml:space="preserve">   ZZZ_Monde</v>
      </c>
      <c r="C12018">
        <v>97738</v>
      </c>
      <c r="D12018">
        <v>100</v>
      </c>
    </row>
    <row r="12019" spans="1:4" x14ac:dyDescent="0.25">
      <c r="A12019" t="str">
        <f>T("   FR")</f>
        <v xml:space="preserve">   FR</v>
      </c>
      <c r="B12019" t="str">
        <f>T("   France")</f>
        <v xml:space="preserve">   France</v>
      </c>
      <c r="C12019">
        <v>97738</v>
      </c>
      <c r="D12019">
        <v>100</v>
      </c>
    </row>
    <row r="12020" spans="1:4" x14ac:dyDescent="0.25">
      <c r="A12020" t="str">
        <f>T("847220")</f>
        <v>847220</v>
      </c>
      <c r="B12020" t="str">
        <f>T("Machines à imprimer les adresses ou à estamper les plaques d'adresses (sauf machines à écrire automatiques, machines automatiques pour le traitement de l'information et leurs unités et sauf imprimantes à laser, imprimantes thermiques ou imprimantes électr")</f>
        <v>Machines à imprimer les adresses ou à estamper les plaques d'adresses (sauf machines à écrire automatiques, machines automatiques pour le traitement de l'information et leurs unités et sauf imprimantes à laser, imprimantes thermiques ou imprimantes électr</v>
      </c>
    </row>
    <row r="12021" spans="1:4" x14ac:dyDescent="0.25">
      <c r="A12021" t="str">
        <f>T("   ZZZ_Monde")</f>
        <v xml:space="preserve">   ZZZ_Monde</v>
      </c>
      <c r="B12021" t="str">
        <f>T("   ZZZ_Monde")</f>
        <v xml:space="preserve">   ZZZ_Monde</v>
      </c>
      <c r="C12021">
        <v>227143</v>
      </c>
      <c r="D12021">
        <v>500</v>
      </c>
    </row>
    <row r="12022" spans="1:4" x14ac:dyDescent="0.25">
      <c r="A12022" t="str">
        <f>T("   FR")</f>
        <v xml:space="preserve">   FR</v>
      </c>
      <c r="B12022" t="str">
        <f>T("   France")</f>
        <v xml:space="preserve">   France</v>
      </c>
      <c r="C12022">
        <v>227143</v>
      </c>
      <c r="D12022">
        <v>500</v>
      </c>
    </row>
    <row r="12023" spans="1:4" x14ac:dyDescent="0.25">
      <c r="A12023" t="str">
        <f>T("847230")</f>
        <v>847230</v>
      </c>
      <c r="B12023" t="str">
        <f>T("Machines pour le triage, le pliage, la mise sous enveloppe ou sous bande de courrier, machines à ouvrir, fermer ou sceller la correspondance et machines à apposer ou à oblitérer les timbres")</f>
        <v>Machines pour le triage, le pliage, la mise sous enveloppe ou sous bande de courrier, machines à ouvrir, fermer ou sceller la correspondance et machines à apposer ou à oblitérer les timbres</v>
      </c>
    </row>
    <row r="12024" spans="1:4" x14ac:dyDescent="0.25">
      <c r="A12024" t="str">
        <f>T("   ZZZ_Monde")</f>
        <v xml:space="preserve">   ZZZ_Monde</v>
      </c>
      <c r="B12024" t="str">
        <f>T("   ZZZ_Monde")</f>
        <v xml:space="preserve">   ZZZ_Monde</v>
      </c>
      <c r="C12024">
        <v>150000</v>
      </c>
      <c r="D12024">
        <v>50</v>
      </c>
    </row>
    <row r="12025" spans="1:4" x14ac:dyDescent="0.25">
      <c r="A12025" t="str">
        <f>T("   TH")</f>
        <v xml:space="preserve">   TH</v>
      </c>
      <c r="B12025" t="str">
        <f>T("   Thaïlande")</f>
        <v xml:space="preserve">   Thaïlande</v>
      </c>
      <c r="C12025">
        <v>150000</v>
      </c>
      <c r="D12025">
        <v>50</v>
      </c>
    </row>
    <row r="12026" spans="1:4" x14ac:dyDescent="0.25">
      <c r="A12026" t="str">
        <f>T("847290")</f>
        <v>847290</v>
      </c>
      <c r="B12026" t="str">
        <f>T("Machines et appareils de bureau, n.d.a.")</f>
        <v>Machines et appareils de bureau, n.d.a.</v>
      </c>
    </row>
    <row r="12027" spans="1:4" x14ac:dyDescent="0.25">
      <c r="A12027" t="str">
        <f>T("   ZZZ_Monde")</f>
        <v xml:space="preserve">   ZZZ_Monde</v>
      </c>
      <c r="B12027" t="str">
        <f>T("   ZZZ_Monde")</f>
        <v xml:space="preserve">   ZZZ_Monde</v>
      </c>
      <c r="C12027">
        <v>417858638</v>
      </c>
      <c r="D12027">
        <v>66162</v>
      </c>
    </row>
    <row r="12028" spans="1:4" x14ac:dyDescent="0.25">
      <c r="A12028" t="str">
        <f>T("   BE")</f>
        <v xml:space="preserve">   BE</v>
      </c>
      <c r="B12028" t="str">
        <f>T("   Belgique")</f>
        <v xml:space="preserve">   Belgique</v>
      </c>
      <c r="C12028">
        <v>932498</v>
      </c>
      <c r="D12028">
        <v>344</v>
      </c>
    </row>
    <row r="12029" spans="1:4" x14ac:dyDescent="0.25">
      <c r="A12029" t="str">
        <f>T("   BF")</f>
        <v xml:space="preserve">   BF</v>
      </c>
      <c r="B12029" t="str">
        <f>T("   Burkina Faso")</f>
        <v xml:space="preserve">   Burkina Faso</v>
      </c>
      <c r="C12029">
        <v>1500000</v>
      </c>
      <c r="D12029">
        <v>190</v>
      </c>
    </row>
    <row r="12030" spans="1:4" x14ac:dyDescent="0.25">
      <c r="A12030" t="str">
        <f>T("   CI")</f>
        <v xml:space="preserve">   CI</v>
      </c>
      <c r="B12030" t="str">
        <f>T("   Côte d'Ivoire")</f>
        <v xml:space="preserve">   Côte d'Ivoire</v>
      </c>
      <c r="C12030">
        <v>1399259</v>
      </c>
      <c r="D12030">
        <v>457</v>
      </c>
    </row>
    <row r="12031" spans="1:4" x14ac:dyDescent="0.25">
      <c r="A12031" t="str">
        <f>T("   CN")</f>
        <v xml:space="preserve">   CN</v>
      </c>
      <c r="B12031" t="str">
        <f>T("   Chine")</f>
        <v xml:space="preserve">   Chine</v>
      </c>
      <c r="C12031">
        <v>1422748</v>
      </c>
      <c r="D12031">
        <v>1889</v>
      </c>
    </row>
    <row r="12032" spans="1:4" x14ac:dyDescent="0.25">
      <c r="A12032" t="str">
        <f>T("   ES")</f>
        <v xml:space="preserve">   ES</v>
      </c>
      <c r="B12032" t="str">
        <f>T("   Espagne")</f>
        <v xml:space="preserve">   Espagne</v>
      </c>
      <c r="C12032">
        <v>38190</v>
      </c>
      <c r="D12032">
        <v>50</v>
      </c>
    </row>
    <row r="12033" spans="1:4" x14ac:dyDescent="0.25">
      <c r="A12033" t="str">
        <f>T("   FR")</f>
        <v xml:space="preserve">   FR</v>
      </c>
      <c r="B12033" t="str">
        <f>T("   France")</f>
        <v xml:space="preserve">   France</v>
      </c>
      <c r="C12033">
        <v>174939699</v>
      </c>
      <c r="D12033">
        <v>34370</v>
      </c>
    </row>
    <row r="12034" spans="1:4" x14ac:dyDescent="0.25">
      <c r="A12034" t="str">
        <f>T("   HU")</f>
        <v xml:space="preserve">   HU</v>
      </c>
      <c r="B12034" t="str">
        <f>T("   Hongrie")</f>
        <v xml:space="preserve">   Hongrie</v>
      </c>
      <c r="C12034">
        <v>42986559</v>
      </c>
      <c r="D12034">
        <v>5635</v>
      </c>
    </row>
    <row r="12035" spans="1:4" x14ac:dyDescent="0.25">
      <c r="A12035" t="str">
        <f>T("   IE")</f>
        <v xml:space="preserve">   IE</v>
      </c>
      <c r="B12035" t="str">
        <f>T("   Irlande")</f>
        <v xml:space="preserve">   Irlande</v>
      </c>
      <c r="C12035">
        <v>164836152</v>
      </c>
      <c r="D12035">
        <v>19715</v>
      </c>
    </row>
    <row r="12036" spans="1:4" x14ac:dyDescent="0.25">
      <c r="A12036" t="str">
        <f>T("   MA")</f>
        <v xml:space="preserve">   MA</v>
      </c>
      <c r="B12036" t="str">
        <f>T("   Maroc")</f>
        <v xml:space="preserve">   Maroc</v>
      </c>
      <c r="C12036">
        <v>17109405</v>
      </c>
      <c r="D12036">
        <v>1498</v>
      </c>
    </row>
    <row r="12037" spans="1:4" x14ac:dyDescent="0.25">
      <c r="A12037" t="str">
        <f>T("   NG")</f>
        <v xml:space="preserve">   NG</v>
      </c>
      <c r="B12037" t="str">
        <f>T("   Nigéria")</f>
        <v xml:space="preserve">   Nigéria</v>
      </c>
      <c r="C12037">
        <v>11361022</v>
      </c>
      <c r="D12037">
        <v>1250</v>
      </c>
    </row>
    <row r="12038" spans="1:4" x14ac:dyDescent="0.25">
      <c r="A12038" t="str">
        <f>T("   SG")</f>
        <v xml:space="preserve">   SG</v>
      </c>
      <c r="B12038" t="str">
        <f>T("   Singapour")</f>
        <v xml:space="preserve">   Singapour</v>
      </c>
      <c r="C12038">
        <v>1333106</v>
      </c>
      <c r="D12038">
        <v>764</v>
      </c>
    </row>
    <row r="12039" spans="1:4" x14ac:dyDescent="0.25">
      <c r="A12039" t="str">
        <f>T("847329")</f>
        <v>847329</v>
      </c>
      <c r="B12039" t="str">
        <f>T("Parties et accessoires pour machines à calculer non-électroniques, machines comptables, caisses enregistreuses ou pour autres machines à dispositif de calcul du n° 8470, n.d.a.")</f>
        <v>Parties et accessoires pour machines à calculer non-électroniques, machines comptables, caisses enregistreuses ou pour autres machines à dispositif de calcul du n° 8470, n.d.a.</v>
      </c>
    </row>
    <row r="12040" spans="1:4" x14ac:dyDescent="0.25">
      <c r="A12040" t="str">
        <f>T("   ZZZ_Monde")</f>
        <v xml:space="preserve">   ZZZ_Monde</v>
      </c>
      <c r="B12040" t="str">
        <f>T("   ZZZ_Monde")</f>
        <v xml:space="preserve">   ZZZ_Monde</v>
      </c>
      <c r="C12040">
        <v>76756</v>
      </c>
      <c r="D12040">
        <v>60</v>
      </c>
    </row>
    <row r="12041" spans="1:4" x14ac:dyDescent="0.25">
      <c r="A12041" t="str">
        <f>T("   TG")</f>
        <v xml:space="preserve">   TG</v>
      </c>
      <c r="B12041" t="str">
        <f>T("   Togo")</f>
        <v xml:space="preserve">   Togo</v>
      </c>
      <c r="C12041">
        <v>76756</v>
      </c>
      <c r="D12041">
        <v>60</v>
      </c>
    </row>
    <row r="12042" spans="1:4" x14ac:dyDescent="0.25">
      <c r="A12042" t="str">
        <f>T("847330")</f>
        <v>847330</v>
      </c>
      <c r="B12042" t="str">
        <f>T("Parties et accessoires pour machines automatiques de traitement de l'information ou pour autres machines du n° 8471, n.d.a.")</f>
        <v>Parties et accessoires pour machines automatiques de traitement de l'information ou pour autres machines du n° 8471, n.d.a.</v>
      </c>
    </row>
    <row r="12043" spans="1:4" x14ac:dyDescent="0.25">
      <c r="A12043" t="str">
        <f>T("   ZZZ_Monde")</f>
        <v xml:space="preserve">   ZZZ_Monde</v>
      </c>
      <c r="B12043" t="str">
        <f>T("   ZZZ_Monde")</f>
        <v xml:space="preserve">   ZZZ_Monde</v>
      </c>
      <c r="C12043">
        <v>212503855</v>
      </c>
      <c r="D12043">
        <v>81305.5</v>
      </c>
    </row>
    <row r="12044" spans="1:4" x14ac:dyDescent="0.25">
      <c r="A12044" t="str">
        <f>T("   AE")</f>
        <v xml:space="preserve">   AE</v>
      </c>
      <c r="B12044" t="str">
        <f>T("   Emirats Arabes Unis")</f>
        <v xml:space="preserve">   Emirats Arabes Unis</v>
      </c>
      <c r="C12044">
        <v>7309592</v>
      </c>
      <c r="D12044">
        <v>2924</v>
      </c>
    </row>
    <row r="12045" spans="1:4" x14ac:dyDescent="0.25">
      <c r="A12045" t="str">
        <f>T("   CH")</f>
        <v xml:space="preserve">   CH</v>
      </c>
      <c r="B12045" t="str">
        <f>T("   Suisse")</f>
        <v xml:space="preserve">   Suisse</v>
      </c>
      <c r="C12045">
        <v>4744284</v>
      </c>
      <c r="D12045">
        <v>30</v>
      </c>
    </row>
    <row r="12046" spans="1:4" x14ac:dyDescent="0.25">
      <c r="A12046" t="str">
        <f>T("   CN")</f>
        <v xml:space="preserve">   CN</v>
      </c>
      <c r="B12046" t="str">
        <f>T("   Chine")</f>
        <v xml:space="preserve">   Chine</v>
      </c>
      <c r="C12046">
        <v>31262643</v>
      </c>
      <c r="D12046">
        <v>66525</v>
      </c>
    </row>
    <row r="12047" spans="1:4" x14ac:dyDescent="0.25">
      <c r="A12047" t="str">
        <f>T("   DE")</f>
        <v xml:space="preserve">   DE</v>
      </c>
      <c r="B12047" t="str">
        <f>T("   Allemagne")</f>
        <v xml:space="preserve">   Allemagne</v>
      </c>
      <c r="C12047">
        <v>2361456</v>
      </c>
      <c r="D12047">
        <v>5478</v>
      </c>
    </row>
    <row r="12048" spans="1:4" x14ac:dyDescent="0.25">
      <c r="A12048" t="str">
        <f>T("   DK")</f>
        <v xml:space="preserve">   DK</v>
      </c>
      <c r="B12048" t="str">
        <f>T("   Danemark")</f>
        <v xml:space="preserve">   Danemark</v>
      </c>
      <c r="C12048">
        <v>27292236</v>
      </c>
      <c r="D12048">
        <v>258</v>
      </c>
    </row>
    <row r="12049" spans="1:4" x14ac:dyDescent="0.25">
      <c r="A12049" t="str">
        <f>T("   FR")</f>
        <v xml:space="preserve">   FR</v>
      </c>
      <c r="B12049" t="str">
        <f>T("   France")</f>
        <v xml:space="preserve">   France</v>
      </c>
      <c r="C12049">
        <v>64244545</v>
      </c>
      <c r="D12049">
        <v>3821.5</v>
      </c>
    </row>
    <row r="12050" spans="1:4" x14ac:dyDescent="0.25">
      <c r="A12050" t="str">
        <f>T("   HK")</f>
        <v xml:space="preserve">   HK</v>
      </c>
      <c r="B12050" t="str">
        <f>T("   Hong-Kong")</f>
        <v xml:space="preserve">   Hong-Kong</v>
      </c>
      <c r="C12050">
        <v>239785</v>
      </c>
      <c r="D12050">
        <v>372</v>
      </c>
    </row>
    <row r="12051" spans="1:4" x14ac:dyDescent="0.25">
      <c r="A12051" t="str">
        <f>T("   IE")</f>
        <v xml:space="preserve">   IE</v>
      </c>
      <c r="B12051" t="str">
        <f>T("   Irlande")</f>
        <v xml:space="preserve">   Irlande</v>
      </c>
      <c r="C12051">
        <v>24031971</v>
      </c>
      <c r="D12051">
        <v>1232</v>
      </c>
    </row>
    <row r="12052" spans="1:4" x14ac:dyDescent="0.25">
      <c r="A12052" t="str">
        <f>T("   KR")</f>
        <v xml:space="preserve">   KR</v>
      </c>
      <c r="B12052" t="str">
        <f>T("   Corée, République de")</f>
        <v xml:space="preserve">   Corée, République de</v>
      </c>
      <c r="C12052">
        <v>5113706</v>
      </c>
      <c r="D12052">
        <v>3</v>
      </c>
    </row>
    <row r="12053" spans="1:4" x14ac:dyDescent="0.25">
      <c r="A12053" t="str">
        <f>T("   LB")</f>
        <v xml:space="preserve">   LB</v>
      </c>
      <c r="B12053" t="str">
        <f>T("   Liban")</f>
        <v xml:space="preserve">   Liban</v>
      </c>
      <c r="C12053">
        <v>37906932</v>
      </c>
      <c r="D12053">
        <v>16</v>
      </c>
    </row>
    <row r="12054" spans="1:4" x14ac:dyDescent="0.25">
      <c r="A12054" t="str">
        <f>T("   NE")</f>
        <v xml:space="preserve">   NE</v>
      </c>
      <c r="B12054" t="str">
        <f>T("   Niger")</f>
        <v xml:space="preserve">   Niger</v>
      </c>
      <c r="C12054">
        <v>688758</v>
      </c>
      <c r="D12054">
        <v>20</v>
      </c>
    </row>
    <row r="12055" spans="1:4" x14ac:dyDescent="0.25">
      <c r="A12055" t="str">
        <f>T("   SG")</f>
        <v xml:space="preserve">   SG</v>
      </c>
      <c r="B12055" t="str">
        <f>T("   Singapour")</f>
        <v xml:space="preserve">   Singapour</v>
      </c>
      <c r="C12055">
        <v>1209563</v>
      </c>
      <c r="D12055">
        <v>600</v>
      </c>
    </row>
    <row r="12056" spans="1:4" x14ac:dyDescent="0.25">
      <c r="A12056" t="str">
        <f>T("   UM")</f>
        <v xml:space="preserve">   UM</v>
      </c>
      <c r="B12056" t="str">
        <f>T("   îles mineures éloignées(Etats-Unis)")</f>
        <v xml:space="preserve">   îles mineures éloignées(Etats-Unis)</v>
      </c>
      <c r="C12056">
        <v>3297053</v>
      </c>
      <c r="D12056">
        <v>8</v>
      </c>
    </row>
    <row r="12057" spans="1:4" x14ac:dyDescent="0.25">
      <c r="A12057" t="str">
        <f>T("   US")</f>
        <v xml:space="preserve">   US</v>
      </c>
      <c r="B12057" t="str">
        <f>T("   Etats-Unis")</f>
        <v xml:space="preserve">   Etats-Unis</v>
      </c>
      <c r="C12057">
        <v>2801331</v>
      </c>
      <c r="D12057">
        <v>18</v>
      </c>
    </row>
    <row r="12058" spans="1:4" x14ac:dyDescent="0.25">
      <c r="A12058" t="str">
        <f>T("847340")</f>
        <v>847340</v>
      </c>
      <c r="B12058" t="str">
        <f>T("Parties et accessoires pour autres machines et appareils de bureau du n° 8472, n.d.a.")</f>
        <v>Parties et accessoires pour autres machines et appareils de bureau du n° 8472, n.d.a.</v>
      </c>
    </row>
    <row r="12059" spans="1:4" x14ac:dyDescent="0.25">
      <c r="A12059" t="str">
        <f>T("   ZZZ_Monde")</f>
        <v xml:space="preserve">   ZZZ_Monde</v>
      </c>
      <c r="B12059" t="str">
        <f>T("   ZZZ_Monde")</f>
        <v xml:space="preserve">   ZZZ_Monde</v>
      </c>
      <c r="C12059">
        <v>14586048</v>
      </c>
      <c r="D12059">
        <v>7987</v>
      </c>
    </row>
    <row r="12060" spans="1:4" x14ac:dyDescent="0.25">
      <c r="A12060" t="str">
        <f>T("   AE")</f>
        <v xml:space="preserve">   AE</v>
      </c>
      <c r="B12060" t="str">
        <f>T("   Emirats Arabes Unis")</f>
        <v xml:space="preserve">   Emirats Arabes Unis</v>
      </c>
      <c r="C12060">
        <v>331260</v>
      </c>
      <c r="D12060">
        <v>25</v>
      </c>
    </row>
    <row r="12061" spans="1:4" x14ac:dyDescent="0.25">
      <c r="A12061" t="str">
        <f>T("   CN")</f>
        <v xml:space="preserve">   CN</v>
      </c>
      <c r="B12061" t="str">
        <f>T("   Chine")</f>
        <v xml:space="preserve">   Chine</v>
      </c>
      <c r="C12061">
        <v>4250000</v>
      </c>
      <c r="D12061">
        <v>7820</v>
      </c>
    </row>
    <row r="12062" spans="1:4" x14ac:dyDescent="0.25">
      <c r="A12062" t="str">
        <f>T("   DK")</f>
        <v xml:space="preserve">   DK</v>
      </c>
      <c r="B12062" t="str">
        <f>T("   Danemark")</f>
        <v xml:space="preserve">   Danemark</v>
      </c>
      <c r="C12062">
        <v>268683</v>
      </c>
      <c r="D12062">
        <v>6</v>
      </c>
    </row>
    <row r="12063" spans="1:4" x14ac:dyDescent="0.25">
      <c r="A12063" t="str">
        <f>T("   FR")</f>
        <v xml:space="preserve">   FR</v>
      </c>
      <c r="B12063" t="str">
        <f>T("   France")</f>
        <v xml:space="preserve">   France</v>
      </c>
      <c r="C12063">
        <v>8613721</v>
      </c>
      <c r="D12063">
        <v>131</v>
      </c>
    </row>
    <row r="12064" spans="1:4" x14ac:dyDescent="0.25">
      <c r="A12064" t="str">
        <f>T("   US")</f>
        <v xml:space="preserve">   US</v>
      </c>
      <c r="B12064" t="str">
        <f>T("   Etats-Unis")</f>
        <v xml:space="preserve">   Etats-Unis</v>
      </c>
      <c r="C12064">
        <v>1122384</v>
      </c>
      <c r="D12064">
        <v>5</v>
      </c>
    </row>
    <row r="12065" spans="1:4" x14ac:dyDescent="0.25">
      <c r="A12065" t="str">
        <f>T("847350")</f>
        <v>847350</v>
      </c>
      <c r="B12065" t="str">
        <f>T("Parties et accessoires qui peuvent être utilisés indifféremment avec les machines ou appareils de plusieurs du n° 8469 à 8472, n.d.a.")</f>
        <v>Parties et accessoires qui peuvent être utilisés indifféremment avec les machines ou appareils de plusieurs du n° 8469 à 8472, n.d.a.</v>
      </c>
    </row>
    <row r="12066" spans="1:4" x14ac:dyDescent="0.25">
      <c r="A12066" t="str">
        <f>T("   ZZZ_Monde")</f>
        <v xml:space="preserve">   ZZZ_Monde</v>
      </c>
      <c r="B12066" t="str">
        <f>T("   ZZZ_Monde")</f>
        <v xml:space="preserve">   ZZZ_Monde</v>
      </c>
      <c r="C12066">
        <v>19572809</v>
      </c>
      <c r="D12066">
        <v>2916</v>
      </c>
    </row>
    <row r="12067" spans="1:4" x14ac:dyDescent="0.25">
      <c r="A12067" t="str">
        <f>T("   FR")</f>
        <v xml:space="preserve">   FR</v>
      </c>
      <c r="B12067" t="str">
        <f>T("   France")</f>
        <v xml:space="preserve">   France</v>
      </c>
      <c r="C12067">
        <v>5123048</v>
      </c>
      <c r="D12067">
        <v>407</v>
      </c>
    </row>
    <row r="12068" spans="1:4" x14ac:dyDescent="0.25">
      <c r="A12068" t="str">
        <f>T("   SG")</f>
        <v xml:space="preserve">   SG</v>
      </c>
      <c r="B12068" t="str">
        <f>T("   Singapour")</f>
        <v xml:space="preserve">   Singapour</v>
      </c>
      <c r="C12068">
        <v>14449761</v>
      </c>
      <c r="D12068">
        <v>2509</v>
      </c>
    </row>
    <row r="12069" spans="1:4" x14ac:dyDescent="0.25">
      <c r="A12069" t="str">
        <f>T("847410")</f>
        <v>847410</v>
      </c>
      <c r="B12069" t="str">
        <f>T("Machines et appareils à trier, cribler, séparer ou laver les matières minérales solides, y.c. -les poudres et les pâtes- (à l'excl. des centrifugeuses et des filtres-presses)")</f>
        <v>Machines et appareils à trier, cribler, séparer ou laver les matières minérales solides, y.c. -les poudres et les pâtes- (à l'excl. des centrifugeuses et des filtres-presses)</v>
      </c>
    </row>
    <row r="12070" spans="1:4" x14ac:dyDescent="0.25">
      <c r="A12070" t="str">
        <f>T("   ZZZ_Monde")</f>
        <v xml:space="preserve">   ZZZ_Monde</v>
      </c>
      <c r="B12070" t="str">
        <f>T("   ZZZ_Monde")</f>
        <v xml:space="preserve">   ZZZ_Monde</v>
      </c>
      <c r="C12070">
        <v>11525217</v>
      </c>
      <c r="D12070">
        <v>2500</v>
      </c>
    </row>
    <row r="12071" spans="1:4" x14ac:dyDescent="0.25">
      <c r="A12071" t="str">
        <f>T("   BE")</f>
        <v xml:space="preserve">   BE</v>
      </c>
      <c r="B12071" t="str">
        <f>T("   Belgique")</f>
        <v xml:space="preserve">   Belgique</v>
      </c>
      <c r="C12071">
        <v>11525217</v>
      </c>
      <c r="D12071">
        <v>2500</v>
      </c>
    </row>
    <row r="12072" spans="1:4" x14ac:dyDescent="0.25">
      <c r="A12072" t="str">
        <f>T("847420")</f>
        <v>847420</v>
      </c>
      <c r="B12072" t="str">
        <f>T("Machines et appareils à concasser, broyer ou pulvériser les matières minérales solides")</f>
        <v>Machines et appareils à concasser, broyer ou pulvériser les matières minérales solides</v>
      </c>
    </row>
    <row r="12073" spans="1:4" x14ac:dyDescent="0.25">
      <c r="A12073" t="str">
        <f>T("   ZZZ_Monde")</f>
        <v xml:space="preserve">   ZZZ_Monde</v>
      </c>
      <c r="B12073" t="str">
        <f>T("   ZZZ_Monde")</f>
        <v xml:space="preserve">   ZZZ_Monde</v>
      </c>
      <c r="C12073">
        <v>301708858</v>
      </c>
      <c r="D12073">
        <v>316962</v>
      </c>
    </row>
    <row r="12074" spans="1:4" x14ac:dyDescent="0.25">
      <c r="A12074" t="str">
        <f>T("   BE")</f>
        <v xml:space="preserve">   BE</v>
      </c>
      <c r="B12074" t="str">
        <f>T("   Belgique")</f>
        <v xml:space="preserve">   Belgique</v>
      </c>
      <c r="C12074">
        <v>62778652</v>
      </c>
      <c r="D12074">
        <v>90500</v>
      </c>
    </row>
    <row r="12075" spans="1:4" x14ac:dyDescent="0.25">
      <c r="A12075" t="str">
        <f>T("   CN")</f>
        <v xml:space="preserve">   CN</v>
      </c>
      <c r="B12075" t="str">
        <f>T("   Chine")</f>
        <v xml:space="preserve">   Chine</v>
      </c>
      <c r="C12075">
        <v>150235175</v>
      </c>
      <c r="D12075">
        <v>99060</v>
      </c>
    </row>
    <row r="12076" spans="1:4" x14ac:dyDescent="0.25">
      <c r="A12076" t="str">
        <f>T("   IT")</f>
        <v xml:space="preserve">   IT</v>
      </c>
      <c r="B12076" t="str">
        <f>T("   Italie")</f>
        <v xml:space="preserve">   Italie</v>
      </c>
      <c r="C12076">
        <v>47082831</v>
      </c>
      <c r="D12076">
        <v>24202</v>
      </c>
    </row>
    <row r="12077" spans="1:4" x14ac:dyDescent="0.25">
      <c r="A12077" t="str">
        <f>T("   NG")</f>
        <v xml:space="preserve">   NG</v>
      </c>
      <c r="B12077" t="str">
        <f>T("   Nigéria")</f>
        <v xml:space="preserve">   Nigéria</v>
      </c>
      <c r="C12077">
        <v>1648000</v>
      </c>
      <c r="D12077">
        <v>1320</v>
      </c>
    </row>
    <row r="12078" spans="1:4" x14ac:dyDescent="0.25">
      <c r="A12078" t="str">
        <f>T("   TG")</f>
        <v xml:space="preserve">   TG</v>
      </c>
      <c r="B12078" t="str">
        <f>T("   Togo")</f>
        <v xml:space="preserve">   Togo</v>
      </c>
      <c r="C12078">
        <v>39964200</v>
      </c>
      <c r="D12078">
        <v>101880</v>
      </c>
    </row>
    <row r="12079" spans="1:4" x14ac:dyDescent="0.25">
      <c r="A12079" t="str">
        <f>T("847431")</f>
        <v>847431</v>
      </c>
      <c r="B12079" t="str">
        <f>T("Bétonnières et appareils à gâcher le ciment (sauf montés sur wagons de chemins de fer ou sur châssis de véhicules automobiles)")</f>
        <v>Bétonnières et appareils à gâcher le ciment (sauf montés sur wagons de chemins de fer ou sur châssis de véhicules automobiles)</v>
      </c>
    </row>
    <row r="12080" spans="1:4" x14ac:dyDescent="0.25">
      <c r="A12080" t="str">
        <f>T("   ZZZ_Monde")</f>
        <v xml:space="preserve">   ZZZ_Monde</v>
      </c>
      <c r="B12080" t="str">
        <f>T("   ZZZ_Monde")</f>
        <v xml:space="preserve">   ZZZ_Monde</v>
      </c>
      <c r="C12080">
        <v>392532297</v>
      </c>
      <c r="D12080">
        <v>216317</v>
      </c>
    </row>
    <row r="12081" spans="1:4" x14ac:dyDescent="0.25">
      <c r="A12081" t="str">
        <f>T("   BE")</f>
        <v xml:space="preserve">   BE</v>
      </c>
      <c r="B12081" t="str">
        <f>T("   Belgique")</f>
        <v xml:space="preserve">   Belgique</v>
      </c>
      <c r="C12081">
        <v>89825850</v>
      </c>
      <c r="D12081">
        <v>19950</v>
      </c>
    </row>
    <row r="12082" spans="1:4" x14ac:dyDescent="0.25">
      <c r="A12082" t="str">
        <f>T("   CN")</f>
        <v xml:space="preserve">   CN</v>
      </c>
      <c r="B12082" t="str">
        <f>T("   Chine")</f>
        <v xml:space="preserve">   Chine</v>
      </c>
      <c r="C12082">
        <v>17818050</v>
      </c>
      <c r="D12082">
        <v>26040</v>
      </c>
    </row>
    <row r="12083" spans="1:4" x14ac:dyDescent="0.25">
      <c r="A12083" t="str">
        <f>T("   FR")</f>
        <v xml:space="preserve">   FR</v>
      </c>
      <c r="B12083" t="str">
        <f>T("   France")</f>
        <v xml:space="preserve">   France</v>
      </c>
      <c r="C12083">
        <v>123818288</v>
      </c>
      <c r="D12083">
        <v>31409</v>
      </c>
    </row>
    <row r="12084" spans="1:4" x14ac:dyDescent="0.25">
      <c r="A12084" t="str">
        <f>T("   IT")</f>
        <v xml:space="preserve">   IT</v>
      </c>
      <c r="B12084" t="str">
        <f>T("   Italie")</f>
        <v xml:space="preserve">   Italie</v>
      </c>
      <c r="C12084">
        <v>30059895</v>
      </c>
      <c r="D12084">
        <v>28230</v>
      </c>
    </row>
    <row r="12085" spans="1:4" x14ac:dyDescent="0.25">
      <c r="A12085" t="str">
        <f>T("   LB")</f>
        <v xml:space="preserve">   LB</v>
      </c>
      <c r="B12085" t="str">
        <f>T("   Liban")</f>
        <v xml:space="preserve">   Liban</v>
      </c>
      <c r="C12085">
        <v>128110214</v>
      </c>
      <c r="D12085">
        <v>107858</v>
      </c>
    </row>
    <row r="12086" spans="1:4" x14ac:dyDescent="0.25">
      <c r="A12086" t="str">
        <f>T("   NG")</f>
        <v xml:space="preserve">   NG</v>
      </c>
      <c r="B12086" t="str">
        <f>T("   Nigéria")</f>
        <v xml:space="preserve">   Nigéria</v>
      </c>
      <c r="C12086">
        <v>1500000</v>
      </c>
      <c r="D12086">
        <v>500</v>
      </c>
    </row>
    <row r="12087" spans="1:4" x14ac:dyDescent="0.25">
      <c r="A12087" t="str">
        <f>T("   SN")</f>
        <v xml:space="preserve">   SN</v>
      </c>
      <c r="B12087" t="str">
        <f>T("   Sénégal")</f>
        <v xml:space="preserve">   Sénégal</v>
      </c>
      <c r="C12087">
        <v>1200000</v>
      </c>
      <c r="D12087">
        <v>1380</v>
      </c>
    </row>
    <row r="12088" spans="1:4" x14ac:dyDescent="0.25">
      <c r="A12088" t="str">
        <f>T("   US")</f>
        <v xml:space="preserve">   US</v>
      </c>
      <c r="B12088" t="str">
        <f>T("   Etats-Unis")</f>
        <v xml:space="preserve">   Etats-Unis</v>
      </c>
      <c r="C12088">
        <v>200000</v>
      </c>
      <c r="D12088">
        <v>950</v>
      </c>
    </row>
    <row r="12089" spans="1:4" x14ac:dyDescent="0.25">
      <c r="A12089" t="str">
        <f>T("847432")</f>
        <v>847432</v>
      </c>
      <c r="B12089" t="str">
        <f>T("Machines à mélanger les matières minérales au bitume")</f>
        <v>Machines à mélanger les matières minérales au bitume</v>
      </c>
    </row>
    <row r="12090" spans="1:4" x14ac:dyDescent="0.25">
      <c r="A12090" t="str">
        <f>T("   ZZZ_Monde")</f>
        <v xml:space="preserve">   ZZZ_Monde</v>
      </c>
      <c r="B12090" t="str">
        <f>T("   ZZZ_Monde")</f>
        <v xml:space="preserve">   ZZZ_Monde</v>
      </c>
      <c r="C12090">
        <v>194941473</v>
      </c>
      <c r="D12090">
        <v>36040</v>
      </c>
    </row>
    <row r="12091" spans="1:4" x14ac:dyDescent="0.25">
      <c r="A12091" t="str">
        <f>T("   BE")</f>
        <v xml:space="preserve">   BE</v>
      </c>
      <c r="B12091" t="str">
        <f>T("   Belgique")</f>
        <v xml:space="preserve">   Belgique</v>
      </c>
      <c r="C12091">
        <v>123320480</v>
      </c>
      <c r="D12091">
        <v>10500</v>
      </c>
    </row>
    <row r="12092" spans="1:4" x14ac:dyDescent="0.25">
      <c r="A12092" t="str">
        <f>T("   CN")</f>
        <v xml:space="preserve">   CN</v>
      </c>
      <c r="B12092" t="str">
        <f>T("   Chine")</f>
        <v xml:space="preserve">   Chine</v>
      </c>
      <c r="C12092">
        <v>71620993</v>
      </c>
      <c r="D12092">
        <v>25540</v>
      </c>
    </row>
    <row r="12093" spans="1:4" x14ac:dyDescent="0.25">
      <c r="A12093" t="str">
        <f>T("847439")</f>
        <v>847439</v>
      </c>
      <c r="B12093" t="str">
        <f>T("Machines et appareils à mélanger ou à malaxer les matières minérales solides, y.c. -les poudres et les pâtes- (sauf bétonnières et appareils à gâcher le ciment, machines à mélanger les matières minérales au bitume et sauf calandres)")</f>
        <v>Machines et appareils à mélanger ou à malaxer les matières minérales solides, y.c. -les poudres et les pâtes- (sauf bétonnières et appareils à gâcher le ciment, machines à mélanger les matières minérales au bitume et sauf calandres)</v>
      </c>
    </row>
    <row r="12094" spans="1:4" x14ac:dyDescent="0.25">
      <c r="A12094" t="str">
        <f>T("   ZZZ_Monde")</f>
        <v xml:space="preserve">   ZZZ_Monde</v>
      </c>
      <c r="B12094" t="str">
        <f>T("   ZZZ_Monde")</f>
        <v xml:space="preserve">   ZZZ_Monde</v>
      </c>
      <c r="C12094">
        <v>27979743</v>
      </c>
      <c r="D12094">
        <v>8006</v>
      </c>
    </row>
    <row r="12095" spans="1:4" x14ac:dyDescent="0.25">
      <c r="A12095" t="str">
        <f>T("   CN")</f>
        <v xml:space="preserve">   CN</v>
      </c>
      <c r="B12095" t="str">
        <f>T("   Chine")</f>
        <v xml:space="preserve">   Chine</v>
      </c>
      <c r="C12095">
        <v>6938473</v>
      </c>
      <c r="D12095">
        <v>3100</v>
      </c>
    </row>
    <row r="12096" spans="1:4" x14ac:dyDescent="0.25">
      <c r="A12096" t="str">
        <f>T("   FR")</f>
        <v xml:space="preserve">   FR</v>
      </c>
      <c r="B12096" t="str">
        <f>T("   France")</f>
        <v xml:space="preserve">   France</v>
      </c>
      <c r="C12096">
        <v>972413</v>
      </c>
      <c r="D12096">
        <v>423</v>
      </c>
    </row>
    <row r="12097" spans="1:4" x14ac:dyDescent="0.25">
      <c r="A12097" t="str">
        <f>T("   IN")</f>
        <v xml:space="preserve">   IN</v>
      </c>
      <c r="B12097" t="str">
        <f>T("   Inde")</f>
        <v xml:space="preserve">   Inde</v>
      </c>
      <c r="C12097">
        <v>259328</v>
      </c>
      <c r="D12097">
        <v>22</v>
      </c>
    </row>
    <row r="12098" spans="1:4" x14ac:dyDescent="0.25">
      <c r="A12098" t="str">
        <f>T("   TG")</f>
        <v xml:space="preserve">   TG</v>
      </c>
      <c r="B12098" t="str">
        <f>T("   Togo")</f>
        <v xml:space="preserve">   Togo</v>
      </c>
      <c r="C12098">
        <v>1000000</v>
      </c>
      <c r="D12098">
        <v>1120</v>
      </c>
    </row>
    <row r="12099" spans="1:4" x14ac:dyDescent="0.25">
      <c r="A12099" t="str">
        <f>T("   ZA")</f>
        <v xml:space="preserve">   ZA</v>
      </c>
      <c r="B12099" t="str">
        <f>T("   Afrique du Sud")</f>
        <v xml:space="preserve">   Afrique du Sud</v>
      </c>
      <c r="C12099">
        <v>18809529</v>
      </c>
      <c r="D12099">
        <v>3341</v>
      </c>
    </row>
    <row r="12100" spans="1:4" x14ac:dyDescent="0.25">
      <c r="A12100" t="str">
        <f>T("847480")</f>
        <v>847480</v>
      </c>
      <c r="B12100" t="str">
        <f>T("Machines à agglomérer, former ou mouler les combustibles minéraux solides, les pâtes céramiques, le ciment, le plâtre ou autres matières minérales en poudre ou pâte; machines à former les moules de fonderie en sable (sauf pour mouler ou couler le verre)")</f>
        <v>Machines à agglomérer, former ou mouler les combustibles minéraux solides, les pâtes céramiques, le ciment, le plâtre ou autres matières minérales en poudre ou pâte; machines à former les moules de fonderie en sable (sauf pour mouler ou couler le verre)</v>
      </c>
    </row>
    <row r="12101" spans="1:4" x14ac:dyDescent="0.25">
      <c r="A12101" t="str">
        <f>T("   ZZZ_Monde")</f>
        <v xml:space="preserve">   ZZZ_Monde</v>
      </c>
      <c r="B12101" t="str">
        <f>T("   ZZZ_Monde")</f>
        <v xml:space="preserve">   ZZZ_Monde</v>
      </c>
      <c r="C12101">
        <v>239845817</v>
      </c>
      <c r="D12101">
        <v>137124</v>
      </c>
    </row>
    <row r="12102" spans="1:4" x14ac:dyDescent="0.25">
      <c r="A12102" t="str">
        <f>T("   CN")</f>
        <v xml:space="preserve">   CN</v>
      </c>
      <c r="B12102" t="str">
        <f>T("   Chine")</f>
        <v xml:space="preserve">   Chine</v>
      </c>
      <c r="C12102">
        <v>170958209</v>
      </c>
      <c r="D12102">
        <v>113338</v>
      </c>
    </row>
    <row r="12103" spans="1:4" x14ac:dyDescent="0.25">
      <c r="A12103" t="str">
        <f>T("   DE")</f>
        <v xml:space="preserve">   DE</v>
      </c>
      <c r="B12103" t="str">
        <f>T("   Allemagne")</f>
        <v xml:space="preserve">   Allemagne</v>
      </c>
      <c r="C12103">
        <v>3642546</v>
      </c>
      <c r="D12103">
        <v>460</v>
      </c>
    </row>
    <row r="12104" spans="1:4" x14ac:dyDescent="0.25">
      <c r="A12104" t="str">
        <f>T("   FR")</f>
        <v xml:space="preserve">   FR</v>
      </c>
      <c r="B12104" t="str">
        <f>T("   France")</f>
        <v xml:space="preserve">   France</v>
      </c>
      <c r="C12104">
        <v>32194902</v>
      </c>
      <c r="D12104">
        <v>6189</v>
      </c>
    </row>
    <row r="12105" spans="1:4" x14ac:dyDescent="0.25">
      <c r="A12105" t="str">
        <f>T("   IT")</f>
        <v xml:space="preserve">   IT</v>
      </c>
      <c r="B12105" t="str">
        <f>T("   Italie")</f>
        <v xml:space="preserve">   Italie</v>
      </c>
      <c r="C12105">
        <v>5893800</v>
      </c>
      <c r="D12105">
        <v>12800</v>
      </c>
    </row>
    <row r="12106" spans="1:4" x14ac:dyDescent="0.25">
      <c r="A12106" t="str">
        <f>T("   LB")</f>
        <v xml:space="preserve">   LB</v>
      </c>
      <c r="B12106" t="str">
        <f>T("   Liban")</f>
        <v xml:space="preserve">   Liban</v>
      </c>
      <c r="C12106">
        <v>587612</v>
      </c>
      <c r="D12106">
        <v>1701</v>
      </c>
    </row>
    <row r="12107" spans="1:4" x14ac:dyDescent="0.25">
      <c r="A12107" t="str">
        <f>T("   NG")</f>
        <v xml:space="preserve">   NG</v>
      </c>
      <c r="B12107" t="str">
        <f>T("   Nigéria")</f>
        <v xml:space="preserve">   Nigéria</v>
      </c>
      <c r="C12107">
        <v>100000</v>
      </c>
      <c r="D12107">
        <v>40</v>
      </c>
    </row>
    <row r="12108" spans="1:4" x14ac:dyDescent="0.25">
      <c r="A12108" t="str">
        <f>T("   ZA")</f>
        <v xml:space="preserve">   ZA</v>
      </c>
      <c r="B12108" t="str">
        <f>T("   Afrique du Sud")</f>
        <v xml:space="preserve">   Afrique du Sud</v>
      </c>
      <c r="C12108">
        <v>26468748</v>
      </c>
      <c r="D12108">
        <v>2596</v>
      </c>
    </row>
    <row r="12109" spans="1:4" x14ac:dyDescent="0.25">
      <c r="A12109" t="str">
        <f>T("847490")</f>
        <v>847490</v>
      </c>
      <c r="B12109" t="str">
        <f>T("Parties des machines et appareils pour le travail des matières minérales du n° 8474, n.d.a.")</f>
        <v>Parties des machines et appareils pour le travail des matières minérales du n° 8474, n.d.a.</v>
      </c>
    </row>
    <row r="12110" spans="1:4" x14ac:dyDescent="0.25">
      <c r="A12110" t="str">
        <f>T("   ZZZ_Monde")</f>
        <v xml:space="preserve">   ZZZ_Monde</v>
      </c>
      <c r="B12110" t="str">
        <f>T("   ZZZ_Monde")</f>
        <v xml:space="preserve">   ZZZ_Monde</v>
      </c>
      <c r="C12110">
        <v>532167175</v>
      </c>
      <c r="D12110">
        <v>130458</v>
      </c>
    </row>
    <row r="12111" spans="1:4" x14ac:dyDescent="0.25">
      <c r="A12111" t="str">
        <f>T("   AE")</f>
        <v xml:space="preserve">   AE</v>
      </c>
      <c r="B12111" t="str">
        <f>T("   Emirats Arabes Unis")</f>
        <v xml:space="preserve">   Emirats Arabes Unis</v>
      </c>
      <c r="C12111">
        <v>3464630</v>
      </c>
      <c r="D12111">
        <v>9000</v>
      </c>
    </row>
    <row r="12112" spans="1:4" x14ac:dyDescent="0.25">
      <c r="A12112" t="str">
        <f>T("   AT")</f>
        <v xml:space="preserve">   AT</v>
      </c>
      <c r="B12112" t="str">
        <f>T("   Autriche")</f>
        <v xml:space="preserve">   Autriche</v>
      </c>
      <c r="C12112">
        <v>34345410</v>
      </c>
      <c r="D12112">
        <v>12124</v>
      </c>
    </row>
    <row r="12113" spans="1:4" x14ac:dyDescent="0.25">
      <c r="A12113" t="str">
        <f>T("   BE")</f>
        <v xml:space="preserve">   BE</v>
      </c>
      <c r="B12113" t="str">
        <f>T("   Belgique")</f>
        <v xml:space="preserve">   Belgique</v>
      </c>
      <c r="C12113">
        <v>113829759</v>
      </c>
      <c r="D12113">
        <v>18475</v>
      </c>
    </row>
    <row r="12114" spans="1:4" x14ac:dyDescent="0.25">
      <c r="A12114" t="str">
        <f>T("   CA")</f>
        <v xml:space="preserve">   CA</v>
      </c>
      <c r="B12114" t="str">
        <f>T("   Canada")</f>
        <v xml:space="preserve">   Canada</v>
      </c>
      <c r="C12114">
        <v>80965091</v>
      </c>
      <c r="D12114">
        <v>34302</v>
      </c>
    </row>
    <row r="12115" spans="1:4" x14ac:dyDescent="0.25">
      <c r="A12115" t="str">
        <f>T("   DE")</f>
        <v xml:space="preserve">   DE</v>
      </c>
      <c r="B12115" t="str">
        <f>T("   Allemagne")</f>
        <v xml:space="preserve">   Allemagne</v>
      </c>
      <c r="C12115">
        <v>114084670</v>
      </c>
      <c r="D12115">
        <v>17064</v>
      </c>
    </row>
    <row r="12116" spans="1:4" x14ac:dyDescent="0.25">
      <c r="A12116" t="str">
        <f>T("   DK")</f>
        <v xml:space="preserve">   DK</v>
      </c>
      <c r="B12116" t="str">
        <f>T("   Danemark")</f>
        <v xml:space="preserve">   Danemark</v>
      </c>
      <c r="C12116">
        <v>12690204</v>
      </c>
      <c r="D12116">
        <v>287</v>
      </c>
    </row>
    <row r="12117" spans="1:4" x14ac:dyDescent="0.25">
      <c r="A12117" t="str">
        <f>T("   ES")</f>
        <v xml:space="preserve">   ES</v>
      </c>
      <c r="B12117" t="str">
        <f>T("   Espagne")</f>
        <v xml:space="preserve">   Espagne</v>
      </c>
      <c r="C12117">
        <v>18987419</v>
      </c>
      <c r="D12117">
        <v>6184</v>
      </c>
    </row>
    <row r="12118" spans="1:4" x14ac:dyDescent="0.25">
      <c r="A12118" t="str">
        <f>T("   FR")</f>
        <v xml:space="preserve">   FR</v>
      </c>
      <c r="B12118" t="str">
        <f>T("   France")</f>
        <v xml:space="preserve">   France</v>
      </c>
      <c r="C12118">
        <v>38844313</v>
      </c>
      <c r="D12118">
        <v>5177</v>
      </c>
    </row>
    <row r="12119" spans="1:4" x14ac:dyDescent="0.25">
      <c r="A12119" t="str">
        <f>T("   GH")</f>
        <v xml:space="preserve">   GH</v>
      </c>
      <c r="B12119" t="str">
        <f>T("   Ghana")</f>
        <v xml:space="preserve">   Ghana</v>
      </c>
      <c r="C12119">
        <v>88236597</v>
      </c>
      <c r="D12119">
        <v>21196</v>
      </c>
    </row>
    <row r="12120" spans="1:4" x14ac:dyDescent="0.25">
      <c r="A12120" t="str">
        <f>T("   IT")</f>
        <v xml:space="preserve">   IT</v>
      </c>
      <c r="B12120" t="str">
        <f>T("   Italie")</f>
        <v xml:space="preserve">   Italie</v>
      </c>
      <c r="C12120">
        <v>1246324</v>
      </c>
      <c r="D12120">
        <v>17</v>
      </c>
    </row>
    <row r="12121" spans="1:4" x14ac:dyDescent="0.25">
      <c r="A12121" t="str">
        <f>T("   LB")</f>
        <v xml:space="preserve">   LB</v>
      </c>
      <c r="B12121" t="str">
        <f>T("   Liban")</f>
        <v xml:space="preserve">   Liban</v>
      </c>
      <c r="C12121">
        <v>2649004</v>
      </c>
      <c r="D12121">
        <v>2075</v>
      </c>
    </row>
    <row r="12122" spans="1:4" x14ac:dyDescent="0.25">
      <c r="A12122" t="str">
        <f>T("   NO")</f>
        <v xml:space="preserve">   NO</v>
      </c>
      <c r="B12122" t="str">
        <f>T("   Norvège")</f>
        <v xml:space="preserve">   Norvège</v>
      </c>
      <c r="C12122">
        <v>16425520</v>
      </c>
      <c r="D12122">
        <v>4107</v>
      </c>
    </row>
    <row r="12123" spans="1:4" x14ac:dyDescent="0.25">
      <c r="A12123" t="str">
        <f>T("   RU")</f>
        <v xml:space="preserve">   RU</v>
      </c>
      <c r="B12123" t="str">
        <f>T("   Russie, Fédération de")</f>
        <v xml:space="preserve">   Russie, Fédération de</v>
      </c>
      <c r="C12123">
        <v>6398234</v>
      </c>
      <c r="D12123">
        <v>450</v>
      </c>
    </row>
    <row r="12124" spans="1:4" x14ac:dyDescent="0.25">
      <c r="A12124" t="str">
        <f>T("847529")</f>
        <v>847529</v>
      </c>
      <c r="B12124" t="str">
        <f>T("Machines pour la fabrication ou le travail à chaud du verre ou des ouvrages en verre (à l'excl. des machines pour la fabrication des fibres optiques et de leurs ébauches, ainsi des fours et des appareils thermiques pour la production de verre trempé)")</f>
        <v>Machines pour la fabrication ou le travail à chaud du verre ou des ouvrages en verre (à l'excl. des machines pour la fabrication des fibres optiques et de leurs ébauches, ainsi des fours et des appareils thermiques pour la production de verre trempé)</v>
      </c>
    </row>
    <row r="12125" spans="1:4" x14ac:dyDescent="0.25">
      <c r="A12125" t="str">
        <f>T("   ZZZ_Monde")</f>
        <v xml:space="preserve">   ZZZ_Monde</v>
      </c>
      <c r="B12125" t="str">
        <f>T("   ZZZ_Monde")</f>
        <v xml:space="preserve">   ZZZ_Monde</v>
      </c>
      <c r="C12125">
        <v>7576753</v>
      </c>
      <c r="D12125">
        <v>3329</v>
      </c>
    </row>
    <row r="12126" spans="1:4" x14ac:dyDescent="0.25">
      <c r="A12126" t="str">
        <f>T("   CN")</f>
        <v xml:space="preserve">   CN</v>
      </c>
      <c r="B12126" t="str">
        <f>T("   Chine")</f>
        <v xml:space="preserve">   Chine</v>
      </c>
      <c r="C12126">
        <v>7576753</v>
      </c>
      <c r="D12126">
        <v>3329</v>
      </c>
    </row>
    <row r="12127" spans="1:4" x14ac:dyDescent="0.25">
      <c r="A12127" t="str">
        <f>T("847689")</f>
        <v>847689</v>
      </c>
      <c r="B12127" t="str">
        <f>T("Machines automatiques de vente de produits, sans dispositif de chauffage ou de réfrigération et machines pour changer la monnaie (sauf machines automatiques de vente de boissons)")</f>
        <v>Machines automatiques de vente de produits, sans dispositif de chauffage ou de réfrigération et machines pour changer la monnaie (sauf machines automatiques de vente de boissons)</v>
      </c>
    </row>
    <row r="12128" spans="1:4" x14ac:dyDescent="0.25">
      <c r="A12128" t="str">
        <f>T("   ZZZ_Monde")</f>
        <v xml:space="preserve">   ZZZ_Monde</v>
      </c>
      <c r="B12128" t="str">
        <f>T("   ZZZ_Monde")</f>
        <v xml:space="preserve">   ZZZ_Monde</v>
      </c>
      <c r="C12128">
        <v>1612350</v>
      </c>
      <c r="D12128">
        <v>2753</v>
      </c>
    </row>
    <row r="12129" spans="1:4" x14ac:dyDescent="0.25">
      <c r="A12129" t="str">
        <f>T("   IT")</f>
        <v xml:space="preserve">   IT</v>
      </c>
      <c r="B12129" t="str">
        <f>T("   Italie")</f>
        <v xml:space="preserve">   Italie</v>
      </c>
      <c r="C12129">
        <v>1612350</v>
      </c>
      <c r="D12129">
        <v>2753</v>
      </c>
    </row>
    <row r="12130" spans="1:4" x14ac:dyDescent="0.25">
      <c r="A12130" t="str">
        <f>T("847690")</f>
        <v>847690</v>
      </c>
      <c r="B12130" t="str">
        <f>T("Parties des machines automatiques de vente de produits, y.c. les machines automatiques pour changer la monnaie, n.d.a.")</f>
        <v>Parties des machines automatiques de vente de produits, y.c. les machines automatiques pour changer la monnaie, n.d.a.</v>
      </c>
    </row>
    <row r="12131" spans="1:4" x14ac:dyDescent="0.25">
      <c r="A12131" t="str">
        <f>T("   ZZZ_Monde")</f>
        <v xml:space="preserve">   ZZZ_Monde</v>
      </c>
      <c r="B12131" t="str">
        <f>T("   ZZZ_Monde")</f>
        <v xml:space="preserve">   ZZZ_Monde</v>
      </c>
      <c r="C12131">
        <v>3753431</v>
      </c>
      <c r="D12131">
        <v>30</v>
      </c>
    </row>
    <row r="12132" spans="1:4" x14ac:dyDescent="0.25">
      <c r="A12132" t="str">
        <f>T("   GH")</f>
        <v xml:space="preserve">   GH</v>
      </c>
      <c r="B12132" t="str">
        <f>T("   Ghana")</f>
        <v xml:space="preserve">   Ghana</v>
      </c>
      <c r="C12132">
        <v>3753431</v>
      </c>
      <c r="D12132">
        <v>30</v>
      </c>
    </row>
    <row r="12133" spans="1:4" x14ac:dyDescent="0.25">
      <c r="A12133" t="str">
        <f>T("847710")</f>
        <v>847710</v>
      </c>
      <c r="B12133" t="str">
        <f>T("Machines à mouler par injection pour le travail du caoutchouc ou des matières plastiques ou pour la fabrication de produits en ces matières")</f>
        <v>Machines à mouler par injection pour le travail du caoutchouc ou des matières plastiques ou pour la fabrication de produits en ces matières</v>
      </c>
    </row>
    <row r="12134" spans="1:4" x14ac:dyDescent="0.25">
      <c r="A12134" t="str">
        <f>T("   ZZZ_Monde")</f>
        <v xml:space="preserve">   ZZZ_Monde</v>
      </c>
      <c r="B12134" t="str">
        <f>T("   ZZZ_Monde")</f>
        <v xml:space="preserve">   ZZZ_Monde</v>
      </c>
      <c r="C12134">
        <v>311151090</v>
      </c>
      <c r="D12134">
        <v>57894</v>
      </c>
    </row>
    <row r="12135" spans="1:4" x14ac:dyDescent="0.25">
      <c r="A12135" t="str">
        <f>T("   AU")</f>
        <v xml:space="preserve">   AU</v>
      </c>
      <c r="B12135" t="str">
        <f>T("   Australie")</f>
        <v xml:space="preserve">   Australie</v>
      </c>
      <c r="C12135">
        <v>14431195</v>
      </c>
      <c r="D12135">
        <v>56</v>
      </c>
    </row>
    <row r="12136" spans="1:4" x14ac:dyDescent="0.25">
      <c r="A12136" t="str">
        <f>T("   CN")</f>
        <v xml:space="preserve">   CN</v>
      </c>
      <c r="B12136" t="str">
        <f>T("   Chine")</f>
        <v xml:space="preserve">   Chine</v>
      </c>
      <c r="C12136">
        <v>296719895</v>
      </c>
      <c r="D12136">
        <v>57838</v>
      </c>
    </row>
    <row r="12137" spans="1:4" x14ac:dyDescent="0.25">
      <c r="A12137" t="str">
        <f>T("847720")</f>
        <v>847720</v>
      </c>
      <c r="B12137" t="str">
        <f>T("Extrudeuses pour le travail du caoutchouc ou des matières plastiques ou pour la fabrication de produits en ces matières")</f>
        <v>Extrudeuses pour le travail du caoutchouc ou des matières plastiques ou pour la fabrication de produits en ces matières</v>
      </c>
    </row>
    <row r="12138" spans="1:4" x14ac:dyDescent="0.25">
      <c r="A12138" t="str">
        <f>T("   ZZZ_Monde")</f>
        <v xml:space="preserve">   ZZZ_Monde</v>
      </c>
      <c r="B12138" t="str">
        <f>T("   ZZZ_Monde")</f>
        <v xml:space="preserve">   ZZZ_Monde</v>
      </c>
      <c r="C12138">
        <v>5677048</v>
      </c>
      <c r="D12138">
        <v>9100</v>
      </c>
    </row>
    <row r="12139" spans="1:4" x14ac:dyDescent="0.25">
      <c r="A12139" t="str">
        <f>T("   JP")</f>
        <v xml:space="preserve">   JP</v>
      </c>
      <c r="B12139" t="str">
        <f>T("   Japon")</f>
        <v xml:space="preserve">   Japon</v>
      </c>
      <c r="C12139">
        <v>5677048</v>
      </c>
      <c r="D12139">
        <v>9100</v>
      </c>
    </row>
    <row r="12140" spans="1:4" x14ac:dyDescent="0.25">
      <c r="A12140" t="str">
        <f>T("847730")</f>
        <v>847730</v>
      </c>
      <c r="B12140" t="str">
        <f>T("Machines à mouler par soufflage pour le travail du caoutchouc ou des matières plastiques ou pour la fabrication de produits en ces matières")</f>
        <v>Machines à mouler par soufflage pour le travail du caoutchouc ou des matières plastiques ou pour la fabrication de produits en ces matières</v>
      </c>
    </row>
    <row r="12141" spans="1:4" x14ac:dyDescent="0.25">
      <c r="A12141" t="str">
        <f>T("   ZZZ_Monde")</f>
        <v xml:space="preserve">   ZZZ_Monde</v>
      </c>
      <c r="B12141" t="str">
        <f>T("   ZZZ_Monde")</f>
        <v xml:space="preserve">   ZZZ_Monde</v>
      </c>
      <c r="C12141">
        <v>19980089</v>
      </c>
      <c r="D12141">
        <v>6714</v>
      </c>
    </row>
    <row r="12142" spans="1:4" x14ac:dyDescent="0.25">
      <c r="A12142" t="str">
        <f>T("   LB")</f>
        <v xml:space="preserve">   LB</v>
      </c>
      <c r="B12142" t="str">
        <f>T("   Liban")</f>
        <v xml:space="preserve">   Liban</v>
      </c>
      <c r="C12142">
        <v>19980089</v>
      </c>
      <c r="D12142">
        <v>6714</v>
      </c>
    </row>
    <row r="12143" spans="1:4" x14ac:dyDescent="0.25">
      <c r="A12143" t="str">
        <f>T("847780")</f>
        <v>847780</v>
      </c>
      <c r="B12143" t="str">
        <f>T("MACHINES ET APPAREILS POUR LE TRAVAIL DU CAOUTCHOUC OU DES MATIÈRES PLASTIQUES OU POUR LA FABRICATION DE PRODUITS EN CES MATIÈRES N.D.A. DANS LE CHAPITRE 84")</f>
        <v>MACHINES ET APPAREILS POUR LE TRAVAIL DU CAOUTCHOUC OU DES MATIÈRES PLASTIQUES OU POUR LA FABRICATION DE PRODUITS EN CES MATIÈRES N.D.A. DANS LE CHAPITRE 84</v>
      </c>
    </row>
    <row r="12144" spans="1:4" x14ac:dyDescent="0.25">
      <c r="A12144" t="str">
        <f>T("   ZZZ_Monde")</f>
        <v xml:space="preserve">   ZZZ_Monde</v>
      </c>
      <c r="B12144" t="str">
        <f>T("   ZZZ_Monde")</f>
        <v xml:space="preserve">   ZZZ_Monde</v>
      </c>
      <c r="C12144">
        <v>126166609</v>
      </c>
      <c r="D12144">
        <v>92332</v>
      </c>
    </row>
    <row r="12145" spans="1:4" x14ac:dyDescent="0.25">
      <c r="A12145" t="str">
        <f>T("   BE")</f>
        <v xml:space="preserve">   BE</v>
      </c>
      <c r="B12145" t="str">
        <f>T("   Belgique")</f>
        <v xml:space="preserve">   Belgique</v>
      </c>
      <c r="C12145">
        <v>2582993</v>
      </c>
      <c r="D12145">
        <v>412</v>
      </c>
    </row>
    <row r="12146" spans="1:4" x14ac:dyDescent="0.25">
      <c r="A12146" t="str">
        <f>T("   CN")</f>
        <v xml:space="preserve">   CN</v>
      </c>
      <c r="B12146" t="str">
        <f>T("   Chine")</f>
        <v xml:space="preserve">   Chine</v>
      </c>
      <c r="C12146">
        <v>50246833</v>
      </c>
      <c r="D12146">
        <v>1545</v>
      </c>
    </row>
    <row r="12147" spans="1:4" x14ac:dyDescent="0.25">
      <c r="A12147" t="str">
        <f>T("   DE")</f>
        <v xml:space="preserve">   DE</v>
      </c>
      <c r="B12147" t="str">
        <f>T("   Allemagne")</f>
        <v xml:space="preserve">   Allemagne</v>
      </c>
      <c r="C12147">
        <v>20335</v>
      </c>
      <c r="D12147">
        <v>500</v>
      </c>
    </row>
    <row r="12148" spans="1:4" x14ac:dyDescent="0.25">
      <c r="A12148" t="str">
        <f>T("   ES")</f>
        <v xml:space="preserve">   ES</v>
      </c>
      <c r="B12148" t="str">
        <f>T("   Espagne")</f>
        <v xml:space="preserve">   Espagne</v>
      </c>
      <c r="C12148">
        <v>10915830</v>
      </c>
      <c r="D12148">
        <v>71165</v>
      </c>
    </row>
    <row r="12149" spans="1:4" x14ac:dyDescent="0.25">
      <c r="A12149" t="str">
        <f>T("   FR")</f>
        <v xml:space="preserve">   FR</v>
      </c>
      <c r="B12149" t="str">
        <f>T("   France")</f>
        <v xml:space="preserve">   France</v>
      </c>
      <c r="C12149">
        <v>360000</v>
      </c>
      <c r="D12149">
        <v>2000</v>
      </c>
    </row>
    <row r="12150" spans="1:4" x14ac:dyDescent="0.25">
      <c r="A12150" t="str">
        <f>T("   LB")</f>
        <v xml:space="preserve">   LB</v>
      </c>
      <c r="B12150" t="str">
        <f>T("   Liban")</f>
        <v xml:space="preserve">   Liban</v>
      </c>
      <c r="C12150">
        <v>61785564</v>
      </c>
      <c r="D12150">
        <v>16050</v>
      </c>
    </row>
    <row r="12151" spans="1:4" x14ac:dyDescent="0.25">
      <c r="A12151" t="str">
        <f>T("   NG")</f>
        <v xml:space="preserve">   NG</v>
      </c>
      <c r="B12151" t="str">
        <f>T("   Nigéria")</f>
        <v xml:space="preserve">   Nigéria</v>
      </c>
      <c r="C12151">
        <v>76000</v>
      </c>
      <c r="D12151">
        <v>100</v>
      </c>
    </row>
    <row r="12152" spans="1:4" x14ac:dyDescent="0.25">
      <c r="A12152" t="str">
        <f>T("   TG")</f>
        <v xml:space="preserve">   TG</v>
      </c>
      <c r="B12152" t="str">
        <f>T("   Togo")</f>
        <v xml:space="preserve">   Togo</v>
      </c>
      <c r="C12152">
        <v>179054</v>
      </c>
      <c r="D12152">
        <v>560</v>
      </c>
    </row>
    <row r="12153" spans="1:4" x14ac:dyDescent="0.25">
      <c r="A12153" t="str">
        <f>T("847790")</f>
        <v>847790</v>
      </c>
      <c r="B12153" t="str">
        <f>T("Parties des machines et appareils pour le travail du caoutchouc ou des matières plastiques ou pour la fabrication de produits en ces matières, n.d.a.")</f>
        <v>Parties des machines et appareils pour le travail du caoutchouc ou des matières plastiques ou pour la fabrication de produits en ces matières, n.d.a.</v>
      </c>
    </row>
    <row r="12154" spans="1:4" x14ac:dyDescent="0.25">
      <c r="A12154" t="str">
        <f>T("   ZZZ_Monde")</f>
        <v xml:space="preserve">   ZZZ_Monde</v>
      </c>
      <c r="B12154" t="str">
        <f>T("   ZZZ_Monde")</f>
        <v xml:space="preserve">   ZZZ_Monde</v>
      </c>
      <c r="C12154">
        <v>193126699</v>
      </c>
      <c r="D12154">
        <v>10403</v>
      </c>
    </row>
    <row r="12155" spans="1:4" x14ac:dyDescent="0.25">
      <c r="A12155" t="str">
        <f>T("   BE")</f>
        <v xml:space="preserve">   BE</v>
      </c>
      <c r="B12155" t="str">
        <f>T("   Belgique")</f>
        <v xml:space="preserve">   Belgique</v>
      </c>
      <c r="C12155">
        <v>118930738</v>
      </c>
      <c r="D12155">
        <v>1094</v>
      </c>
    </row>
    <row r="12156" spans="1:4" x14ac:dyDescent="0.25">
      <c r="A12156" t="str">
        <f>T("   CH")</f>
        <v xml:space="preserve">   CH</v>
      </c>
      <c r="B12156" t="str">
        <f>T("   Suisse")</f>
        <v xml:space="preserve">   Suisse</v>
      </c>
      <c r="C12156">
        <v>50276008</v>
      </c>
      <c r="D12156">
        <v>6183</v>
      </c>
    </row>
    <row r="12157" spans="1:4" x14ac:dyDescent="0.25">
      <c r="A12157" t="str">
        <f>T("   CN")</f>
        <v xml:space="preserve">   CN</v>
      </c>
      <c r="B12157" t="str">
        <f>T("   Chine")</f>
        <v xml:space="preserve">   Chine</v>
      </c>
      <c r="C12157">
        <v>987461</v>
      </c>
      <c r="D12157">
        <v>341</v>
      </c>
    </row>
    <row r="12158" spans="1:4" x14ac:dyDescent="0.25">
      <c r="A12158" t="str">
        <f>T("   DE")</f>
        <v xml:space="preserve">   DE</v>
      </c>
      <c r="B12158" t="str">
        <f>T("   Allemagne")</f>
        <v xml:space="preserve">   Allemagne</v>
      </c>
      <c r="C12158">
        <v>3009896</v>
      </c>
      <c r="D12158">
        <v>90</v>
      </c>
    </row>
    <row r="12159" spans="1:4" x14ac:dyDescent="0.25">
      <c r="A12159" t="str">
        <f>T("   DK")</f>
        <v xml:space="preserve">   DK</v>
      </c>
      <c r="B12159" t="str">
        <f>T("   Danemark")</f>
        <v xml:space="preserve">   Danemark</v>
      </c>
      <c r="C12159">
        <v>374065</v>
      </c>
      <c r="D12159">
        <v>7</v>
      </c>
    </row>
    <row r="12160" spans="1:4" x14ac:dyDescent="0.25">
      <c r="A12160" t="str">
        <f>T("   FR")</f>
        <v xml:space="preserve">   FR</v>
      </c>
      <c r="B12160" t="str">
        <f>T("   France")</f>
        <v xml:space="preserve">   France</v>
      </c>
      <c r="C12160">
        <v>14114291</v>
      </c>
      <c r="D12160">
        <v>156</v>
      </c>
    </row>
    <row r="12161" spans="1:4" x14ac:dyDescent="0.25">
      <c r="A12161" t="str">
        <f>T("   IT")</f>
        <v xml:space="preserve">   IT</v>
      </c>
      <c r="B12161" t="str">
        <f>T("   Italie")</f>
        <v xml:space="preserve">   Italie</v>
      </c>
      <c r="C12161">
        <v>3533860</v>
      </c>
      <c r="D12161">
        <v>32</v>
      </c>
    </row>
    <row r="12162" spans="1:4" x14ac:dyDescent="0.25">
      <c r="A12162" t="str">
        <f>T("   NG")</f>
        <v xml:space="preserve">   NG</v>
      </c>
      <c r="B12162" t="str">
        <f>T("   Nigéria")</f>
        <v xml:space="preserve">   Nigéria</v>
      </c>
      <c r="C12162">
        <v>1900380</v>
      </c>
      <c r="D12162">
        <v>2500</v>
      </c>
    </row>
    <row r="12163" spans="1:4" x14ac:dyDescent="0.25">
      <c r="A12163" t="str">
        <f>T("847910")</f>
        <v>847910</v>
      </c>
      <c r="B12163" t="str">
        <f>T("Machines et appareils pour les travaux publics, le bâtiment ou les travaux analogues, n.d.a.")</f>
        <v>Machines et appareils pour les travaux publics, le bâtiment ou les travaux analogues, n.d.a.</v>
      </c>
    </row>
    <row r="12164" spans="1:4" x14ac:dyDescent="0.25">
      <c r="A12164" t="str">
        <f>T("   ZZZ_Monde")</f>
        <v xml:space="preserve">   ZZZ_Monde</v>
      </c>
      <c r="B12164" t="str">
        <f>T("   ZZZ_Monde")</f>
        <v xml:space="preserve">   ZZZ_Monde</v>
      </c>
      <c r="C12164">
        <v>30346417</v>
      </c>
      <c r="D12164">
        <v>37265</v>
      </c>
    </row>
    <row r="12165" spans="1:4" x14ac:dyDescent="0.25">
      <c r="A12165" t="str">
        <f>T("   BE")</f>
        <v xml:space="preserve">   BE</v>
      </c>
      <c r="B12165" t="str">
        <f>T("   Belgique")</f>
        <v xml:space="preserve">   Belgique</v>
      </c>
      <c r="C12165">
        <v>9360000</v>
      </c>
      <c r="D12165">
        <v>6000</v>
      </c>
    </row>
    <row r="12166" spans="1:4" x14ac:dyDescent="0.25">
      <c r="A12166" t="str">
        <f>T("   FR")</f>
        <v xml:space="preserve">   FR</v>
      </c>
      <c r="B12166" t="str">
        <f>T("   France")</f>
        <v xml:space="preserve">   France</v>
      </c>
      <c r="C12166">
        <v>8873292</v>
      </c>
      <c r="D12166">
        <v>8165</v>
      </c>
    </row>
    <row r="12167" spans="1:4" x14ac:dyDescent="0.25">
      <c r="A12167" t="str">
        <f>T("   NE")</f>
        <v xml:space="preserve">   NE</v>
      </c>
      <c r="B12167" t="str">
        <f>T("   Niger")</f>
        <v xml:space="preserve">   Niger</v>
      </c>
      <c r="C12167">
        <v>11953125</v>
      </c>
      <c r="D12167">
        <v>23000</v>
      </c>
    </row>
    <row r="12168" spans="1:4" x14ac:dyDescent="0.25">
      <c r="A12168" t="str">
        <f>T("   NG")</f>
        <v xml:space="preserve">   NG</v>
      </c>
      <c r="B12168" t="str">
        <f>T("   Nigéria")</f>
        <v xml:space="preserve">   Nigéria</v>
      </c>
      <c r="C12168">
        <v>160000</v>
      </c>
      <c r="D12168">
        <v>100</v>
      </c>
    </row>
    <row r="12169" spans="1:4" x14ac:dyDescent="0.25">
      <c r="A12169" t="str">
        <f>T("847920")</f>
        <v>847920</v>
      </c>
      <c r="B12169" t="str">
        <f>T("MACHINES ET APPAREILS POUR L'EXTRACTION OU LA PRÉPARATION DES HUILES OU GRAISSES VÉGÉTALES FIXES OU ANIMALES (À L'EXCL. DES CENTRIFUGEUSES, DES APPAREILS POUR LA FILTRATION ET DES APPAREILS DE CHAUFFAGE) [01/01/1988-31/12/1994: MACHINES ET APPAREILS POUR")</f>
        <v>MACHINES ET APPAREILS POUR L'EXTRACTION OU LA PRÉPARATION DES HUILES OU GRAISSES VÉGÉTALES FIXES OU ANIMALES (À L'EXCL. DES CENTRIFUGEUSES, DES APPAREILS POUR LA FILTRATION ET DES APPAREILS DE CHAUFFAGE) [01/01/1988-31/12/1994: MACHINES ET APPAREILS POUR</v>
      </c>
    </row>
    <row r="12170" spans="1:4" x14ac:dyDescent="0.25">
      <c r="A12170" t="str">
        <f>T("   ZZZ_Monde")</f>
        <v xml:space="preserve">   ZZZ_Monde</v>
      </c>
      <c r="B12170" t="str">
        <f>T("   ZZZ_Monde")</f>
        <v xml:space="preserve">   ZZZ_Monde</v>
      </c>
      <c r="C12170">
        <v>121248820</v>
      </c>
      <c r="D12170">
        <v>23512</v>
      </c>
    </row>
    <row r="12171" spans="1:4" x14ac:dyDescent="0.25">
      <c r="A12171" t="str">
        <f>T("   AE")</f>
        <v xml:space="preserve">   AE</v>
      </c>
      <c r="B12171" t="str">
        <f>T("   Emirats Arabes Unis")</f>
        <v xml:space="preserve">   Emirats Arabes Unis</v>
      </c>
      <c r="C12171">
        <v>108046449</v>
      </c>
      <c r="D12171">
        <v>19000</v>
      </c>
    </row>
    <row r="12172" spans="1:4" x14ac:dyDescent="0.25">
      <c r="A12172" t="str">
        <f>T("   FR")</f>
        <v xml:space="preserve">   FR</v>
      </c>
      <c r="B12172" t="str">
        <f>T("   France")</f>
        <v xml:space="preserve">   France</v>
      </c>
      <c r="C12172">
        <v>2818529</v>
      </c>
      <c r="D12172">
        <v>27</v>
      </c>
    </row>
    <row r="12173" spans="1:4" x14ac:dyDescent="0.25">
      <c r="A12173" t="str">
        <f>T("   IN")</f>
        <v xml:space="preserve">   IN</v>
      </c>
      <c r="B12173" t="str">
        <f>T("   Inde")</f>
        <v xml:space="preserve">   Inde</v>
      </c>
      <c r="C12173">
        <v>10383842</v>
      </c>
      <c r="D12173">
        <v>4485</v>
      </c>
    </row>
    <row r="12174" spans="1:4" x14ac:dyDescent="0.25">
      <c r="A12174" t="str">
        <f>T("847960")</f>
        <v>847960</v>
      </c>
      <c r="B12174" t="str">
        <f>T("Appareils mécaniques à évaporation pour le rafraîchissement de l'air, n.d.a.")</f>
        <v>Appareils mécaniques à évaporation pour le rafraîchissement de l'air, n.d.a.</v>
      </c>
    </row>
    <row r="12175" spans="1:4" x14ac:dyDescent="0.25">
      <c r="A12175" t="str">
        <f>T("   ZZZ_Monde")</f>
        <v xml:space="preserve">   ZZZ_Monde</v>
      </c>
      <c r="B12175" t="str">
        <f>T("   ZZZ_Monde")</f>
        <v xml:space="preserve">   ZZZ_Monde</v>
      </c>
      <c r="C12175">
        <v>287131</v>
      </c>
      <c r="D12175">
        <v>520</v>
      </c>
    </row>
    <row r="12176" spans="1:4" x14ac:dyDescent="0.25">
      <c r="A12176" t="str">
        <f>T("   HK")</f>
        <v xml:space="preserve">   HK</v>
      </c>
      <c r="B12176" t="str">
        <f>T("   Hong-Kong")</f>
        <v xml:space="preserve">   Hong-Kong</v>
      </c>
      <c r="C12176">
        <v>287131</v>
      </c>
      <c r="D12176">
        <v>520</v>
      </c>
    </row>
    <row r="12177" spans="1:4" x14ac:dyDescent="0.25">
      <c r="A12177" t="str">
        <f>T("847981")</f>
        <v>847981</v>
      </c>
      <c r="B12177" t="str">
        <f>T("Machines et appareils pour le traitement des métaux, y.c. les bobineuses pour enroulements électriques, n.d.a. (à l'excl. des robots industriels, des fours, appareils de séchage, pistolets aérographes et appareils simil., appareils de nettoyage à haute pr")</f>
        <v>Machines et appareils pour le traitement des métaux, y.c. les bobineuses pour enroulements électriques, n.d.a. (à l'excl. des robots industriels, des fours, appareils de séchage, pistolets aérographes et appareils simil., appareils de nettoyage à haute pr</v>
      </c>
    </row>
    <row r="12178" spans="1:4" x14ac:dyDescent="0.25">
      <c r="A12178" t="str">
        <f>T("   ZZZ_Monde")</f>
        <v xml:space="preserve">   ZZZ_Monde</v>
      </c>
      <c r="B12178" t="str">
        <f>T("   ZZZ_Monde")</f>
        <v xml:space="preserve">   ZZZ_Monde</v>
      </c>
      <c r="C12178">
        <v>6383587</v>
      </c>
      <c r="D12178">
        <v>8464</v>
      </c>
    </row>
    <row r="12179" spans="1:4" x14ac:dyDescent="0.25">
      <c r="A12179" t="str">
        <f>T("   DE")</f>
        <v xml:space="preserve">   DE</v>
      </c>
      <c r="B12179" t="str">
        <f>T("   Allemagne")</f>
        <v xml:space="preserve">   Allemagne</v>
      </c>
      <c r="C12179">
        <v>3233378</v>
      </c>
      <c r="D12179">
        <v>8460</v>
      </c>
    </row>
    <row r="12180" spans="1:4" x14ac:dyDescent="0.25">
      <c r="A12180" t="str">
        <f>T("   FR")</f>
        <v xml:space="preserve">   FR</v>
      </c>
      <c r="B12180" t="str">
        <f>T("   France")</f>
        <v xml:space="preserve">   France</v>
      </c>
      <c r="C12180">
        <v>3150209</v>
      </c>
      <c r="D12180">
        <v>4</v>
      </c>
    </row>
    <row r="12181" spans="1:4" x14ac:dyDescent="0.25">
      <c r="A12181" t="str">
        <f>T("847982")</f>
        <v>847982</v>
      </c>
      <c r="B12181" t="str">
        <f>T("Machines et appareils à mélanger, malaxer, concasser, broyer, cribler, tamiser, homogénéiser, émulsionner ou brasser, n.d.a. (à l'excl. des robots industriels)")</f>
        <v>Machines et appareils à mélanger, malaxer, concasser, broyer, cribler, tamiser, homogénéiser, émulsionner ou brasser, n.d.a. (à l'excl. des robots industriels)</v>
      </c>
    </row>
    <row r="12182" spans="1:4" x14ac:dyDescent="0.25">
      <c r="A12182" t="str">
        <f>T("   ZZZ_Monde")</f>
        <v xml:space="preserve">   ZZZ_Monde</v>
      </c>
      <c r="B12182" t="str">
        <f>T("   ZZZ_Monde")</f>
        <v xml:space="preserve">   ZZZ_Monde</v>
      </c>
      <c r="C12182">
        <v>31048564</v>
      </c>
      <c r="D12182">
        <v>16661</v>
      </c>
    </row>
    <row r="12183" spans="1:4" x14ac:dyDescent="0.25">
      <c r="A12183" t="str">
        <f>T("   BE")</f>
        <v xml:space="preserve">   BE</v>
      </c>
      <c r="B12183" t="str">
        <f>T("   Belgique")</f>
        <v xml:space="preserve">   Belgique</v>
      </c>
      <c r="C12183">
        <v>580780</v>
      </c>
      <c r="D12183">
        <v>10</v>
      </c>
    </row>
    <row r="12184" spans="1:4" x14ac:dyDescent="0.25">
      <c r="A12184" t="str">
        <f>T("   DE")</f>
        <v xml:space="preserve">   DE</v>
      </c>
      <c r="B12184" t="str">
        <f>T("   Allemagne")</f>
        <v xml:space="preserve">   Allemagne</v>
      </c>
      <c r="C12184">
        <v>12318784</v>
      </c>
      <c r="D12184">
        <v>636</v>
      </c>
    </row>
    <row r="12185" spans="1:4" x14ac:dyDescent="0.25">
      <c r="A12185" t="str">
        <f>T("   FR")</f>
        <v xml:space="preserve">   FR</v>
      </c>
      <c r="B12185" t="str">
        <f>T("   France")</f>
        <v xml:space="preserve">   France</v>
      </c>
      <c r="C12185">
        <v>1750000</v>
      </c>
      <c r="D12185">
        <v>15</v>
      </c>
    </row>
    <row r="12186" spans="1:4" x14ac:dyDescent="0.25">
      <c r="A12186" t="str">
        <f>T("   TG")</f>
        <v xml:space="preserve">   TG</v>
      </c>
      <c r="B12186" t="str">
        <f>T("   Togo")</f>
        <v xml:space="preserve">   Togo</v>
      </c>
      <c r="C12186">
        <v>16399000</v>
      </c>
      <c r="D12186">
        <v>16000</v>
      </c>
    </row>
    <row r="12187" spans="1:4" x14ac:dyDescent="0.25">
      <c r="A12187" t="str">
        <f>T("847989")</f>
        <v>847989</v>
      </c>
      <c r="B12187" t="str">
        <f>T("Machines et appareils, y.c. les appareils mécaniques, n.d.a.")</f>
        <v>Machines et appareils, y.c. les appareils mécaniques, n.d.a.</v>
      </c>
    </row>
    <row r="12188" spans="1:4" x14ac:dyDescent="0.25">
      <c r="A12188" t="str">
        <f>T("   ZZZ_Monde")</f>
        <v xml:space="preserve">   ZZZ_Monde</v>
      </c>
      <c r="B12188" t="str">
        <f>T("   ZZZ_Monde")</f>
        <v xml:space="preserve">   ZZZ_Monde</v>
      </c>
      <c r="C12188">
        <v>382816804</v>
      </c>
      <c r="D12188">
        <v>120204</v>
      </c>
    </row>
    <row r="12189" spans="1:4" x14ac:dyDescent="0.25">
      <c r="A12189" t="str">
        <f>T("   AE")</f>
        <v xml:space="preserve">   AE</v>
      </c>
      <c r="B12189" t="str">
        <f>T("   Emirats Arabes Unis")</f>
        <v xml:space="preserve">   Emirats Arabes Unis</v>
      </c>
      <c r="C12189">
        <v>2863560</v>
      </c>
      <c r="D12189">
        <v>1914</v>
      </c>
    </row>
    <row r="12190" spans="1:4" x14ac:dyDescent="0.25">
      <c r="A12190" t="str">
        <f>T("   CN")</f>
        <v xml:space="preserve">   CN</v>
      </c>
      <c r="B12190" t="str">
        <f>T("   Chine")</f>
        <v xml:space="preserve">   Chine</v>
      </c>
      <c r="C12190">
        <v>45852129</v>
      </c>
      <c r="D12190">
        <v>49126</v>
      </c>
    </row>
    <row r="12191" spans="1:4" x14ac:dyDescent="0.25">
      <c r="A12191" t="str">
        <f>T("   ES")</f>
        <v xml:space="preserve">   ES</v>
      </c>
      <c r="B12191" t="str">
        <f>T("   Espagne")</f>
        <v xml:space="preserve">   Espagne</v>
      </c>
      <c r="C12191">
        <v>248198</v>
      </c>
      <c r="D12191">
        <v>500</v>
      </c>
    </row>
    <row r="12192" spans="1:4" x14ac:dyDescent="0.25">
      <c r="A12192" t="str">
        <f>T("   FR")</f>
        <v xml:space="preserve">   FR</v>
      </c>
      <c r="B12192" t="str">
        <f>T("   France")</f>
        <v xml:space="preserve">   France</v>
      </c>
      <c r="C12192">
        <v>122772787</v>
      </c>
      <c r="D12192">
        <v>11730</v>
      </c>
    </row>
    <row r="12193" spans="1:4" x14ac:dyDescent="0.25">
      <c r="A12193" t="str">
        <f>T("   GB")</f>
        <v xml:space="preserve">   GB</v>
      </c>
      <c r="B12193" t="str">
        <f>T("   Royaume-Uni")</f>
        <v xml:space="preserve">   Royaume-Uni</v>
      </c>
      <c r="C12193">
        <v>11208528</v>
      </c>
      <c r="D12193">
        <v>2010</v>
      </c>
    </row>
    <row r="12194" spans="1:4" x14ac:dyDescent="0.25">
      <c r="A12194" t="str">
        <f>T("   IL")</f>
        <v xml:space="preserve">   IL</v>
      </c>
      <c r="B12194" t="str">
        <f>T("   Israël")</f>
        <v xml:space="preserve">   Israël</v>
      </c>
      <c r="C12194">
        <v>183039233</v>
      </c>
      <c r="D12194">
        <v>52514</v>
      </c>
    </row>
    <row r="12195" spans="1:4" x14ac:dyDescent="0.25">
      <c r="A12195" t="str">
        <f>T("   LB")</f>
        <v xml:space="preserve">   LB</v>
      </c>
      <c r="B12195" t="str">
        <f>T("   Liban")</f>
        <v xml:space="preserve">   Liban</v>
      </c>
      <c r="C12195">
        <v>573825</v>
      </c>
      <c r="D12195">
        <v>700</v>
      </c>
    </row>
    <row r="12196" spans="1:4" x14ac:dyDescent="0.25">
      <c r="A12196" t="str">
        <f>T("   NG")</f>
        <v xml:space="preserve">   NG</v>
      </c>
      <c r="B12196" t="str">
        <f>T("   Nigéria")</f>
        <v xml:space="preserve">   Nigéria</v>
      </c>
      <c r="C12196">
        <v>1467720</v>
      </c>
      <c r="D12196">
        <v>850</v>
      </c>
    </row>
    <row r="12197" spans="1:4" x14ac:dyDescent="0.25">
      <c r="A12197" t="str">
        <f>T("   NO")</f>
        <v xml:space="preserve">   NO</v>
      </c>
      <c r="B12197" t="str">
        <f>T("   Norvège")</f>
        <v xml:space="preserve">   Norvège</v>
      </c>
      <c r="C12197">
        <v>13902731</v>
      </c>
      <c r="D12197">
        <v>835</v>
      </c>
    </row>
    <row r="12198" spans="1:4" x14ac:dyDescent="0.25">
      <c r="A12198" t="str">
        <f>T("   TG")</f>
        <v xml:space="preserve">   TG</v>
      </c>
      <c r="B12198" t="str">
        <f>T("   Togo")</f>
        <v xml:space="preserve">   Togo</v>
      </c>
      <c r="C12198">
        <v>888093</v>
      </c>
      <c r="D12198">
        <v>25</v>
      </c>
    </row>
    <row r="12199" spans="1:4" x14ac:dyDescent="0.25">
      <c r="A12199" t="str">
        <f>T("847990")</f>
        <v>847990</v>
      </c>
      <c r="B12199" t="str">
        <f>T("Parties de machines et appareils, y.c. les appareils mécaniques, n.d.a.")</f>
        <v>Parties de machines et appareils, y.c. les appareils mécaniques, n.d.a.</v>
      </c>
    </row>
    <row r="12200" spans="1:4" x14ac:dyDescent="0.25">
      <c r="A12200" t="str">
        <f>T("   ZZZ_Monde")</f>
        <v xml:space="preserve">   ZZZ_Monde</v>
      </c>
      <c r="B12200" t="str">
        <f>T("   ZZZ_Monde")</f>
        <v xml:space="preserve">   ZZZ_Monde</v>
      </c>
      <c r="C12200">
        <v>138357106</v>
      </c>
      <c r="D12200">
        <v>28965</v>
      </c>
    </row>
    <row r="12201" spans="1:4" x14ac:dyDescent="0.25">
      <c r="A12201" t="str">
        <f>T("   CA")</f>
        <v xml:space="preserve">   CA</v>
      </c>
      <c r="B12201" t="str">
        <f>T("   Canada")</f>
        <v xml:space="preserve">   Canada</v>
      </c>
      <c r="C12201">
        <v>3520826</v>
      </c>
      <c r="D12201">
        <v>1259</v>
      </c>
    </row>
    <row r="12202" spans="1:4" x14ac:dyDescent="0.25">
      <c r="A12202" t="str">
        <f>T("   CN")</f>
        <v xml:space="preserve">   CN</v>
      </c>
      <c r="B12202" t="str">
        <f>T("   Chine")</f>
        <v xml:space="preserve">   Chine</v>
      </c>
      <c r="C12202">
        <v>5515060</v>
      </c>
      <c r="D12202">
        <v>21000</v>
      </c>
    </row>
    <row r="12203" spans="1:4" x14ac:dyDescent="0.25">
      <c r="A12203" t="str">
        <f>T("   DE")</f>
        <v xml:space="preserve">   DE</v>
      </c>
      <c r="B12203" t="str">
        <f>T("   Allemagne")</f>
        <v xml:space="preserve">   Allemagne</v>
      </c>
      <c r="C12203">
        <v>8926950</v>
      </c>
      <c r="D12203">
        <v>1282</v>
      </c>
    </row>
    <row r="12204" spans="1:4" x14ac:dyDescent="0.25">
      <c r="A12204" t="str">
        <f>T("   FR")</f>
        <v xml:space="preserve">   FR</v>
      </c>
      <c r="B12204" t="str">
        <f>T("   France")</f>
        <v xml:space="preserve">   France</v>
      </c>
      <c r="C12204">
        <v>73990185</v>
      </c>
      <c r="D12204">
        <v>3606</v>
      </c>
    </row>
    <row r="12205" spans="1:4" x14ac:dyDescent="0.25">
      <c r="A12205" t="str">
        <f>T("   IN")</f>
        <v xml:space="preserve">   IN</v>
      </c>
      <c r="B12205" t="str">
        <f>T("   Inde")</f>
        <v xml:space="preserve">   Inde</v>
      </c>
      <c r="C12205">
        <v>6134040</v>
      </c>
      <c r="D12205">
        <v>570</v>
      </c>
    </row>
    <row r="12206" spans="1:4" x14ac:dyDescent="0.25">
      <c r="A12206" t="str">
        <f>T("   IT")</f>
        <v xml:space="preserve">   IT</v>
      </c>
      <c r="B12206" t="str">
        <f>T("   Italie")</f>
        <v xml:space="preserve">   Italie</v>
      </c>
      <c r="C12206">
        <v>993779</v>
      </c>
      <c r="D12206">
        <v>14</v>
      </c>
    </row>
    <row r="12207" spans="1:4" x14ac:dyDescent="0.25">
      <c r="A12207" t="str">
        <f>T("   NL")</f>
        <v xml:space="preserve">   NL</v>
      </c>
      <c r="B12207" t="str">
        <f>T("   Pays-bas")</f>
        <v xml:space="preserve">   Pays-bas</v>
      </c>
      <c r="C12207">
        <v>11295651</v>
      </c>
      <c r="D12207">
        <v>305</v>
      </c>
    </row>
    <row r="12208" spans="1:4" x14ac:dyDescent="0.25">
      <c r="A12208" t="str">
        <f>T("   TG")</f>
        <v xml:space="preserve">   TG</v>
      </c>
      <c r="B12208" t="str">
        <f>T("   Togo")</f>
        <v xml:space="preserve">   Togo</v>
      </c>
      <c r="C12208">
        <v>6174866</v>
      </c>
      <c r="D12208">
        <v>15</v>
      </c>
    </row>
    <row r="12209" spans="1:4" x14ac:dyDescent="0.25">
      <c r="A12209" t="str">
        <f>T("   US")</f>
        <v xml:space="preserve">   US</v>
      </c>
      <c r="B12209" t="str">
        <f>T("   Etats-Unis")</f>
        <v xml:space="preserve">   Etats-Unis</v>
      </c>
      <c r="C12209">
        <v>21805749</v>
      </c>
      <c r="D12209">
        <v>914</v>
      </c>
    </row>
    <row r="12210" spans="1:4" x14ac:dyDescent="0.25">
      <c r="A12210" t="str">
        <f>T("848041")</f>
        <v>848041</v>
      </c>
      <c r="B12210" t="str">
        <f>T("Moules pour les métaux ou les carbures métalliques, pour le moulage par injection ou par compression (autres qu'en graphite ou autres formes de carbone, autres qu'en produits céramiques ou en verre)")</f>
        <v>Moules pour les métaux ou les carbures métalliques, pour le moulage par injection ou par compression (autres qu'en graphite ou autres formes de carbone, autres qu'en produits céramiques ou en verre)</v>
      </c>
    </row>
    <row r="12211" spans="1:4" x14ac:dyDescent="0.25">
      <c r="A12211" t="str">
        <f>T("   ZZZ_Monde")</f>
        <v xml:space="preserve">   ZZZ_Monde</v>
      </c>
      <c r="B12211" t="str">
        <f>T("   ZZZ_Monde")</f>
        <v xml:space="preserve">   ZZZ_Monde</v>
      </c>
      <c r="C12211">
        <v>295000</v>
      </c>
      <c r="D12211">
        <v>500</v>
      </c>
    </row>
    <row r="12212" spans="1:4" x14ac:dyDescent="0.25">
      <c r="A12212" t="str">
        <f>T("   DE")</f>
        <v xml:space="preserve">   DE</v>
      </c>
      <c r="B12212" t="str">
        <f>T("   Allemagne")</f>
        <v xml:space="preserve">   Allemagne</v>
      </c>
      <c r="C12212">
        <v>250000</v>
      </c>
      <c r="D12212">
        <v>400</v>
      </c>
    </row>
    <row r="12213" spans="1:4" x14ac:dyDescent="0.25">
      <c r="A12213" t="str">
        <f>T("   NG")</f>
        <v xml:space="preserve">   NG</v>
      </c>
      <c r="B12213" t="str">
        <f>T("   Nigéria")</f>
        <v xml:space="preserve">   Nigéria</v>
      </c>
      <c r="C12213">
        <v>45000</v>
      </c>
      <c r="D12213">
        <v>100</v>
      </c>
    </row>
    <row r="12214" spans="1:4" x14ac:dyDescent="0.25">
      <c r="A12214" t="str">
        <f>T("848049")</f>
        <v>848049</v>
      </c>
      <c r="B12214" t="str">
        <f>T("Moules pour les métaux ou les carbures métalliques (autres qu'en graphite ou autres formes de carbone, qu'en produits céramiques ou en verre, sauf flans, matrices et moules à fondre pour machines à fondre en ligne du n° 8442, moules pour le moulage par in")</f>
        <v>Moules pour les métaux ou les carbures métalliques (autres qu'en graphite ou autres formes de carbone, qu'en produits céramiques ou en verre, sauf flans, matrices et moules à fondre pour machines à fondre en ligne du n° 8442, moules pour le moulage par in</v>
      </c>
    </row>
    <row r="12215" spans="1:4" x14ac:dyDescent="0.25">
      <c r="A12215" t="str">
        <f>T("   ZZZ_Monde")</f>
        <v xml:space="preserve">   ZZZ_Monde</v>
      </c>
      <c r="B12215" t="str">
        <f>T("   ZZZ_Monde")</f>
        <v xml:space="preserve">   ZZZ_Monde</v>
      </c>
      <c r="C12215">
        <v>90000</v>
      </c>
      <c r="D12215">
        <v>100</v>
      </c>
    </row>
    <row r="12216" spans="1:4" x14ac:dyDescent="0.25">
      <c r="A12216" t="str">
        <f>T("   NG")</f>
        <v xml:space="preserve">   NG</v>
      </c>
      <c r="B12216" t="str">
        <f>T("   Nigéria")</f>
        <v xml:space="preserve">   Nigéria</v>
      </c>
      <c r="C12216">
        <v>90000</v>
      </c>
      <c r="D12216">
        <v>100</v>
      </c>
    </row>
    <row r="12217" spans="1:4" x14ac:dyDescent="0.25">
      <c r="A12217" t="str">
        <f>T("848060")</f>
        <v>848060</v>
      </c>
      <c r="B12217" t="str">
        <f>T("Moules pour les matières minérales (autres qu'en graphite ou autres formes de carbone, autres qu'en produits céramiques ou en verre)")</f>
        <v>Moules pour les matières minérales (autres qu'en graphite ou autres formes de carbone, autres qu'en produits céramiques ou en verre)</v>
      </c>
    </row>
    <row r="12218" spans="1:4" x14ac:dyDescent="0.25">
      <c r="A12218" t="str">
        <f>T("   ZZZ_Monde")</f>
        <v xml:space="preserve">   ZZZ_Monde</v>
      </c>
      <c r="B12218" t="str">
        <f>T("   ZZZ_Monde")</f>
        <v xml:space="preserve">   ZZZ_Monde</v>
      </c>
      <c r="C12218">
        <v>2170382</v>
      </c>
      <c r="D12218">
        <v>4845</v>
      </c>
    </row>
    <row r="12219" spans="1:4" x14ac:dyDescent="0.25">
      <c r="A12219" t="str">
        <f>T("   CN")</f>
        <v xml:space="preserve">   CN</v>
      </c>
      <c r="B12219" t="str">
        <f>T("   Chine")</f>
        <v xml:space="preserve">   Chine</v>
      </c>
      <c r="C12219">
        <v>1898706</v>
      </c>
      <c r="D12219">
        <v>4543</v>
      </c>
    </row>
    <row r="12220" spans="1:4" x14ac:dyDescent="0.25">
      <c r="A12220" t="str">
        <f>T("   LB")</f>
        <v xml:space="preserve">   LB</v>
      </c>
      <c r="B12220" t="str">
        <f>T("   Liban")</f>
        <v xml:space="preserve">   Liban</v>
      </c>
      <c r="C12220">
        <v>271676</v>
      </c>
      <c r="D12220">
        <v>302</v>
      </c>
    </row>
    <row r="12221" spans="1:4" x14ac:dyDescent="0.25">
      <c r="A12221" t="str">
        <f>T("848071")</f>
        <v>848071</v>
      </c>
      <c r="B12221" t="str">
        <f>T("Moules pour le caoutchouc ou les matières plastiques, pour le moulage par injection ou par compression")</f>
        <v>Moules pour le caoutchouc ou les matières plastiques, pour le moulage par injection ou par compression</v>
      </c>
    </row>
    <row r="12222" spans="1:4" x14ac:dyDescent="0.25">
      <c r="A12222" t="str">
        <f>T("   ZZZ_Monde")</f>
        <v xml:space="preserve">   ZZZ_Monde</v>
      </c>
      <c r="B12222" t="str">
        <f>T("   ZZZ_Monde")</f>
        <v xml:space="preserve">   ZZZ_Monde</v>
      </c>
      <c r="C12222">
        <v>199894860</v>
      </c>
      <c r="D12222">
        <v>4384</v>
      </c>
    </row>
    <row r="12223" spans="1:4" x14ac:dyDescent="0.25">
      <c r="A12223" t="str">
        <f>T("   BE")</f>
        <v xml:space="preserve">   BE</v>
      </c>
      <c r="B12223" t="str">
        <f>T("   Belgique")</f>
        <v xml:space="preserve">   Belgique</v>
      </c>
      <c r="C12223">
        <v>144981575</v>
      </c>
      <c r="D12223">
        <v>1504</v>
      </c>
    </row>
    <row r="12224" spans="1:4" x14ac:dyDescent="0.25">
      <c r="A12224" t="str">
        <f>T("   CN")</f>
        <v xml:space="preserve">   CN</v>
      </c>
      <c r="B12224" t="str">
        <f>T("   Chine")</f>
        <v xml:space="preserve">   Chine</v>
      </c>
      <c r="C12224">
        <v>7581180</v>
      </c>
      <c r="D12224">
        <v>2200</v>
      </c>
    </row>
    <row r="12225" spans="1:4" x14ac:dyDescent="0.25">
      <c r="A12225" t="str">
        <f>T("   FR")</f>
        <v xml:space="preserve">   FR</v>
      </c>
      <c r="B12225" t="str">
        <f>T("   France")</f>
        <v xml:space="preserve">   France</v>
      </c>
      <c r="C12225">
        <v>47332105</v>
      </c>
      <c r="D12225">
        <v>680</v>
      </c>
    </row>
    <row r="12226" spans="1:4" x14ac:dyDescent="0.25">
      <c r="A12226" t="str">
        <f>T("848079")</f>
        <v>848079</v>
      </c>
      <c r="B12226" t="str">
        <f>T("MOULES POUR LE CAOUTCHOUC OU LES MATIÈRES PLASTIQUES (À L'EXCL. DES ARTICLES POUR LE MOULAGE PAR INJECTION OU PAR COMPRESSION) [01/01/1988-31/12/1994: MOULES POUR LE CAOUTCHOUC OU LES MATIÈRES PLASTIQUES, POUR MOULAGE AUTRE QUE PAR INJECTION OU COMPRESSIO")</f>
        <v>MOULES POUR LE CAOUTCHOUC OU LES MATIÈRES PLASTIQUES (À L'EXCL. DES ARTICLES POUR LE MOULAGE PAR INJECTION OU PAR COMPRESSION) [01/01/1988-31/12/1994: MOULES POUR LE CAOUTCHOUC OU LES MATIÈRES PLASTIQUES, POUR MOULAGE AUTRE QUE PAR INJECTION OU COMPRESSIO</v>
      </c>
    </row>
    <row r="12227" spans="1:4" x14ac:dyDescent="0.25">
      <c r="A12227" t="str">
        <f>T("   ZZZ_Monde")</f>
        <v xml:space="preserve">   ZZZ_Monde</v>
      </c>
      <c r="B12227" t="str">
        <f>T("   ZZZ_Monde")</f>
        <v xml:space="preserve">   ZZZ_Monde</v>
      </c>
      <c r="C12227">
        <v>49909443</v>
      </c>
      <c r="D12227">
        <v>22500</v>
      </c>
    </row>
    <row r="12228" spans="1:4" x14ac:dyDescent="0.25">
      <c r="A12228" t="str">
        <f>T("   BE")</f>
        <v xml:space="preserve">   BE</v>
      </c>
      <c r="B12228" t="str">
        <f>T("   Belgique")</f>
        <v xml:space="preserve">   Belgique</v>
      </c>
      <c r="C12228">
        <v>1431305</v>
      </c>
      <c r="D12228">
        <v>360</v>
      </c>
    </row>
    <row r="12229" spans="1:4" x14ac:dyDescent="0.25">
      <c r="A12229" t="str">
        <f>T("   CN")</f>
        <v xml:space="preserve">   CN</v>
      </c>
      <c r="B12229" t="str">
        <f>T("   Chine")</f>
        <v xml:space="preserve">   Chine</v>
      </c>
      <c r="C12229">
        <v>37091140</v>
      </c>
      <c r="D12229">
        <v>18382</v>
      </c>
    </row>
    <row r="12230" spans="1:4" x14ac:dyDescent="0.25">
      <c r="A12230" t="str">
        <f>T("   FR")</f>
        <v xml:space="preserve">   FR</v>
      </c>
      <c r="B12230" t="str">
        <f>T("   France")</f>
        <v xml:space="preserve">   France</v>
      </c>
      <c r="C12230">
        <v>397947</v>
      </c>
      <c r="D12230">
        <v>65</v>
      </c>
    </row>
    <row r="12231" spans="1:4" x14ac:dyDescent="0.25">
      <c r="A12231" t="str">
        <f>T("   LB")</f>
        <v xml:space="preserve">   LB</v>
      </c>
      <c r="B12231" t="str">
        <f>T("   Liban")</f>
        <v xml:space="preserve">   Liban</v>
      </c>
      <c r="C12231">
        <v>10989051</v>
      </c>
      <c r="D12231">
        <v>3693</v>
      </c>
    </row>
    <row r="12232" spans="1:4" x14ac:dyDescent="0.25">
      <c r="A12232" t="str">
        <f>T("848110")</f>
        <v>848110</v>
      </c>
      <c r="B12232" t="str">
        <f>T("Détendeurs")</f>
        <v>Détendeurs</v>
      </c>
    </row>
    <row r="12233" spans="1:4" x14ac:dyDescent="0.25">
      <c r="A12233" t="str">
        <f>T("   ZZZ_Monde")</f>
        <v xml:space="preserve">   ZZZ_Monde</v>
      </c>
      <c r="B12233" t="str">
        <f>T("   ZZZ_Monde")</f>
        <v xml:space="preserve">   ZZZ_Monde</v>
      </c>
      <c r="C12233">
        <v>21216591</v>
      </c>
      <c r="D12233">
        <v>5637.5</v>
      </c>
    </row>
    <row r="12234" spans="1:4" x14ac:dyDescent="0.25">
      <c r="A12234" t="str">
        <f>T("   CN")</f>
        <v xml:space="preserve">   CN</v>
      </c>
      <c r="B12234" t="str">
        <f>T("   Chine")</f>
        <v xml:space="preserve">   Chine</v>
      </c>
      <c r="C12234">
        <v>8000352</v>
      </c>
      <c r="D12234">
        <v>3600</v>
      </c>
    </row>
    <row r="12235" spans="1:4" x14ac:dyDescent="0.25">
      <c r="A12235" t="str">
        <f>T("   FR")</f>
        <v xml:space="preserve">   FR</v>
      </c>
      <c r="B12235" t="str">
        <f>T("   France")</f>
        <v xml:space="preserve">   France</v>
      </c>
      <c r="C12235">
        <v>13216239</v>
      </c>
      <c r="D12235">
        <v>2037.5</v>
      </c>
    </row>
    <row r="12236" spans="1:4" x14ac:dyDescent="0.25">
      <c r="A12236" t="str">
        <f>T("848120")</f>
        <v>848120</v>
      </c>
      <c r="B12236" t="str">
        <f>T("Valves pour transmissions oléohydrauliques ou pneumatiques")</f>
        <v>Valves pour transmissions oléohydrauliques ou pneumatiques</v>
      </c>
    </row>
    <row r="12237" spans="1:4" x14ac:dyDescent="0.25">
      <c r="A12237" t="str">
        <f>T("   ZZZ_Monde")</f>
        <v xml:space="preserve">   ZZZ_Monde</v>
      </c>
      <c r="B12237" t="str">
        <f>T("   ZZZ_Monde")</f>
        <v xml:space="preserve">   ZZZ_Monde</v>
      </c>
      <c r="C12237">
        <v>32537380</v>
      </c>
      <c r="D12237">
        <v>714</v>
      </c>
    </row>
    <row r="12238" spans="1:4" x14ac:dyDescent="0.25">
      <c r="A12238" t="str">
        <f>T("   BE")</f>
        <v xml:space="preserve">   BE</v>
      </c>
      <c r="B12238" t="str">
        <f>T("   Belgique")</f>
        <v xml:space="preserve">   Belgique</v>
      </c>
      <c r="C12238">
        <v>6985913</v>
      </c>
      <c r="D12238">
        <v>251</v>
      </c>
    </row>
    <row r="12239" spans="1:4" x14ac:dyDescent="0.25">
      <c r="A12239" t="str">
        <f>T("   CH")</f>
        <v xml:space="preserve">   CH</v>
      </c>
      <c r="B12239" t="str">
        <f>T("   Suisse")</f>
        <v xml:space="preserve">   Suisse</v>
      </c>
      <c r="C12239">
        <v>1872503</v>
      </c>
      <c r="D12239">
        <v>2</v>
      </c>
    </row>
    <row r="12240" spans="1:4" x14ac:dyDescent="0.25">
      <c r="A12240" t="str">
        <f>T("   CN")</f>
        <v xml:space="preserve">   CN</v>
      </c>
      <c r="B12240" t="str">
        <f>T("   Chine")</f>
        <v xml:space="preserve">   Chine</v>
      </c>
      <c r="C12240">
        <v>77115</v>
      </c>
      <c r="D12240">
        <v>3</v>
      </c>
    </row>
    <row r="12241" spans="1:4" x14ac:dyDescent="0.25">
      <c r="A12241" t="str">
        <f>T("   DE")</f>
        <v xml:space="preserve">   DE</v>
      </c>
      <c r="B12241" t="str">
        <f>T("   Allemagne")</f>
        <v xml:space="preserve">   Allemagne</v>
      </c>
      <c r="C12241">
        <v>966850</v>
      </c>
      <c r="D12241">
        <v>7.5</v>
      </c>
    </row>
    <row r="12242" spans="1:4" x14ac:dyDescent="0.25">
      <c r="A12242" t="str">
        <f>T("   FR")</f>
        <v xml:space="preserve">   FR</v>
      </c>
      <c r="B12242" t="str">
        <f>T("   France")</f>
        <v xml:space="preserve">   France</v>
      </c>
      <c r="C12242">
        <v>22069790</v>
      </c>
      <c r="D12242">
        <v>438</v>
      </c>
    </row>
    <row r="12243" spans="1:4" x14ac:dyDescent="0.25">
      <c r="A12243" t="str">
        <f>T("   IT")</f>
        <v xml:space="preserve">   IT</v>
      </c>
      <c r="B12243" t="str">
        <f>T("   Italie")</f>
        <v xml:space="preserve">   Italie</v>
      </c>
      <c r="C12243">
        <v>78781</v>
      </c>
      <c r="D12243">
        <v>1</v>
      </c>
    </row>
    <row r="12244" spans="1:4" x14ac:dyDescent="0.25">
      <c r="A12244" t="str">
        <f>T("   NO")</f>
        <v xml:space="preserve">   NO</v>
      </c>
      <c r="B12244" t="str">
        <f>T("   Norvège")</f>
        <v xml:space="preserve">   Norvège</v>
      </c>
      <c r="C12244">
        <v>53644</v>
      </c>
      <c r="D12244">
        <v>1</v>
      </c>
    </row>
    <row r="12245" spans="1:4" x14ac:dyDescent="0.25">
      <c r="A12245" t="str">
        <f>T("   US")</f>
        <v xml:space="preserve">   US</v>
      </c>
      <c r="B12245" t="str">
        <f>T("   Etats-Unis")</f>
        <v xml:space="preserve">   Etats-Unis</v>
      </c>
      <c r="C12245">
        <v>432784</v>
      </c>
      <c r="D12245">
        <v>10.5</v>
      </c>
    </row>
    <row r="12246" spans="1:4" x14ac:dyDescent="0.25">
      <c r="A12246" t="str">
        <f>T("848130")</f>
        <v>848130</v>
      </c>
      <c r="B12246" t="str">
        <f>T("Clapets et soupapes de retenue, pour tuyauteries, chaudières, réservoirs, cuves ou contenants simil.")</f>
        <v>Clapets et soupapes de retenue, pour tuyauteries, chaudières, réservoirs, cuves ou contenants simil.</v>
      </c>
    </row>
    <row r="12247" spans="1:4" x14ac:dyDescent="0.25">
      <c r="A12247" t="str">
        <f>T("   ZZZ_Monde")</f>
        <v xml:space="preserve">   ZZZ_Monde</v>
      </c>
      <c r="B12247" t="str">
        <f>T("   ZZZ_Monde")</f>
        <v xml:space="preserve">   ZZZ_Monde</v>
      </c>
      <c r="C12247">
        <v>40825261</v>
      </c>
      <c r="D12247">
        <v>4283</v>
      </c>
    </row>
    <row r="12248" spans="1:4" x14ac:dyDescent="0.25">
      <c r="A12248" t="str">
        <f>T("   BE")</f>
        <v xml:space="preserve">   BE</v>
      </c>
      <c r="B12248" t="str">
        <f>T("   Belgique")</f>
        <v xml:space="preserve">   Belgique</v>
      </c>
      <c r="C12248">
        <v>2243206</v>
      </c>
      <c r="D12248">
        <v>24</v>
      </c>
    </row>
    <row r="12249" spans="1:4" x14ac:dyDescent="0.25">
      <c r="A12249" t="str">
        <f>T("   FR")</f>
        <v xml:space="preserve">   FR</v>
      </c>
      <c r="B12249" t="str">
        <f>T("   France")</f>
        <v xml:space="preserve">   France</v>
      </c>
      <c r="C12249">
        <v>36759540</v>
      </c>
      <c r="D12249">
        <v>4133</v>
      </c>
    </row>
    <row r="12250" spans="1:4" x14ac:dyDescent="0.25">
      <c r="A12250" t="str">
        <f>T("   NO")</f>
        <v xml:space="preserve">   NO</v>
      </c>
      <c r="B12250" t="str">
        <f>T("   Norvège")</f>
        <v xml:space="preserve">   Norvège</v>
      </c>
      <c r="C12250">
        <v>128548</v>
      </c>
      <c r="D12250">
        <v>8</v>
      </c>
    </row>
    <row r="12251" spans="1:4" x14ac:dyDescent="0.25">
      <c r="A12251" t="str">
        <f>T("   TH")</f>
        <v xml:space="preserve">   TH</v>
      </c>
      <c r="B12251" t="str">
        <f>T("   Thaïlande")</f>
        <v xml:space="preserve">   Thaïlande</v>
      </c>
      <c r="C12251">
        <v>1693967</v>
      </c>
      <c r="D12251">
        <v>118</v>
      </c>
    </row>
    <row r="12252" spans="1:4" x14ac:dyDescent="0.25">
      <c r="A12252" t="str">
        <f>T("848140")</f>
        <v>848140</v>
      </c>
      <c r="B12252" t="str">
        <f>T("Soupapes de trop-plein ou de sûreté")</f>
        <v>Soupapes de trop-plein ou de sûreté</v>
      </c>
    </row>
    <row r="12253" spans="1:4" x14ac:dyDescent="0.25">
      <c r="A12253" t="str">
        <f>T("   ZZZ_Monde")</f>
        <v xml:space="preserve">   ZZZ_Monde</v>
      </c>
      <c r="B12253" t="str">
        <f>T("   ZZZ_Monde")</f>
        <v xml:space="preserve">   ZZZ_Monde</v>
      </c>
      <c r="C12253">
        <v>36079785</v>
      </c>
      <c r="D12253">
        <v>1061</v>
      </c>
    </row>
    <row r="12254" spans="1:4" x14ac:dyDescent="0.25">
      <c r="A12254" t="str">
        <f>T("   DE")</f>
        <v xml:space="preserve">   DE</v>
      </c>
      <c r="B12254" t="str">
        <f>T("   Allemagne")</f>
        <v xml:space="preserve">   Allemagne</v>
      </c>
      <c r="C12254">
        <v>4918459</v>
      </c>
      <c r="D12254">
        <v>5</v>
      </c>
    </row>
    <row r="12255" spans="1:4" x14ac:dyDescent="0.25">
      <c r="A12255" t="str">
        <f>T("   DK")</f>
        <v xml:space="preserve">   DK</v>
      </c>
      <c r="B12255" t="str">
        <f>T("   Danemark")</f>
        <v xml:space="preserve">   Danemark</v>
      </c>
      <c r="C12255">
        <v>11957495</v>
      </c>
      <c r="D12255">
        <v>214</v>
      </c>
    </row>
    <row r="12256" spans="1:4" x14ac:dyDescent="0.25">
      <c r="A12256" t="str">
        <f>T("   FR")</f>
        <v xml:space="preserve">   FR</v>
      </c>
      <c r="B12256" t="str">
        <f>T("   France")</f>
        <v xml:space="preserve">   France</v>
      </c>
      <c r="C12256">
        <v>18510503</v>
      </c>
      <c r="D12256">
        <v>518</v>
      </c>
    </row>
    <row r="12257" spans="1:4" x14ac:dyDescent="0.25">
      <c r="A12257" t="str">
        <f>T("   SG")</f>
        <v xml:space="preserve">   SG</v>
      </c>
      <c r="B12257" t="str">
        <f>T("   Singapour")</f>
        <v xml:space="preserve">   Singapour</v>
      </c>
      <c r="C12257">
        <v>693328</v>
      </c>
      <c r="D12257">
        <v>324</v>
      </c>
    </row>
    <row r="12258" spans="1:4" x14ac:dyDescent="0.25">
      <c r="A12258" t="str">
        <f>T("848180")</f>
        <v>848180</v>
      </c>
      <c r="B12258" t="str">
        <f>T("Articles de robinetterie et organes simil. pour tuyauteries, etc. (à l'excl. des détendeurs, valves pour transmissions oléohydrauliques ou pneumatiques, clapets et soupapes de retenue et sauf soupapes de trop-plein ou de sûreté)")</f>
        <v>Articles de robinetterie et organes simil. pour tuyauteries, etc. (à l'excl. des détendeurs, valves pour transmissions oléohydrauliques ou pneumatiques, clapets et soupapes de retenue et sauf soupapes de trop-plein ou de sûreté)</v>
      </c>
    </row>
    <row r="12259" spans="1:4" x14ac:dyDescent="0.25">
      <c r="A12259" t="str">
        <f>T("   ZZZ_Monde")</f>
        <v xml:space="preserve">   ZZZ_Monde</v>
      </c>
      <c r="B12259" t="str">
        <f>T("   ZZZ_Monde")</f>
        <v xml:space="preserve">   ZZZ_Monde</v>
      </c>
      <c r="C12259">
        <v>695138990</v>
      </c>
      <c r="D12259">
        <v>401900.53</v>
      </c>
    </row>
    <row r="12260" spans="1:4" x14ac:dyDescent="0.25">
      <c r="A12260" t="str">
        <f>T("   AE")</f>
        <v xml:space="preserve">   AE</v>
      </c>
      <c r="B12260" t="str">
        <f>T("   Emirats Arabes Unis")</f>
        <v xml:space="preserve">   Emirats Arabes Unis</v>
      </c>
      <c r="C12260">
        <v>421212</v>
      </c>
      <c r="D12260">
        <v>1200</v>
      </c>
    </row>
    <row r="12261" spans="1:4" x14ac:dyDescent="0.25">
      <c r="A12261" t="str">
        <f>T("   AT")</f>
        <v xml:space="preserve">   AT</v>
      </c>
      <c r="B12261" t="str">
        <f>T("   Autriche")</f>
        <v xml:space="preserve">   Autriche</v>
      </c>
      <c r="C12261">
        <v>8678776</v>
      </c>
      <c r="D12261">
        <v>57.1</v>
      </c>
    </row>
    <row r="12262" spans="1:4" x14ac:dyDescent="0.25">
      <c r="A12262" t="str">
        <f>T("   BE")</f>
        <v xml:space="preserve">   BE</v>
      </c>
      <c r="B12262" t="str">
        <f>T("   Belgique")</f>
        <v xml:space="preserve">   Belgique</v>
      </c>
      <c r="C12262">
        <v>57029355</v>
      </c>
      <c r="D12262">
        <v>3699</v>
      </c>
    </row>
    <row r="12263" spans="1:4" x14ac:dyDescent="0.25">
      <c r="A12263" t="str">
        <f>T("   CH")</f>
        <v xml:space="preserve">   CH</v>
      </c>
      <c r="B12263" t="str">
        <f>T("   Suisse")</f>
        <v xml:space="preserve">   Suisse</v>
      </c>
      <c r="C12263">
        <v>22879303</v>
      </c>
      <c r="D12263">
        <v>1261</v>
      </c>
    </row>
    <row r="12264" spans="1:4" x14ac:dyDescent="0.25">
      <c r="A12264" t="str">
        <f>T("   CN")</f>
        <v xml:space="preserve">   CN</v>
      </c>
      <c r="B12264" t="str">
        <f>T("   Chine")</f>
        <v xml:space="preserve">   Chine</v>
      </c>
      <c r="C12264">
        <v>225262224</v>
      </c>
      <c r="D12264">
        <v>250274</v>
      </c>
    </row>
    <row r="12265" spans="1:4" x14ac:dyDescent="0.25">
      <c r="A12265" t="str">
        <f>T("   DE")</f>
        <v xml:space="preserve">   DE</v>
      </c>
      <c r="B12265" t="str">
        <f>T("   Allemagne")</f>
        <v xml:space="preserve">   Allemagne</v>
      </c>
      <c r="C12265">
        <v>107278842</v>
      </c>
      <c r="D12265">
        <v>7382.68</v>
      </c>
    </row>
    <row r="12266" spans="1:4" x14ac:dyDescent="0.25">
      <c r="A12266" t="str">
        <f>T("   ES")</f>
        <v xml:space="preserve">   ES</v>
      </c>
      <c r="B12266" t="str">
        <f>T("   Espagne")</f>
        <v xml:space="preserve">   Espagne</v>
      </c>
      <c r="C12266">
        <v>1875161</v>
      </c>
      <c r="D12266">
        <v>1708</v>
      </c>
    </row>
    <row r="12267" spans="1:4" x14ac:dyDescent="0.25">
      <c r="A12267" t="str">
        <f>T("   FI")</f>
        <v xml:space="preserve">   FI</v>
      </c>
      <c r="B12267" t="str">
        <f>T("   Finlande")</f>
        <v xml:space="preserve">   Finlande</v>
      </c>
      <c r="C12267">
        <v>3214250</v>
      </c>
      <c r="D12267">
        <v>83</v>
      </c>
    </row>
    <row r="12268" spans="1:4" x14ac:dyDescent="0.25">
      <c r="A12268" t="str">
        <f>T("   FR")</f>
        <v xml:space="preserve">   FR</v>
      </c>
      <c r="B12268" t="str">
        <f>T("   France")</f>
        <v xml:space="preserve">   France</v>
      </c>
      <c r="C12268">
        <v>225692004</v>
      </c>
      <c r="D12268">
        <v>98505.5</v>
      </c>
    </row>
    <row r="12269" spans="1:4" x14ac:dyDescent="0.25">
      <c r="A12269" t="str">
        <f>T("   GB")</f>
        <v xml:space="preserve">   GB</v>
      </c>
      <c r="B12269" t="str">
        <f>T("   Royaume-Uni")</f>
        <v xml:space="preserve">   Royaume-Uni</v>
      </c>
      <c r="C12269">
        <v>2521812</v>
      </c>
      <c r="D12269">
        <v>349</v>
      </c>
    </row>
    <row r="12270" spans="1:4" x14ac:dyDescent="0.25">
      <c r="A12270" t="str">
        <f>T("   IN")</f>
        <v xml:space="preserve">   IN</v>
      </c>
      <c r="B12270" t="str">
        <f>T("   Inde")</f>
        <v xml:space="preserve">   Inde</v>
      </c>
      <c r="C12270">
        <v>28881</v>
      </c>
      <c r="D12270">
        <v>10</v>
      </c>
    </row>
    <row r="12271" spans="1:4" x14ac:dyDescent="0.25">
      <c r="A12271" t="str">
        <f>T("   IT")</f>
        <v xml:space="preserve">   IT</v>
      </c>
      <c r="B12271" t="str">
        <f>T("   Italie")</f>
        <v xml:space="preserve">   Italie</v>
      </c>
      <c r="C12271">
        <v>5289747</v>
      </c>
      <c r="D12271">
        <v>25327</v>
      </c>
    </row>
    <row r="12272" spans="1:4" x14ac:dyDescent="0.25">
      <c r="A12272" t="str">
        <f>T("   JP")</f>
        <v xml:space="preserve">   JP</v>
      </c>
      <c r="B12272" t="str">
        <f>T("   Japon")</f>
        <v xml:space="preserve">   Japon</v>
      </c>
      <c r="C12272">
        <v>1650395</v>
      </c>
      <c r="D12272">
        <v>24</v>
      </c>
    </row>
    <row r="12273" spans="1:4" x14ac:dyDescent="0.25">
      <c r="A12273" t="str">
        <f>T("   LB")</f>
        <v xml:space="preserve">   LB</v>
      </c>
      <c r="B12273" t="str">
        <f>T("   Liban")</f>
        <v xml:space="preserve">   Liban</v>
      </c>
      <c r="C12273">
        <v>183009</v>
      </c>
      <c r="D12273">
        <v>1172</v>
      </c>
    </row>
    <row r="12274" spans="1:4" x14ac:dyDescent="0.25">
      <c r="A12274" t="str">
        <f>T("   LT")</f>
        <v xml:space="preserve">   LT</v>
      </c>
      <c r="B12274" t="str">
        <f>T("   Lituanie")</f>
        <v xml:space="preserve">   Lituanie</v>
      </c>
      <c r="C12274">
        <v>94305</v>
      </c>
      <c r="D12274">
        <v>4</v>
      </c>
    </row>
    <row r="12275" spans="1:4" x14ac:dyDescent="0.25">
      <c r="A12275" t="str">
        <f>T("   MA")</f>
        <v xml:space="preserve">   MA</v>
      </c>
      <c r="B12275" t="str">
        <f>T("   Maroc")</f>
        <v xml:space="preserve">   Maroc</v>
      </c>
      <c r="C12275">
        <v>4032186</v>
      </c>
      <c r="D12275">
        <v>1955</v>
      </c>
    </row>
    <row r="12276" spans="1:4" x14ac:dyDescent="0.25">
      <c r="A12276" t="str">
        <f>T("   NG")</f>
        <v xml:space="preserve">   NG</v>
      </c>
      <c r="B12276" t="str">
        <f>T("   Nigéria")</f>
        <v xml:space="preserve">   Nigéria</v>
      </c>
      <c r="C12276">
        <v>3419142</v>
      </c>
      <c r="D12276">
        <v>4288</v>
      </c>
    </row>
    <row r="12277" spans="1:4" x14ac:dyDescent="0.25">
      <c r="A12277" t="str">
        <f>T("   SN")</f>
        <v xml:space="preserve">   SN</v>
      </c>
      <c r="B12277" t="str">
        <f>T("   Sénégal")</f>
        <v xml:space="preserve">   Sénégal</v>
      </c>
      <c r="C12277">
        <v>242500</v>
      </c>
      <c r="D12277">
        <v>32</v>
      </c>
    </row>
    <row r="12278" spans="1:4" x14ac:dyDescent="0.25">
      <c r="A12278" t="str">
        <f>T("   TG")</f>
        <v xml:space="preserve">   TG</v>
      </c>
      <c r="B12278" t="str">
        <f>T("   Togo")</f>
        <v xml:space="preserve">   Togo</v>
      </c>
      <c r="C12278">
        <v>309960</v>
      </c>
      <c r="D12278">
        <v>290</v>
      </c>
    </row>
    <row r="12279" spans="1:4" x14ac:dyDescent="0.25">
      <c r="A12279" t="str">
        <f>T("   TH")</f>
        <v xml:space="preserve">   TH</v>
      </c>
      <c r="B12279" t="str">
        <f>T("   Thaïlande")</f>
        <v xml:space="preserve">   Thaïlande</v>
      </c>
      <c r="C12279">
        <v>11598336</v>
      </c>
      <c r="D12279">
        <v>2001</v>
      </c>
    </row>
    <row r="12280" spans="1:4" x14ac:dyDescent="0.25">
      <c r="A12280" t="str">
        <f>T("   TR")</f>
        <v xml:space="preserve">   TR</v>
      </c>
      <c r="B12280" t="str">
        <f>T("   Turquie")</f>
        <v xml:space="preserve">   Turquie</v>
      </c>
      <c r="C12280">
        <v>10227447</v>
      </c>
      <c r="D12280">
        <v>2195</v>
      </c>
    </row>
    <row r="12281" spans="1:4" x14ac:dyDescent="0.25">
      <c r="A12281" t="str">
        <f>T("   US")</f>
        <v xml:space="preserve">   US</v>
      </c>
      <c r="B12281" t="str">
        <f>T("   Etats-Unis")</f>
        <v xml:space="preserve">   Etats-Unis</v>
      </c>
      <c r="C12281">
        <v>3100851</v>
      </c>
      <c r="D12281">
        <v>77.25</v>
      </c>
    </row>
    <row r="12282" spans="1:4" x14ac:dyDescent="0.25">
      <c r="A12282" t="str">
        <f>T("   ZA")</f>
        <v xml:space="preserve">   ZA</v>
      </c>
      <c r="B12282" t="str">
        <f>T("   Afrique du Sud")</f>
        <v xml:space="preserve">   Afrique du Sud</v>
      </c>
      <c r="C12282">
        <v>109292</v>
      </c>
      <c r="D12282">
        <v>6</v>
      </c>
    </row>
    <row r="12283" spans="1:4" x14ac:dyDescent="0.25">
      <c r="A12283" t="str">
        <f>T("848190")</f>
        <v>848190</v>
      </c>
      <c r="B12283" t="str">
        <f>T("Parties d'articles de robinetterie et organes simil. pour tuyauterie, etc., n.d.a.")</f>
        <v>Parties d'articles de robinetterie et organes simil. pour tuyauterie, etc., n.d.a.</v>
      </c>
    </row>
    <row r="12284" spans="1:4" x14ac:dyDescent="0.25">
      <c r="A12284" t="str">
        <f>T("   ZZZ_Monde")</f>
        <v xml:space="preserve">   ZZZ_Monde</v>
      </c>
      <c r="B12284" t="str">
        <f>T("   ZZZ_Monde")</f>
        <v xml:space="preserve">   ZZZ_Monde</v>
      </c>
      <c r="C12284">
        <v>23355355</v>
      </c>
      <c r="D12284">
        <v>2777.5</v>
      </c>
    </row>
    <row r="12285" spans="1:4" x14ac:dyDescent="0.25">
      <c r="A12285" t="str">
        <f>T("   AT")</f>
        <v xml:space="preserve">   AT</v>
      </c>
      <c r="B12285" t="str">
        <f>T("   Autriche")</f>
        <v xml:space="preserve">   Autriche</v>
      </c>
      <c r="C12285">
        <v>1077749</v>
      </c>
      <c r="D12285">
        <v>6</v>
      </c>
    </row>
    <row r="12286" spans="1:4" x14ac:dyDescent="0.25">
      <c r="A12286" t="str">
        <f>T("   CH")</f>
        <v xml:space="preserve">   CH</v>
      </c>
      <c r="B12286" t="str">
        <f>T("   Suisse")</f>
        <v xml:space="preserve">   Suisse</v>
      </c>
      <c r="C12286">
        <v>2901429</v>
      </c>
      <c r="D12286">
        <v>7</v>
      </c>
    </row>
    <row r="12287" spans="1:4" x14ac:dyDescent="0.25">
      <c r="A12287" t="str">
        <f>T("   DE")</f>
        <v xml:space="preserve">   DE</v>
      </c>
      <c r="B12287" t="str">
        <f>T("   Allemagne")</f>
        <v xml:space="preserve">   Allemagne</v>
      </c>
      <c r="C12287">
        <v>2218922</v>
      </c>
      <c r="D12287">
        <v>22</v>
      </c>
    </row>
    <row r="12288" spans="1:4" x14ac:dyDescent="0.25">
      <c r="A12288" t="str">
        <f>T("   ES")</f>
        <v xml:space="preserve">   ES</v>
      </c>
      <c r="B12288" t="str">
        <f>T("   Espagne")</f>
        <v xml:space="preserve">   Espagne</v>
      </c>
      <c r="C12288">
        <v>168523</v>
      </c>
      <c r="D12288">
        <v>67</v>
      </c>
    </row>
    <row r="12289" spans="1:4" x14ac:dyDescent="0.25">
      <c r="A12289" t="str">
        <f>T("   FR")</f>
        <v xml:space="preserve">   FR</v>
      </c>
      <c r="B12289" t="str">
        <f>T("   France")</f>
        <v xml:space="preserve">   France</v>
      </c>
      <c r="C12289">
        <v>15775896</v>
      </c>
      <c r="D12289">
        <v>2647</v>
      </c>
    </row>
    <row r="12290" spans="1:4" x14ac:dyDescent="0.25">
      <c r="A12290" t="str">
        <f>T("   IT")</f>
        <v xml:space="preserve">   IT</v>
      </c>
      <c r="B12290" t="str">
        <f>T("   Italie")</f>
        <v xml:space="preserve">   Italie</v>
      </c>
      <c r="C12290">
        <v>40014</v>
      </c>
      <c r="D12290">
        <v>0.5</v>
      </c>
    </row>
    <row r="12291" spans="1:4" x14ac:dyDescent="0.25">
      <c r="A12291" t="str">
        <f>T("   SE")</f>
        <v xml:space="preserve">   SE</v>
      </c>
      <c r="B12291" t="str">
        <f>T("   Suède")</f>
        <v xml:space="preserve">   Suède</v>
      </c>
      <c r="C12291">
        <v>1172822</v>
      </c>
      <c r="D12291">
        <v>28</v>
      </c>
    </row>
    <row r="12292" spans="1:4" x14ac:dyDescent="0.25">
      <c r="A12292" t="str">
        <f>T("848210")</f>
        <v>848210</v>
      </c>
      <c r="B12292" t="str">
        <f>T("Roulements à billes")</f>
        <v>Roulements à billes</v>
      </c>
    </row>
    <row r="12293" spans="1:4" x14ac:dyDescent="0.25">
      <c r="A12293" t="str">
        <f>T("   ZZZ_Monde")</f>
        <v xml:space="preserve">   ZZZ_Monde</v>
      </c>
      <c r="B12293" t="str">
        <f>T("   ZZZ_Monde")</f>
        <v xml:space="preserve">   ZZZ_Monde</v>
      </c>
      <c r="C12293">
        <v>79796465</v>
      </c>
      <c r="D12293">
        <v>17697.599999999999</v>
      </c>
    </row>
    <row r="12294" spans="1:4" x14ac:dyDescent="0.25">
      <c r="A12294" t="str">
        <f>T("   AT")</f>
        <v xml:space="preserve">   AT</v>
      </c>
      <c r="B12294" t="str">
        <f>T("   Autriche")</f>
        <v xml:space="preserve">   Autriche</v>
      </c>
      <c r="C12294">
        <v>3445758</v>
      </c>
      <c r="D12294">
        <v>163</v>
      </c>
    </row>
    <row r="12295" spans="1:4" x14ac:dyDescent="0.25">
      <c r="A12295" t="str">
        <f>T("   BE")</f>
        <v xml:space="preserve">   BE</v>
      </c>
      <c r="B12295" t="str">
        <f>T("   Belgique")</f>
        <v xml:space="preserve">   Belgique</v>
      </c>
      <c r="C12295">
        <v>526336</v>
      </c>
      <c r="D12295">
        <v>9</v>
      </c>
    </row>
    <row r="12296" spans="1:4" x14ac:dyDescent="0.25">
      <c r="A12296" t="str">
        <f>T("   CN")</f>
        <v xml:space="preserve">   CN</v>
      </c>
      <c r="B12296" t="str">
        <f>T("   Chine")</f>
        <v xml:space="preserve">   Chine</v>
      </c>
      <c r="C12296">
        <v>4766094</v>
      </c>
      <c r="D12296">
        <v>7900</v>
      </c>
    </row>
    <row r="12297" spans="1:4" x14ac:dyDescent="0.25">
      <c r="A12297" t="str">
        <f>T("   DE")</f>
        <v xml:space="preserve">   DE</v>
      </c>
      <c r="B12297" t="str">
        <f>T("   Allemagne")</f>
        <v xml:space="preserve">   Allemagne</v>
      </c>
      <c r="C12297">
        <v>116761</v>
      </c>
      <c r="D12297">
        <v>3</v>
      </c>
    </row>
    <row r="12298" spans="1:4" x14ac:dyDescent="0.25">
      <c r="A12298" t="str">
        <f>T("   FR")</f>
        <v xml:space="preserve">   FR</v>
      </c>
      <c r="B12298" t="str">
        <f>T("   France")</f>
        <v xml:space="preserve">   France</v>
      </c>
      <c r="C12298">
        <v>70941516</v>
      </c>
      <c r="D12298">
        <v>9622.6</v>
      </c>
    </row>
    <row r="12299" spans="1:4" x14ac:dyDescent="0.25">
      <c r="A12299" t="str">
        <f>T("848220")</f>
        <v>848220</v>
      </c>
      <c r="B12299" t="str">
        <f>T("Roulements à rouleaux coniques, y.c. les assemblages de cônes et rouleaux coniques")</f>
        <v>Roulements à rouleaux coniques, y.c. les assemblages de cônes et rouleaux coniques</v>
      </c>
    </row>
    <row r="12300" spans="1:4" x14ac:dyDescent="0.25">
      <c r="A12300" t="str">
        <f>T("   ZZZ_Monde")</f>
        <v xml:space="preserve">   ZZZ_Monde</v>
      </c>
      <c r="B12300" t="str">
        <f>T("   ZZZ_Monde")</f>
        <v xml:space="preserve">   ZZZ_Monde</v>
      </c>
      <c r="C12300">
        <v>6151264</v>
      </c>
      <c r="D12300">
        <v>613.79999999999995</v>
      </c>
    </row>
    <row r="12301" spans="1:4" x14ac:dyDescent="0.25">
      <c r="A12301" t="str">
        <f>T("   FR")</f>
        <v xml:space="preserve">   FR</v>
      </c>
      <c r="B12301" t="str">
        <f>T("   France")</f>
        <v xml:space="preserve">   France</v>
      </c>
      <c r="C12301">
        <v>6151264</v>
      </c>
      <c r="D12301">
        <v>613.79999999999995</v>
      </c>
    </row>
    <row r="12302" spans="1:4" x14ac:dyDescent="0.25">
      <c r="A12302" t="str">
        <f>T("848230")</f>
        <v>848230</v>
      </c>
      <c r="B12302" t="str">
        <f>T("Roulements à rouleaux en forme de tonneau")</f>
        <v>Roulements à rouleaux en forme de tonneau</v>
      </c>
    </row>
    <row r="12303" spans="1:4" x14ac:dyDescent="0.25">
      <c r="A12303" t="str">
        <f>T("   ZZZ_Monde")</f>
        <v xml:space="preserve">   ZZZ_Monde</v>
      </c>
      <c r="B12303" t="str">
        <f>T("   ZZZ_Monde")</f>
        <v xml:space="preserve">   ZZZ_Monde</v>
      </c>
      <c r="C12303">
        <v>1519145</v>
      </c>
      <c r="D12303">
        <v>100</v>
      </c>
    </row>
    <row r="12304" spans="1:4" x14ac:dyDescent="0.25">
      <c r="A12304" t="str">
        <f>T("   FR")</f>
        <v xml:space="preserve">   FR</v>
      </c>
      <c r="B12304" t="str">
        <f>T("   France")</f>
        <v xml:space="preserve">   France</v>
      </c>
      <c r="C12304">
        <v>991812</v>
      </c>
      <c r="D12304">
        <v>86</v>
      </c>
    </row>
    <row r="12305" spans="1:4" x14ac:dyDescent="0.25">
      <c r="A12305" t="str">
        <f>T("   NL")</f>
        <v xml:space="preserve">   NL</v>
      </c>
      <c r="B12305" t="str">
        <f>T("   Pays-bas")</f>
        <v xml:space="preserve">   Pays-bas</v>
      </c>
      <c r="C12305">
        <v>527333</v>
      </c>
      <c r="D12305">
        <v>14</v>
      </c>
    </row>
    <row r="12306" spans="1:4" x14ac:dyDescent="0.25">
      <c r="A12306" t="str">
        <f>T("848240")</f>
        <v>848240</v>
      </c>
      <c r="B12306" t="str">
        <f>T("Roulements à aiguilles")</f>
        <v>Roulements à aiguilles</v>
      </c>
    </row>
    <row r="12307" spans="1:4" x14ac:dyDescent="0.25">
      <c r="A12307" t="str">
        <f>T("   ZZZ_Monde")</f>
        <v xml:space="preserve">   ZZZ_Monde</v>
      </c>
      <c r="B12307" t="str">
        <f>T("   ZZZ_Monde")</f>
        <v xml:space="preserve">   ZZZ_Monde</v>
      </c>
      <c r="C12307">
        <v>1402442</v>
      </c>
      <c r="D12307">
        <v>138</v>
      </c>
    </row>
    <row r="12308" spans="1:4" x14ac:dyDescent="0.25">
      <c r="A12308" t="str">
        <f>T("   FR")</f>
        <v xml:space="preserve">   FR</v>
      </c>
      <c r="B12308" t="str">
        <f>T("   France")</f>
        <v xml:space="preserve">   France</v>
      </c>
      <c r="C12308">
        <v>1402442</v>
      </c>
      <c r="D12308">
        <v>138</v>
      </c>
    </row>
    <row r="12309" spans="1:4" x14ac:dyDescent="0.25">
      <c r="A12309" t="str">
        <f>T("848250")</f>
        <v>848250</v>
      </c>
      <c r="B12309" t="str">
        <f>T("Roulements à rouleaux cylindriques")</f>
        <v>Roulements à rouleaux cylindriques</v>
      </c>
    </row>
    <row r="12310" spans="1:4" x14ac:dyDescent="0.25">
      <c r="A12310" t="str">
        <f>T("   ZZZ_Monde")</f>
        <v xml:space="preserve">   ZZZ_Monde</v>
      </c>
      <c r="B12310" t="str">
        <f>T("   ZZZ_Monde")</f>
        <v xml:space="preserve">   ZZZ_Monde</v>
      </c>
      <c r="C12310">
        <v>7039067</v>
      </c>
      <c r="D12310">
        <v>364</v>
      </c>
    </row>
    <row r="12311" spans="1:4" x14ac:dyDescent="0.25">
      <c r="A12311" t="str">
        <f>T("   AT")</f>
        <v xml:space="preserve">   AT</v>
      </c>
      <c r="B12311" t="str">
        <f>T("   Autriche")</f>
        <v xml:space="preserve">   Autriche</v>
      </c>
      <c r="C12311">
        <v>1153374</v>
      </c>
      <c r="D12311">
        <v>50</v>
      </c>
    </row>
    <row r="12312" spans="1:4" x14ac:dyDescent="0.25">
      <c r="A12312" t="str">
        <f>T("   BE")</f>
        <v xml:space="preserve">   BE</v>
      </c>
      <c r="B12312" t="str">
        <f>T("   Belgique")</f>
        <v xml:space="preserve">   Belgique</v>
      </c>
      <c r="C12312">
        <v>348420</v>
      </c>
      <c r="D12312">
        <v>6</v>
      </c>
    </row>
    <row r="12313" spans="1:4" x14ac:dyDescent="0.25">
      <c r="A12313" t="str">
        <f>T("   FR")</f>
        <v xml:space="preserve">   FR</v>
      </c>
      <c r="B12313" t="str">
        <f>T("   France")</f>
        <v xml:space="preserve">   France</v>
      </c>
      <c r="C12313">
        <v>1579329</v>
      </c>
      <c r="D12313">
        <v>66</v>
      </c>
    </row>
    <row r="12314" spans="1:4" x14ac:dyDescent="0.25">
      <c r="A12314" t="str">
        <f>T("   NO")</f>
        <v xml:space="preserve">   NO</v>
      </c>
      <c r="B12314" t="str">
        <f>T("   Norvège")</f>
        <v xml:space="preserve">   Norvège</v>
      </c>
      <c r="C12314">
        <v>3767690</v>
      </c>
      <c r="D12314">
        <v>240</v>
      </c>
    </row>
    <row r="12315" spans="1:4" x14ac:dyDescent="0.25">
      <c r="A12315" t="str">
        <f>T("   SV")</f>
        <v xml:space="preserve">   SV</v>
      </c>
      <c r="B12315" t="str">
        <f>T("   El Salvador")</f>
        <v xml:space="preserve">   El Salvador</v>
      </c>
      <c r="C12315">
        <v>190254</v>
      </c>
      <c r="D12315">
        <v>2</v>
      </c>
    </row>
    <row r="12316" spans="1:4" x14ac:dyDescent="0.25">
      <c r="A12316" t="str">
        <f>T("848280")</f>
        <v>848280</v>
      </c>
      <c r="B12316" t="str">
        <f>T("Roulements à galets et autres roulements, y.c. les roulements combinés (à l'excl. des roulements à billes, roulements à rouleaux coniques, y.c. les assemblages de cônes et rouleaux coniques, roulements à rouleaux en forme de tonneau, roulements à aiguille")</f>
        <v>Roulements à galets et autres roulements, y.c. les roulements combinés (à l'excl. des roulements à billes, roulements à rouleaux coniques, y.c. les assemblages de cônes et rouleaux coniques, roulements à rouleaux en forme de tonneau, roulements à aiguille</v>
      </c>
    </row>
    <row r="12317" spans="1:4" x14ac:dyDescent="0.25">
      <c r="A12317" t="str">
        <f>T("   ZZZ_Monde")</f>
        <v xml:space="preserve">   ZZZ_Monde</v>
      </c>
      <c r="B12317" t="str">
        <f>T("   ZZZ_Monde")</f>
        <v xml:space="preserve">   ZZZ_Monde</v>
      </c>
      <c r="C12317">
        <v>165970108</v>
      </c>
      <c r="D12317">
        <v>17153.32</v>
      </c>
    </row>
    <row r="12318" spans="1:4" x14ac:dyDescent="0.25">
      <c r="A12318" t="str">
        <f>T("   AE")</f>
        <v xml:space="preserve">   AE</v>
      </c>
      <c r="B12318" t="str">
        <f>T("   Emirats Arabes Unis")</f>
        <v xml:space="preserve">   Emirats Arabes Unis</v>
      </c>
      <c r="C12318">
        <v>534954</v>
      </c>
      <c r="D12318">
        <v>1222</v>
      </c>
    </row>
    <row r="12319" spans="1:4" x14ac:dyDescent="0.25">
      <c r="A12319" t="str">
        <f>T("   AT")</f>
        <v xml:space="preserve">   AT</v>
      </c>
      <c r="B12319" t="str">
        <f>T("   Autriche")</f>
        <v xml:space="preserve">   Autriche</v>
      </c>
      <c r="C12319">
        <v>314598</v>
      </c>
      <c r="D12319">
        <v>35</v>
      </c>
    </row>
    <row r="12320" spans="1:4" x14ac:dyDescent="0.25">
      <c r="A12320" t="str">
        <f>T("   BE")</f>
        <v xml:space="preserve">   BE</v>
      </c>
      <c r="B12320" t="str">
        <f>T("   Belgique")</f>
        <v xml:space="preserve">   Belgique</v>
      </c>
      <c r="C12320">
        <v>6093304</v>
      </c>
      <c r="D12320">
        <v>266</v>
      </c>
    </row>
    <row r="12321" spans="1:4" x14ac:dyDescent="0.25">
      <c r="A12321" t="str">
        <f>T("   CA")</f>
        <v xml:space="preserve">   CA</v>
      </c>
      <c r="B12321" t="str">
        <f>T("   Canada")</f>
        <v xml:space="preserve">   Canada</v>
      </c>
      <c r="C12321">
        <v>6117325</v>
      </c>
      <c r="D12321">
        <v>1460</v>
      </c>
    </row>
    <row r="12322" spans="1:4" x14ac:dyDescent="0.25">
      <c r="A12322" t="str">
        <f>T("   DE")</f>
        <v xml:space="preserve">   DE</v>
      </c>
      <c r="B12322" t="str">
        <f>T("   Allemagne")</f>
        <v xml:space="preserve">   Allemagne</v>
      </c>
      <c r="C12322">
        <v>9780292</v>
      </c>
      <c r="D12322">
        <v>37.42</v>
      </c>
    </row>
    <row r="12323" spans="1:4" x14ac:dyDescent="0.25">
      <c r="A12323" t="str">
        <f>T("   FR")</f>
        <v xml:space="preserve">   FR</v>
      </c>
      <c r="B12323" t="str">
        <f>T("   France")</f>
        <v xml:space="preserve">   France</v>
      </c>
      <c r="C12323">
        <v>57593334</v>
      </c>
      <c r="D12323">
        <v>4233.8999999999996</v>
      </c>
    </row>
    <row r="12324" spans="1:4" x14ac:dyDescent="0.25">
      <c r="A12324" t="str">
        <f>T("   GH")</f>
        <v xml:space="preserve">   GH</v>
      </c>
      <c r="B12324" t="str">
        <f>T("   Ghana")</f>
        <v xml:space="preserve">   Ghana</v>
      </c>
      <c r="C12324">
        <v>72385009</v>
      </c>
      <c r="D12324">
        <v>9313</v>
      </c>
    </row>
    <row r="12325" spans="1:4" x14ac:dyDescent="0.25">
      <c r="A12325" t="str">
        <f>T("   NL")</f>
        <v xml:space="preserve">   NL</v>
      </c>
      <c r="B12325" t="str">
        <f>T("   Pays-bas")</f>
        <v xml:space="preserve">   Pays-bas</v>
      </c>
      <c r="C12325">
        <v>587740</v>
      </c>
      <c r="D12325">
        <v>507</v>
      </c>
    </row>
    <row r="12326" spans="1:4" x14ac:dyDescent="0.25">
      <c r="A12326" t="str">
        <f>T("   NO")</f>
        <v xml:space="preserve">   NO</v>
      </c>
      <c r="B12326" t="str">
        <f>T("   Norvège")</f>
        <v xml:space="preserve">   Norvège</v>
      </c>
      <c r="C12326">
        <v>3281119</v>
      </c>
      <c r="D12326">
        <v>16</v>
      </c>
    </row>
    <row r="12327" spans="1:4" x14ac:dyDescent="0.25">
      <c r="A12327" t="str">
        <f>T("   RU")</f>
        <v xml:space="preserve">   RU</v>
      </c>
      <c r="B12327" t="str">
        <f>T("   Russie, Fédération de")</f>
        <v xml:space="preserve">   Russie, Fédération de</v>
      </c>
      <c r="C12327">
        <v>274191</v>
      </c>
      <c r="D12327">
        <v>11</v>
      </c>
    </row>
    <row r="12328" spans="1:4" x14ac:dyDescent="0.25">
      <c r="A12328" t="str">
        <f>T("   SE")</f>
        <v xml:space="preserve">   SE</v>
      </c>
      <c r="B12328" t="str">
        <f>T("   Suède")</f>
        <v xml:space="preserve">   Suède</v>
      </c>
      <c r="C12328">
        <v>2051174</v>
      </c>
      <c r="D12328">
        <v>24</v>
      </c>
    </row>
    <row r="12329" spans="1:4" x14ac:dyDescent="0.25">
      <c r="A12329" t="str">
        <f>T("   US")</f>
        <v xml:space="preserve">   US</v>
      </c>
      <c r="B12329" t="str">
        <f>T("   Etats-Unis")</f>
        <v xml:space="preserve">   Etats-Unis</v>
      </c>
      <c r="C12329">
        <v>6957068</v>
      </c>
      <c r="D12329">
        <v>28</v>
      </c>
    </row>
    <row r="12330" spans="1:4" x14ac:dyDescent="0.25">
      <c r="A12330" t="str">
        <f>T("848291")</f>
        <v>848291</v>
      </c>
      <c r="B12330" t="str">
        <f>T("Billes, galets, rouleaux et aiguilles pour roulements (sauf billes en acier du n° 7326)")</f>
        <v>Billes, galets, rouleaux et aiguilles pour roulements (sauf billes en acier du n° 7326)</v>
      </c>
    </row>
    <row r="12331" spans="1:4" x14ac:dyDescent="0.25">
      <c r="A12331" t="str">
        <f>T("   ZZZ_Monde")</f>
        <v xml:space="preserve">   ZZZ_Monde</v>
      </c>
      <c r="B12331" t="str">
        <f>T("   ZZZ_Monde")</f>
        <v xml:space="preserve">   ZZZ_Monde</v>
      </c>
      <c r="C12331">
        <v>14025029</v>
      </c>
      <c r="D12331">
        <v>1135</v>
      </c>
    </row>
    <row r="12332" spans="1:4" x14ac:dyDescent="0.25">
      <c r="A12332" t="str">
        <f>T("   FR")</f>
        <v xml:space="preserve">   FR</v>
      </c>
      <c r="B12332" t="str">
        <f>T("   France")</f>
        <v xml:space="preserve">   France</v>
      </c>
      <c r="C12332">
        <v>14025029</v>
      </c>
      <c r="D12332">
        <v>1135</v>
      </c>
    </row>
    <row r="12333" spans="1:4" x14ac:dyDescent="0.25">
      <c r="A12333" t="str">
        <f>T("848299")</f>
        <v>848299</v>
      </c>
      <c r="B12333" t="str">
        <f>T("Parties de roulements à billes, à galets, à rouleaux ou à aiguilles (à l'excl. de leur organe de roulement), n.d.a.")</f>
        <v>Parties de roulements à billes, à galets, à rouleaux ou à aiguilles (à l'excl. de leur organe de roulement), n.d.a.</v>
      </c>
    </row>
    <row r="12334" spans="1:4" x14ac:dyDescent="0.25">
      <c r="A12334" t="str">
        <f>T("   ZZZ_Monde")</f>
        <v xml:space="preserve">   ZZZ_Monde</v>
      </c>
      <c r="B12334" t="str">
        <f>T("   ZZZ_Monde")</f>
        <v xml:space="preserve">   ZZZ_Monde</v>
      </c>
      <c r="C12334">
        <v>56793743</v>
      </c>
      <c r="D12334">
        <v>2499.3000000000002</v>
      </c>
    </row>
    <row r="12335" spans="1:4" x14ac:dyDescent="0.25">
      <c r="A12335" t="str">
        <f>T("   BE")</f>
        <v xml:space="preserve">   BE</v>
      </c>
      <c r="B12335" t="str">
        <f>T("   Belgique")</f>
        <v xml:space="preserve">   Belgique</v>
      </c>
      <c r="C12335">
        <v>4870801</v>
      </c>
      <c r="D12335">
        <v>140.30000000000001</v>
      </c>
    </row>
    <row r="12336" spans="1:4" x14ac:dyDescent="0.25">
      <c r="A12336" t="str">
        <f>T("   FR")</f>
        <v xml:space="preserve">   FR</v>
      </c>
      <c r="B12336" t="str">
        <f>T("   France")</f>
        <v xml:space="preserve">   France</v>
      </c>
      <c r="C12336">
        <v>27029186</v>
      </c>
      <c r="D12336">
        <v>416</v>
      </c>
    </row>
    <row r="12337" spans="1:4" x14ac:dyDescent="0.25">
      <c r="A12337" t="str">
        <f>T("   US")</f>
        <v xml:space="preserve">   US</v>
      </c>
      <c r="B12337" t="str">
        <f>T("   Etats-Unis")</f>
        <v xml:space="preserve">   Etats-Unis</v>
      </c>
      <c r="C12337">
        <v>24893756</v>
      </c>
      <c r="D12337">
        <v>1943</v>
      </c>
    </row>
    <row r="12338" spans="1:4" x14ac:dyDescent="0.25">
      <c r="A12338" t="str">
        <f>T("848310")</f>
        <v>848310</v>
      </c>
      <c r="B12338" t="str">
        <f>T("Arbres de transmission pour machines, y.c. -les arbres à cames et les vilebrequins- et manivelles")</f>
        <v>Arbres de transmission pour machines, y.c. -les arbres à cames et les vilebrequins- et manivelles</v>
      </c>
    </row>
    <row r="12339" spans="1:4" x14ac:dyDescent="0.25">
      <c r="A12339" t="str">
        <f>T("   ZZZ_Monde")</f>
        <v xml:space="preserve">   ZZZ_Monde</v>
      </c>
      <c r="B12339" t="str">
        <f>T("   ZZZ_Monde")</f>
        <v xml:space="preserve">   ZZZ_Monde</v>
      </c>
      <c r="C12339">
        <v>69845449</v>
      </c>
      <c r="D12339">
        <v>5461</v>
      </c>
    </row>
    <row r="12340" spans="1:4" x14ac:dyDescent="0.25">
      <c r="A12340" t="str">
        <f>T("   AT")</f>
        <v xml:space="preserve">   AT</v>
      </c>
      <c r="B12340" t="str">
        <f>T("   Autriche")</f>
        <v xml:space="preserve">   Autriche</v>
      </c>
      <c r="C12340">
        <v>5256404</v>
      </c>
      <c r="D12340">
        <v>144</v>
      </c>
    </row>
    <row r="12341" spans="1:4" x14ac:dyDescent="0.25">
      <c r="A12341" t="str">
        <f>T("   BE")</f>
        <v xml:space="preserve">   BE</v>
      </c>
      <c r="B12341" t="str">
        <f>T("   Belgique")</f>
        <v xml:space="preserve">   Belgique</v>
      </c>
      <c r="C12341">
        <v>2515642</v>
      </c>
      <c r="D12341">
        <v>18</v>
      </c>
    </row>
    <row r="12342" spans="1:4" x14ac:dyDescent="0.25">
      <c r="A12342" t="str">
        <f>T("   DE")</f>
        <v xml:space="preserve">   DE</v>
      </c>
      <c r="B12342" t="str">
        <f>T("   Allemagne")</f>
        <v xml:space="preserve">   Allemagne</v>
      </c>
      <c r="C12342">
        <v>40371103</v>
      </c>
      <c r="D12342">
        <v>4294</v>
      </c>
    </row>
    <row r="12343" spans="1:4" x14ac:dyDescent="0.25">
      <c r="A12343" t="str">
        <f>T("   DK")</f>
        <v xml:space="preserve">   DK</v>
      </c>
      <c r="B12343" t="str">
        <f>T("   Danemark")</f>
        <v xml:space="preserve">   Danemark</v>
      </c>
      <c r="C12343">
        <v>4320153</v>
      </c>
      <c r="D12343">
        <v>419</v>
      </c>
    </row>
    <row r="12344" spans="1:4" x14ac:dyDescent="0.25">
      <c r="A12344" t="str">
        <f>T("   FR")</f>
        <v xml:space="preserve">   FR</v>
      </c>
      <c r="B12344" t="str">
        <f>T("   France")</f>
        <v xml:space="preserve">   France</v>
      </c>
      <c r="C12344">
        <v>10522853</v>
      </c>
      <c r="D12344">
        <v>327</v>
      </c>
    </row>
    <row r="12345" spans="1:4" x14ac:dyDescent="0.25">
      <c r="A12345" t="str">
        <f>T("   IT")</f>
        <v xml:space="preserve">   IT</v>
      </c>
      <c r="B12345" t="str">
        <f>T("   Italie")</f>
        <v xml:space="preserve">   Italie</v>
      </c>
      <c r="C12345">
        <v>2021669</v>
      </c>
      <c r="D12345">
        <v>3</v>
      </c>
    </row>
    <row r="12346" spans="1:4" x14ac:dyDescent="0.25">
      <c r="A12346" t="str">
        <f>T("   SE")</f>
        <v xml:space="preserve">   SE</v>
      </c>
      <c r="B12346" t="str">
        <f>T("   Suède")</f>
        <v xml:space="preserve">   Suède</v>
      </c>
      <c r="C12346">
        <v>1524576</v>
      </c>
      <c r="D12346">
        <v>20</v>
      </c>
    </row>
    <row r="12347" spans="1:4" x14ac:dyDescent="0.25">
      <c r="A12347" t="str">
        <f>T("   SN")</f>
        <v xml:space="preserve">   SN</v>
      </c>
      <c r="B12347" t="str">
        <f>T("   Sénégal")</f>
        <v xml:space="preserve">   Sénégal</v>
      </c>
      <c r="C12347">
        <v>1010415</v>
      </c>
      <c r="D12347">
        <v>136</v>
      </c>
    </row>
    <row r="12348" spans="1:4" x14ac:dyDescent="0.25">
      <c r="A12348" t="str">
        <f>T("   SY")</f>
        <v xml:space="preserve">   SY</v>
      </c>
      <c r="B12348" t="str">
        <f>T("   Syrienne, République arabe")</f>
        <v xml:space="preserve">   Syrienne, République arabe</v>
      </c>
      <c r="C12348">
        <v>2302634</v>
      </c>
      <c r="D12348">
        <v>100</v>
      </c>
    </row>
    <row r="12349" spans="1:4" x14ac:dyDescent="0.25">
      <c r="A12349" t="str">
        <f>T("848320")</f>
        <v>848320</v>
      </c>
      <c r="B12349" t="str">
        <f>T("Paliers à roulements incorporés, pour machines")</f>
        <v>Paliers à roulements incorporés, pour machines</v>
      </c>
    </row>
    <row r="12350" spans="1:4" x14ac:dyDescent="0.25">
      <c r="A12350" t="str">
        <f>T("   ZZZ_Monde")</f>
        <v xml:space="preserve">   ZZZ_Monde</v>
      </c>
      <c r="B12350" t="str">
        <f>T("   ZZZ_Monde")</f>
        <v xml:space="preserve">   ZZZ_Monde</v>
      </c>
      <c r="C12350">
        <v>37698942</v>
      </c>
      <c r="D12350">
        <v>1663</v>
      </c>
    </row>
    <row r="12351" spans="1:4" x14ac:dyDescent="0.25">
      <c r="A12351" t="str">
        <f>T("   BE")</f>
        <v xml:space="preserve">   BE</v>
      </c>
      <c r="B12351" t="str">
        <f>T("   Belgique")</f>
        <v xml:space="preserve">   Belgique</v>
      </c>
      <c r="C12351">
        <v>639640</v>
      </c>
      <c r="D12351">
        <v>15</v>
      </c>
    </row>
    <row r="12352" spans="1:4" x14ac:dyDescent="0.25">
      <c r="A12352" t="str">
        <f>T("   DE")</f>
        <v xml:space="preserve">   DE</v>
      </c>
      <c r="B12352" t="str">
        <f>T("   Allemagne")</f>
        <v xml:space="preserve">   Allemagne</v>
      </c>
      <c r="C12352">
        <v>1180728</v>
      </c>
      <c r="D12352">
        <v>89</v>
      </c>
    </row>
    <row r="12353" spans="1:4" x14ac:dyDescent="0.25">
      <c r="A12353" t="str">
        <f>T("   DK")</f>
        <v xml:space="preserve">   DK</v>
      </c>
      <c r="B12353" t="str">
        <f>T("   Danemark")</f>
        <v xml:space="preserve">   Danemark</v>
      </c>
      <c r="C12353">
        <v>1555281</v>
      </c>
      <c r="D12353">
        <v>29</v>
      </c>
    </row>
    <row r="12354" spans="1:4" x14ac:dyDescent="0.25">
      <c r="A12354" t="str">
        <f>T("   FR")</f>
        <v xml:space="preserve">   FR</v>
      </c>
      <c r="B12354" t="str">
        <f>T("   France")</f>
        <v xml:space="preserve">   France</v>
      </c>
      <c r="C12354">
        <v>34323293</v>
      </c>
      <c r="D12354">
        <v>1530</v>
      </c>
    </row>
    <row r="12355" spans="1:4" x14ac:dyDescent="0.25">
      <c r="A12355" t="str">
        <f>T("848330")</f>
        <v>848330</v>
      </c>
      <c r="B12355" t="str">
        <f>T("Paliers pour machines, sans roulements incorporés; coussinets et coquilles de coussinets pour machines")</f>
        <v>Paliers pour machines, sans roulements incorporés; coussinets et coquilles de coussinets pour machines</v>
      </c>
    </row>
    <row r="12356" spans="1:4" x14ac:dyDescent="0.25">
      <c r="A12356" t="str">
        <f>T("   ZZZ_Monde")</f>
        <v xml:space="preserve">   ZZZ_Monde</v>
      </c>
      <c r="B12356" t="str">
        <f>T("   ZZZ_Monde")</f>
        <v xml:space="preserve">   ZZZ_Monde</v>
      </c>
      <c r="C12356">
        <v>55627962</v>
      </c>
      <c r="D12356">
        <v>2379.92</v>
      </c>
    </row>
    <row r="12357" spans="1:4" x14ac:dyDescent="0.25">
      <c r="A12357" t="str">
        <f>T("   BE")</f>
        <v xml:space="preserve">   BE</v>
      </c>
      <c r="B12357" t="str">
        <f>T("   Belgique")</f>
        <v xml:space="preserve">   Belgique</v>
      </c>
      <c r="C12357">
        <v>1420865</v>
      </c>
      <c r="D12357">
        <v>2.2000000000000002</v>
      </c>
    </row>
    <row r="12358" spans="1:4" x14ac:dyDescent="0.25">
      <c r="A12358" t="str">
        <f>T("   CH")</f>
        <v xml:space="preserve">   CH</v>
      </c>
      <c r="B12358" t="str">
        <f>T("   Suisse")</f>
        <v xml:space="preserve">   Suisse</v>
      </c>
      <c r="C12358">
        <v>9862857</v>
      </c>
      <c r="D12358">
        <v>203</v>
      </c>
    </row>
    <row r="12359" spans="1:4" x14ac:dyDescent="0.25">
      <c r="A12359" t="str">
        <f>T("   DE")</f>
        <v xml:space="preserve">   DE</v>
      </c>
      <c r="B12359" t="str">
        <f>T("   Allemagne")</f>
        <v xml:space="preserve">   Allemagne</v>
      </c>
      <c r="C12359">
        <v>5685432</v>
      </c>
      <c r="D12359">
        <v>216.42</v>
      </c>
    </row>
    <row r="12360" spans="1:4" x14ac:dyDescent="0.25">
      <c r="A12360" t="str">
        <f>T("   DK")</f>
        <v xml:space="preserve">   DK</v>
      </c>
      <c r="B12360" t="str">
        <f>T("   Danemark")</f>
        <v xml:space="preserve">   Danemark</v>
      </c>
      <c r="C12360">
        <v>5491697</v>
      </c>
      <c r="D12360">
        <v>70</v>
      </c>
    </row>
    <row r="12361" spans="1:4" x14ac:dyDescent="0.25">
      <c r="A12361" t="str">
        <f>T("   FR")</f>
        <v xml:space="preserve">   FR</v>
      </c>
      <c r="B12361" t="str">
        <f>T("   France")</f>
        <v xml:space="preserve">   France</v>
      </c>
      <c r="C12361">
        <v>30930955</v>
      </c>
      <c r="D12361">
        <v>1679.3</v>
      </c>
    </row>
    <row r="12362" spans="1:4" x14ac:dyDescent="0.25">
      <c r="A12362" t="str">
        <f>T("   NL")</f>
        <v xml:space="preserve">   NL</v>
      </c>
      <c r="B12362" t="str">
        <f>T("   Pays-bas")</f>
        <v xml:space="preserve">   Pays-bas</v>
      </c>
      <c r="C12362">
        <v>85275</v>
      </c>
      <c r="D12362">
        <v>1</v>
      </c>
    </row>
    <row r="12363" spans="1:4" x14ac:dyDescent="0.25">
      <c r="A12363" t="str">
        <f>T("   SN")</f>
        <v xml:space="preserve">   SN</v>
      </c>
      <c r="B12363" t="str">
        <f>T("   Sénégal")</f>
        <v xml:space="preserve">   Sénégal</v>
      </c>
      <c r="C12363">
        <v>1010415</v>
      </c>
      <c r="D12363">
        <v>137</v>
      </c>
    </row>
    <row r="12364" spans="1:4" x14ac:dyDescent="0.25">
      <c r="A12364" t="str">
        <f>T("   US")</f>
        <v xml:space="preserve">   US</v>
      </c>
      <c r="B12364" t="str">
        <f>T("   Etats-Unis")</f>
        <v xml:space="preserve">   Etats-Unis</v>
      </c>
      <c r="C12364">
        <v>1140466</v>
      </c>
      <c r="D12364">
        <v>71</v>
      </c>
    </row>
    <row r="12365" spans="1:4" x14ac:dyDescent="0.25">
      <c r="A12365" t="str">
        <f>T("848340")</f>
        <v>848340</v>
      </c>
      <c r="B12365" t="str">
        <f>T("Engrenages et roues de friction de machines (à l'excl. des  roues dentées et autres organes élémentaires de transmission présentés séparément); broches filetées à billes ou à rouleaux; réducteurs, multiplicateurs et variateurs de vitesse, y. c. les conver")</f>
        <v>Engrenages et roues de friction de machines (à l'excl. des  roues dentées et autres organes élémentaires de transmission présentés séparément); broches filetées à billes ou à rouleaux; réducteurs, multiplicateurs et variateurs de vitesse, y. c. les conver</v>
      </c>
    </row>
    <row r="12366" spans="1:4" x14ac:dyDescent="0.25">
      <c r="A12366" t="str">
        <f>T("   ZZZ_Monde")</f>
        <v xml:space="preserve">   ZZZ_Monde</v>
      </c>
      <c r="B12366" t="str">
        <f>T("   ZZZ_Monde")</f>
        <v xml:space="preserve">   ZZZ_Monde</v>
      </c>
      <c r="C12366">
        <v>65416449</v>
      </c>
      <c r="D12366">
        <v>4452.8999999999996</v>
      </c>
    </row>
    <row r="12367" spans="1:4" x14ac:dyDescent="0.25">
      <c r="A12367" t="str">
        <f>T("   BE")</f>
        <v xml:space="preserve">   BE</v>
      </c>
      <c r="B12367" t="str">
        <f>T("   Belgique")</f>
        <v xml:space="preserve">   Belgique</v>
      </c>
      <c r="C12367">
        <v>290590</v>
      </c>
      <c r="D12367">
        <v>18</v>
      </c>
    </row>
    <row r="12368" spans="1:4" x14ac:dyDescent="0.25">
      <c r="A12368" t="str">
        <f>T("   CH")</f>
        <v xml:space="preserve">   CH</v>
      </c>
      <c r="B12368" t="str">
        <f>T("   Suisse")</f>
        <v xml:space="preserve">   Suisse</v>
      </c>
      <c r="C12368">
        <v>7056929</v>
      </c>
      <c r="D12368">
        <v>868</v>
      </c>
    </row>
    <row r="12369" spans="1:4" x14ac:dyDescent="0.25">
      <c r="A12369" t="str">
        <f>T("   DE")</f>
        <v xml:space="preserve">   DE</v>
      </c>
      <c r="B12369" t="str">
        <f>T("   Allemagne")</f>
        <v xml:space="preserve">   Allemagne</v>
      </c>
      <c r="C12369">
        <v>8577237</v>
      </c>
      <c r="D12369">
        <v>1777</v>
      </c>
    </row>
    <row r="12370" spans="1:4" x14ac:dyDescent="0.25">
      <c r="A12370" t="str">
        <f>T("   FR")</f>
        <v xml:space="preserve">   FR</v>
      </c>
      <c r="B12370" t="str">
        <f>T("   France")</f>
        <v xml:space="preserve">   France</v>
      </c>
      <c r="C12370">
        <v>46000034</v>
      </c>
      <c r="D12370">
        <v>1768</v>
      </c>
    </row>
    <row r="12371" spans="1:4" x14ac:dyDescent="0.25">
      <c r="A12371" t="str">
        <f>T("   IT")</f>
        <v xml:space="preserve">   IT</v>
      </c>
      <c r="B12371" t="str">
        <f>T("   Italie")</f>
        <v xml:space="preserve">   Italie</v>
      </c>
      <c r="C12371">
        <v>3284392</v>
      </c>
      <c r="D12371">
        <v>20.9</v>
      </c>
    </row>
    <row r="12372" spans="1:4" x14ac:dyDescent="0.25">
      <c r="A12372" t="str">
        <f>T("   SE")</f>
        <v xml:space="preserve">   SE</v>
      </c>
      <c r="B12372" t="str">
        <f>T("   Suède")</f>
        <v xml:space="preserve">   Suède</v>
      </c>
      <c r="C12372">
        <v>207267</v>
      </c>
      <c r="D12372">
        <v>1</v>
      </c>
    </row>
    <row r="12373" spans="1:4" x14ac:dyDescent="0.25">
      <c r="A12373" t="str">
        <f>T("848350")</f>
        <v>848350</v>
      </c>
      <c r="B12373" t="str">
        <f>T("Volants et poulies, y.c. les poulies à moufles")</f>
        <v>Volants et poulies, y.c. les poulies à moufles</v>
      </c>
    </row>
    <row r="12374" spans="1:4" x14ac:dyDescent="0.25">
      <c r="A12374" t="str">
        <f>T("   ZZZ_Monde")</f>
        <v xml:space="preserve">   ZZZ_Monde</v>
      </c>
      <c r="B12374" t="str">
        <f>T("   ZZZ_Monde")</f>
        <v xml:space="preserve">   ZZZ_Monde</v>
      </c>
      <c r="C12374">
        <v>27017815</v>
      </c>
      <c r="D12374">
        <v>2388</v>
      </c>
    </row>
    <row r="12375" spans="1:4" x14ac:dyDescent="0.25">
      <c r="A12375" t="str">
        <f>T("   AT")</f>
        <v xml:space="preserve">   AT</v>
      </c>
      <c r="B12375" t="str">
        <f>T("   Autriche")</f>
        <v xml:space="preserve">   Autriche</v>
      </c>
      <c r="C12375">
        <v>16315693</v>
      </c>
      <c r="D12375">
        <v>1350</v>
      </c>
    </row>
    <row r="12376" spans="1:4" x14ac:dyDescent="0.25">
      <c r="A12376" t="str">
        <f>T("   CN")</f>
        <v xml:space="preserve">   CN</v>
      </c>
      <c r="B12376" t="str">
        <f>T("   Chine")</f>
        <v xml:space="preserve">   Chine</v>
      </c>
      <c r="C12376">
        <v>49971</v>
      </c>
      <c r="D12376">
        <v>93</v>
      </c>
    </row>
    <row r="12377" spans="1:4" x14ac:dyDescent="0.25">
      <c r="A12377" t="str">
        <f>T("   DE")</f>
        <v xml:space="preserve">   DE</v>
      </c>
      <c r="B12377" t="str">
        <f>T("   Allemagne")</f>
        <v xml:space="preserve">   Allemagne</v>
      </c>
      <c r="C12377">
        <v>8225740</v>
      </c>
      <c r="D12377">
        <v>777</v>
      </c>
    </row>
    <row r="12378" spans="1:4" x14ac:dyDescent="0.25">
      <c r="A12378" t="str">
        <f>T("   FR")</f>
        <v xml:space="preserve">   FR</v>
      </c>
      <c r="B12378" t="str">
        <f>T("   France")</f>
        <v xml:space="preserve">   France</v>
      </c>
      <c r="C12378">
        <v>1805326</v>
      </c>
      <c r="D12378">
        <v>110</v>
      </c>
    </row>
    <row r="12379" spans="1:4" x14ac:dyDescent="0.25">
      <c r="A12379" t="str">
        <f>T("   LB")</f>
        <v xml:space="preserve">   LB</v>
      </c>
      <c r="B12379" t="str">
        <f>T("   Liban")</f>
        <v xml:space="preserve">   Liban</v>
      </c>
      <c r="C12379">
        <v>152216</v>
      </c>
      <c r="D12379">
        <v>29</v>
      </c>
    </row>
    <row r="12380" spans="1:4" x14ac:dyDescent="0.25">
      <c r="A12380" t="str">
        <f>T("   US")</f>
        <v xml:space="preserve">   US</v>
      </c>
      <c r="B12380" t="str">
        <f>T("   Etats-Unis")</f>
        <v xml:space="preserve">   Etats-Unis</v>
      </c>
      <c r="C12380">
        <v>468869</v>
      </c>
      <c r="D12380">
        <v>29</v>
      </c>
    </row>
    <row r="12381" spans="1:4" x14ac:dyDescent="0.25">
      <c r="A12381" t="str">
        <f>T("848360")</f>
        <v>848360</v>
      </c>
      <c r="B12381" t="str">
        <f>T("Embrayages et organes d'accouplement, y.c. les joints d'articulation, pour machines")</f>
        <v>Embrayages et organes d'accouplement, y.c. les joints d'articulation, pour machines</v>
      </c>
    </row>
    <row r="12382" spans="1:4" x14ac:dyDescent="0.25">
      <c r="A12382" t="str">
        <f>T("   ZZZ_Monde")</f>
        <v xml:space="preserve">   ZZZ_Monde</v>
      </c>
      <c r="B12382" t="str">
        <f>T("   ZZZ_Monde")</f>
        <v xml:space="preserve">   ZZZ_Monde</v>
      </c>
      <c r="C12382">
        <v>69505007</v>
      </c>
      <c r="D12382">
        <v>7214.53</v>
      </c>
    </row>
    <row r="12383" spans="1:4" x14ac:dyDescent="0.25">
      <c r="A12383" t="str">
        <f>T("   AE")</f>
        <v xml:space="preserve">   AE</v>
      </c>
      <c r="B12383" t="str">
        <f>T("   Emirats Arabes Unis")</f>
        <v xml:space="preserve">   Emirats Arabes Unis</v>
      </c>
      <c r="C12383">
        <v>987220</v>
      </c>
      <c r="D12383">
        <v>712</v>
      </c>
    </row>
    <row r="12384" spans="1:4" x14ac:dyDescent="0.25">
      <c r="A12384" t="str">
        <f>T("   BE")</f>
        <v xml:space="preserve">   BE</v>
      </c>
      <c r="B12384" t="str">
        <f>T("   Belgique")</f>
        <v xml:space="preserve">   Belgique</v>
      </c>
      <c r="C12384">
        <v>22412942</v>
      </c>
      <c r="D12384">
        <v>814.42</v>
      </c>
    </row>
    <row r="12385" spans="1:4" x14ac:dyDescent="0.25">
      <c r="A12385" t="str">
        <f>T("   DE")</f>
        <v xml:space="preserve">   DE</v>
      </c>
      <c r="B12385" t="str">
        <f>T("   Allemagne")</f>
        <v xml:space="preserve">   Allemagne</v>
      </c>
      <c r="C12385">
        <v>673761</v>
      </c>
      <c r="D12385">
        <v>13</v>
      </c>
    </row>
    <row r="12386" spans="1:4" x14ac:dyDescent="0.25">
      <c r="A12386" t="str">
        <f>T("   DK")</f>
        <v xml:space="preserve">   DK</v>
      </c>
      <c r="B12386" t="str">
        <f>T("   Danemark")</f>
        <v xml:space="preserve">   Danemark</v>
      </c>
      <c r="C12386">
        <v>1973784</v>
      </c>
      <c r="D12386">
        <v>5</v>
      </c>
    </row>
    <row r="12387" spans="1:4" x14ac:dyDescent="0.25">
      <c r="A12387" t="str">
        <f>T("   ES")</f>
        <v xml:space="preserve">   ES</v>
      </c>
      <c r="B12387" t="str">
        <f>T("   Espagne")</f>
        <v xml:space="preserve">   Espagne</v>
      </c>
      <c r="C12387">
        <v>78059</v>
      </c>
      <c r="D12387">
        <v>0.11</v>
      </c>
    </row>
    <row r="12388" spans="1:4" x14ac:dyDescent="0.25">
      <c r="A12388" t="str">
        <f>T("   FR")</f>
        <v xml:space="preserve">   FR</v>
      </c>
      <c r="B12388" t="str">
        <f>T("   France")</f>
        <v xml:space="preserve">   France</v>
      </c>
      <c r="C12388">
        <v>42245468</v>
      </c>
      <c r="D12388">
        <v>5553</v>
      </c>
    </row>
    <row r="12389" spans="1:4" x14ac:dyDescent="0.25">
      <c r="A12389" t="str">
        <f>T("   US")</f>
        <v xml:space="preserve">   US</v>
      </c>
      <c r="B12389" t="str">
        <f>T("   Etats-Unis")</f>
        <v xml:space="preserve">   Etats-Unis</v>
      </c>
      <c r="C12389">
        <v>1133773</v>
      </c>
      <c r="D12389">
        <v>117</v>
      </c>
    </row>
    <row r="12390" spans="1:4" x14ac:dyDescent="0.25">
      <c r="A12390" t="str">
        <f>T("848390")</f>
        <v>848390</v>
      </c>
      <c r="B12390" t="str">
        <f>T("Roues dentées et autres organes élémentaires de transmission présentés séparément; parties d'organes mécaniques, d'organes de transmission, d'engrenages, de variateurs de vitesses, d'organes d'accouplement et d'autres organes du n° 8483, n.d.a.")</f>
        <v>Roues dentées et autres organes élémentaires de transmission présentés séparément; parties d'organes mécaniques, d'organes de transmission, d'engrenages, de variateurs de vitesses, d'organes d'accouplement et d'autres organes du n° 8483, n.d.a.</v>
      </c>
    </row>
    <row r="12391" spans="1:4" x14ac:dyDescent="0.25">
      <c r="A12391" t="str">
        <f>T("   ZZZ_Monde")</f>
        <v xml:space="preserve">   ZZZ_Monde</v>
      </c>
      <c r="B12391" t="str">
        <f>T("   ZZZ_Monde")</f>
        <v xml:space="preserve">   ZZZ_Monde</v>
      </c>
      <c r="C12391">
        <v>102172314</v>
      </c>
      <c r="D12391">
        <v>3968.7</v>
      </c>
    </row>
    <row r="12392" spans="1:4" x14ac:dyDescent="0.25">
      <c r="A12392" t="str">
        <f>T("   AT")</f>
        <v xml:space="preserve">   AT</v>
      </c>
      <c r="B12392" t="str">
        <f>T("   Autriche")</f>
        <v xml:space="preserve">   Autriche</v>
      </c>
      <c r="C12392">
        <v>507745</v>
      </c>
      <c r="D12392">
        <v>8</v>
      </c>
    </row>
    <row r="12393" spans="1:4" x14ac:dyDescent="0.25">
      <c r="A12393" t="str">
        <f>T("   BE")</f>
        <v xml:space="preserve">   BE</v>
      </c>
      <c r="B12393" t="str">
        <f>T("   Belgique")</f>
        <v xml:space="preserve">   Belgique</v>
      </c>
      <c r="C12393">
        <v>431982</v>
      </c>
      <c r="D12393">
        <v>8.1999999999999993</v>
      </c>
    </row>
    <row r="12394" spans="1:4" x14ac:dyDescent="0.25">
      <c r="A12394" t="str">
        <f>T("   DE")</f>
        <v xml:space="preserve">   DE</v>
      </c>
      <c r="B12394" t="str">
        <f>T("   Allemagne")</f>
        <v xml:space="preserve">   Allemagne</v>
      </c>
      <c r="C12394">
        <v>3011513</v>
      </c>
      <c r="D12394">
        <v>269</v>
      </c>
    </row>
    <row r="12395" spans="1:4" x14ac:dyDescent="0.25">
      <c r="A12395" t="str">
        <f>T("   DK")</f>
        <v xml:space="preserve">   DK</v>
      </c>
      <c r="B12395" t="str">
        <f>T("   Danemark")</f>
        <v xml:space="preserve">   Danemark</v>
      </c>
      <c r="C12395">
        <v>1467383</v>
      </c>
      <c r="D12395">
        <v>142</v>
      </c>
    </row>
    <row r="12396" spans="1:4" x14ac:dyDescent="0.25">
      <c r="A12396" t="str">
        <f>T("   FR")</f>
        <v xml:space="preserve">   FR</v>
      </c>
      <c r="B12396" t="str">
        <f>T("   France")</f>
        <v xml:space="preserve">   France</v>
      </c>
      <c r="C12396">
        <v>86331916</v>
      </c>
      <c r="D12396">
        <v>3285.5</v>
      </c>
    </row>
    <row r="12397" spans="1:4" x14ac:dyDescent="0.25">
      <c r="A12397" t="str">
        <f>T("   IT")</f>
        <v xml:space="preserve">   IT</v>
      </c>
      <c r="B12397" t="str">
        <f>T("   Italie")</f>
        <v xml:space="preserve">   Italie</v>
      </c>
      <c r="C12397">
        <v>7094732</v>
      </c>
      <c r="D12397">
        <v>125</v>
      </c>
    </row>
    <row r="12398" spans="1:4" x14ac:dyDescent="0.25">
      <c r="A12398" t="str">
        <f>T("   NL")</f>
        <v xml:space="preserve">   NL</v>
      </c>
      <c r="B12398" t="str">
        <f>T("   Pays-bas")</f>
        <v xml:space="preserve">   Pays-bas</v>
      </c>
      <c r="C12398">
        <v>1757881</v>
      </c>
      <c r="D12398">
        <v>95</v>
      </c>
    </row>
    <row r="12399" spans="1:4" x14ac:dyDescent="0.25">
      <c r="A12399" t="str">
        <f>T("   US")</f>
        <v xml:space="preserve">   US</v>
      </c>
      <c r="B12399" t="str">
        <f>T("   Etats-Unis")</f>
        <v xml:space="preserve">   Etats-Unis</v>
      </c>
      <c r="C12399">
        <v>1569162</v>
      </c>
      <c r="D12399">
        <v>36</v>
      </c>
    </row>
    <row r="12400" spans="1:4" x14ac:dyDescent="0.25">
      <c r="A12400" t="str">
        <f>T("848410")</f>
        <v>848410</v>
      </c>
      <c r="B12400" t="str">
        <f>T("Joints métalloplastiques")</f>
        <v>Joints métalloplastiques</v>
      </c>
    </row>
    <row r="12401" spans="1:4" x14ac:dyDescent="0.25">
      <c r="A12401" t="str">
        <f>T("   ZZZ_Monde")</f>
        <v xml:space="preserve">   ZZZ_Monde</v>
      </c>
      <c r="B12401" t="str">
        <f>T("   ZZZ_Monde")</f>
        <v xml:space="preserve">   ZZZ_Monde</v>
      </c>
      <c r="C12401">
        <v>5927303</v>
      </c>
      <c r="D12401">
        <v>3937.6</v>
      </c>
    </row>
    <row r="12402" spans="1:4" x14ac:dyDescent="0.25">
      <c r="A12402" t="str">
        <f>T("   AT")</f>
        <v xml:space="preserve">   AT</v>
      </c>
      <c r="B12402" t="str">
        <f>T("   Autriche")</f>
        <v xml:space="preserve">   Autriche</v>
      </c>
      <c r="C12402">
        <v>236146</v>
      </c>
      <c r="D12402">
        <v>11</v>
      </c>
    </row>
    <row r="12403" spans="1:4" x14ac:dyDescent="0.25">
      <c r="A12403" t="str">
        <f>T("   BE")</f>
        <v xml:space="preserve">   BE</v>
      </c>
      <c r="B12403" t="str">
        <f>T("   Belgique")</f>
        <v xml:space="preserve">   Belgique</v>
      </c>
      <c r="C12403">
        <v>97672</v>
      </c>
      <c r="D12403">
        <v>1.6</v>
      </c>
    </row>
    <row r="12404" spans="1:4" x14ac:dyDescent="0.25">
      <c r="A12404" t="str">
        <f>T("   CN")</f>
        <v xml:space="preserve">   CN</v>
      </c>
      <c r="B12404" t="str">
        <f>T("   Chine")</f>
        <v xml:space="preserve">   Chine</v>
      </c>
      <c r="C12404">
        <v>61376</v>
      </c>
      <c r="D12404">
        <v>2777</v>
      </c>
    </row>
    <row r="12405" spans="1:4" x14ac:dyDescent="0.25">
      <c r="A12405" t="str">
        <f>T("   DE")</f>
        <v xml:space="preserve">   DE</v>
      </c>
      <c r="B12405" t="str">
        <f>T("   Allemagne")</f>
        <v xml:space="preserve">   Allemagne</v>
      </c>
      <c r="C12405">
        <v>420324</v>
      </c>
      <c r="D12405">
        <v>2</v>
      </c>
    </row>
    <row r="12406" spans="1:4" x14ac:dyDescent="0.25">
      <c r="A12406" t="str">
        <f>T("   FR")</f>
        <v xml:space="preserve">   FR</v>
      </c>
      <c r="B12406" t="str">
        <f>T("   France")</f>
        <v xml:space="preserve">   France</v>
      </c>
      <c r="C12406">
        <v>4564827</v>
      </c>
      <c r="D12406">
        <v>321</v>
      </c>
    </row>
    <row r="12407" spans="1:4" x14ac:dyDescent="0.25">
      <c r="A12407" t="str">
        <f>T("   GH")</f>
        <v xml:space="preserve">   GH</v>
      </c>
      <c r="B12407" t="str">
        <f>T("   Ghana")</f>
        <v xml:space="preserve">   Ghana</v>
      </c>
      <c r="C12407">
        <v>546958</v>
      </c>
      <c r="D12407">
        <v>825</v>
      </c>
    </row>
    <row r="12408" spans="1:4" x14ac:dyDescent="0.25">
      <c r="A12408" t="str">
        <f>T("848420")</f>
        <v>848420</v>
      </c>
      <c r="B12408" t="str">
        <f>T("Joints d'étanchéité mécaniques")</f>
        <v>Joints d'étanchéité mécaniques</v>
      </c>
    </row>
    <row r="12409" spans="1:4" x14ac:dyDescent="0.25">
      <c r="A12409" t="str">
        <f>T("   ZZZ_Monde")</f>
        <v xml:space="preserve">   ZZZ_Monde</v>
      </c>
      <c r="B12409" t="str">
        <f>T("   ZZZ_Monde")</f>
        <v xml:space="preserve">   ZZZ_Monde</v>
      </c>
      <c r="C12409">
        <v>16000325</v>
      </c>
      <c r="D12409">
        <v>1802</v>
      </c>
    </row>
    <row r="12410" spans="1:4" x14ac:dyDescent="0.25">
      <c r="A12410" t="str">
        <f>T("   BE")</f>
        <v xml:space="preserve">   BE</v>
      </c>
      <c r="B12410" t="str">
        <f>T("   Belgique")</f>
        <v xml:space="preserve">   Belgique</v>
      </c>
      <c r="C12410">
        <v>3195063</v>
      </c>
      <c r="D12410">
        <v>55</v>
      </c>
    </row>
    <row r="12411" spans="1:4" x14ac:dyDescent="0.25">
      <c r="A12411" t="str">
        <f>T("   CN")</f>
        <v xml:space="preserve">   CN</v>
      </c>
      <c r="B12411" t="str">
        <f>T("   Chine")</f>
        <v xml:space="preserve">   Chine</v>
      </c>
      <c r="C12411">
        <v>75387</v>
      </c>
      <c r="D12411">
        <v>1520</v>
      </c>
    </row>
    <row r="12412" spans="1:4" x14ac:dyDescent="0.25">
      <c r="A12412" t="str">
        <f>T("   DE")</f>
        <v xml:space="preserve">   DE</v>
      </c>
      <c r="B12412" t="str">
        <f>T("   Allemagne")</f>
        <v xml:space="preserve">   Allemagne</v>
      </c>
      <c r="C12412">
        <v>11907118</v>
      </c>
      <c r="D12412">
        <v>223</v>
      </c>
    </row>
    <row r="12413" spans="1:4" x14ac:dyDescent="0.25">
      <c r="A12413" t="str">
        <f>T("   FR")</f>
        <v xml:space="preserve">   FR</v>
      </c>
      <c r="B12413" t="str">
        <f>T("   France")</f>
        <v xml:space="preserve">   France</v>
      </c>
      <c r="C12413">
        <v>822757</v>
      </c>
      <c r="D12413">
        <v>4</v>
      </c>
    </row>
    <row r="12414" spans="1:4" x14ac:dyDescent="0.25">
      <c r="A12414" t="str">
        <f>T("848490")</f>
        <v>848490</v>
      </c>
      <c r="B12414" t="str">
        <f>T("Jeux ou assortiments de joints de composition différente présentés en pochettes, enveloppes ou emballages analogues")</f>
        <v>Jeux ou assortiments de joints de composition différente présentés en pochettes, enveloppes ou emballages analogues</v>
      </c>
    </row>
    <row r="12415" spans="1:4" x14ac:dyDescent="0.25">
      <c r="A12415" t="str">
        <f>T("   ZZZ_Monde")</f>
        <v xml:space="preserve">   ZZZ_Monde</v>
      </c>
      <c r="B12415" t="str">
        <f>T("   ZZZ_Monde")</f>
        <v xml:space="preserve">   ZZZ_Monde</v>
      </c>
      <c r="C12415">
        <v>260298977</v>
      </c>
      <c r="D12415">
        <v>18175.63</v>
      </c>
    </row>
    <row r="12416" spans="1:4" x14ac:dyDescent="0.25">
      <c r="A12416" t="str">
        <f>T("   AF")</f>
        <v xml:space="preserve">   AF</v>
      </c>
      <c r="B12416" t="str">
        <f>T("   Afghanistan")</f>
        <v xml:space="preserve">   Afghanistan</v>
      </c>
      <c r="C12416">
        <v>467045</v>
      </c>
      <c r="D12416">
        <v>1.6</v>
      </c>
    </row>
    <row r="12417" spans="1:4" x14ac:dyDescent="0.25">
      <c r="A12417" t="str">
        <f>T("   AT")</f>
        <v xml:space="preserve">   AT</v>
      </c>
      <c r="B12417" t="str">
        <f>T("   Autriche")</f>
        <v xml:space="preserve">   Autriche</v>
      </c>
      <c r="C12417">
        <v>3318686</v>
      </c>
      <c r="D12417">
        <v>99</v>
      </c>
    </row>
    <row r="12418" spans="1:4" x14ac:dyDescent="0.25">
      <c r="A12418" t="str">
        <f>T("   BE")</f>
        <v xml:space="preserve">   BE</v>
      </c>
      <c r="B12418" t="str">
        <f>T("   Belgique")</f>
        <v xml:space="preserve">   Belgique</v>
      </c>
      <c r="C12418">
        <v>31786334</v>
      </c>
      <c r="D12418">
        <v>1169.5</v>
      </c>
    </row>
    <row r="12419" spans="1:4" x14ac:dyDescent="0.25">
      <c r="A12419" t="str">
        <f>T("   BY")</f>
        <v xml:space="preserve">   BY</v>
      </c>
      <c r="B12419" t="str">
        <f>T("   Bélarus")</f>
        <v xml:space="preserve">   Bélarus</v>
      </c>
      <c r="C12419">
        <v>1604170</v>
      </c>
      <c r="D12419">
        <v>11</v>
      </c>
    </row>
    <row r="12420" spans="1:4" x14ac:dyDescent="0.25">
      <c r="A12420" t="str">
        <f>T("   CH")</f>
        <v xml:space="preserve">   CH</v>
      </c>
      <c r="B12420" t="str">
        <f>T("   Suisse")</f>
        <v xml:space="preserve">   Suisse</v>
      </c>
      <c r="C12420">
        <v>2535407</v>
      </c>
      <c r="D12420">
        <v>255</v>
      </c>
    </row>
    <row r="12421" spans="1:4" x14ac:dyDescent="0.25">
      <c r="A12421" t="str">
        <f>T("   CN")</f>
        <v xml:space="preserve">   CN</v>
      </c>
      <c r="B12421" t="str">
        <f>T("   Chine")</f>
        <v xml:space="preserve">   Chine</v>
      </c>
      <c r="C12421">
        <v>2855778</v>
      </c>
      <c r="D12421">
        <v>10272</v>
      </c>
    </row>
    <row r="12422" spans="1:4" x14ac:dyDescent="0.25">
      <c r="A12422" t="str">
        <f>T("   DE")</f>
        <v xml:space="preserve">   DE</v>
      </c>
      <c r="B12422" t="str">
        <f>T("   Allemagne")</f>
        <v xml:space="preserve">   Allemagne</v>
      </c>
      <c r="C12422">
        <v>26441699</v>
      </c>
      <c r="D12422">
        <v>85</v>
      </c>
    </row>
    <row r="12423" spans="1:4" x14ac:dyDescent="0.25">
      <c r="A12423" t="str">
        <f>T("   FI")</f>
        <v xml:space="preserve">   FI</v>
      </c>
      <c r="B12423" t="str">
        <f>T("   Finlande")</f>
        <v xml:space="preserve">   Finlande</v>
      </c>
      <c r="C12423">
        <v>58865141</v>
      </c>
      <c r="D12423">
        <v>1633.63</v>
      </c>
    </row>
    <row r="12424" spans="1:4" x14ac:dyDescent="0.25">
      <c r="A12424" t="str">
        <f>T("   FR")</f>
        <v xml:space="preserve">   FR</v>
      </c>
      <c r="B12424" t="str">
        <f>T("   France")</f>
        <v xml:space="preserve">   France</v>
      </c>
      <c r="C12424">
        <v>113165908</v>
      </c>
      <c r="D12424">
        <v>4054.4</v>
      </c>
    </row>
    <row r="12425" spans="1:4" x14ac:dyDescent="0.25">
      <c r="A12425" t="str">
        <f>T("   GB")</f>
        <v xml:space="preserve">   GB</v>
      </c>
      <c r="B12425" t="str">
        <f>T("   Royaume-Uni")</f>
        <v xml:space="preserve">   Royaume-Uni</v>
      </c>
      <c r="C12425">
        <v>536437</v>
      </c>
      <c r="D12425">
        <v>21</v>
      </c>
    </row>
    <row r="12426" spans="1:4" x14ac:dyDescent="0.25">
      <c r="A12426" t="str">
        <f>T("   JP")</f>
        <v xml:space="preserve">   JP</v>
      </c>
      <c r="B12426" t="str">
        <f>T("   Japon")</f>
        <v xml:space="preserve">   Japon</v>
      </c>
      <c r="C12426">
        <v>5996510</v>
      </c>
      <c r="D12426">
        <v>264</v>
      </c>
    </row>
    <row r="12427" spans="1:4" x14ac:dyDescent="0.25">
      <c r="A12427" t="str">
        <f>T("   NO")</f>
        <v xml:space="preserve">   NO</v>
      </c>
      <c r="B12427" t="str">
        <f>T("   Norvège")</f>
        <v xml:space="preserve">   Norvège</v>
      </c>
      <c r="C12427">
        <v>377059</v>
      </c>
      <c r="D12427">
        <v>2</v>
      </c>
    </row>
    <row r="12428" spans="1:4" x14ac:dyDescent="0.25">
      <c r="A12428" t="str">
        <f>T("   NZ")</f>
        <v xml:space="preserve">   NZ</v>
      </c>
      <c r="B12428" t="str">
        <f>T("   Nouvelle-Zélande")</f>
        <v xml:space="preserve">   Nouvelle-Zélande</v>
      </c>
      <c r="C12428">
        <v>860793</v>
      </c>
      <c r="D12428">
        <v>63</v>
      </c>
    </row>
    <row r="12429" spans="1:4" x14ac:dyDescent="0.25">
      <c r="A12429" t="str">
        <f>T("   SE")</f>
        <v xml:space="preserve">   SE</v>
      </c>
      <c r="B12429" t="str">
        <f>T("   Suède")</f>
        <v xml:space="preserve">   Suède</v>
      </c>
      <c r="C12429">
        <v>1115690</v>
      </c>
      <c r="D12429">
        <v>30</v>
      </c>
    </row>
    <row r="12430" spans="1:4" x14ac:dyDescent="0.25">
      <c r="A12430" t="str">
        <f>T("   SR")</f>
        <v xml:space="preserve">   SR</v>
      </c>
      <c r="B12430" t="str">
        <f>T("   Suriname")</f>
        <v xml:space="preserve">   Suriname</v>
      </c>
      <c r="C12430">
        <v>162317</v>
      </c>
      <c r="D12430">
        <v>9</v>
      </c>
    </row>
    <row r="12431" spans="1:4" x14ac:dyDescent="0.25">
      <c r="A12431" t="str">
        <f>T("   SY")</f>
        <v xml:space="preserve">   SY</v>
      </c>
      <c r="B12431" t="str">
        <f>T("   Syrienne, République arabe")</f>
        <v xml:space="preserve">   Syrienne, République arabe</v>
      </c>
      <c r="C12431">
        <v>932368</v>
      </c>
      <c r="D12431">
        <v>40</v>
      </c>
    </row>
    <row r="12432" spans="1:4" x14ac:dyDescent="0.25">
      <c r="A12432" t="str">
        <f>T("   TR")</f>
        <v xml:space="preserve">   TR</v>
      </c>
      <c r="B12432" t="str">
        <f>T("   Turquie")</f>
        <v xml:space="preserve">   Turquie</v>
      </c>
      <c r="C12432">
        <v>1972297</v>
      </c>
      <c r="D12432">
        <v>2</v>
      </c>
    </row>
    <row r="12433" spans="1:4" x14ac:dyDescent="0.25">
      <c r="A12433" t="str">
        <f>T("   UA")</f>
        <v xml:space="preserve">   UA</v>
      </c>
      <c r="B12433" t="str">
        <f>T("   Ukraine")</f>
        <v xml:space="preserve">   Ukraine</v>
      </c>
      <c r="C12433">
        <v>2052600</v>
      </c>
      <c r="D12433">
        <v>3</v>
      </c>
    </row>
    <row r="12434" spans="1:4" x14ac:dyDescent="0.25">
      <c r="A12434" t="str">
        <f>T("   US")</f>
        <v xml:space="preserve">   US</v>
      </c>
      <c r="B12434" t="str">
        <f>T("   Etats-Unis")</f>
        <v xml:space="preserve">   Etats-Unis</v>
      </c>
      <c r="C12434">
        <v>5252738</v>
      </c>
      <c r="D12434">
        <v>160.5</v>
      </c>
    </row>
    <row r="12435" spans="1:4" x14ac:dyDescent="0.25">
      <c r="A12435" t="str">
        <f>T("848590")</f>
        <v>848590</v>
      </c>
      <c r="B12435" t="str">
        <f>T("Parties de machines et appareils du chapitre 84, sans caractéristiques spéciales d'utilisation, n.d.a.")</f>
        <v>Parties de machines et appareils du chapitre 84, sans caractéristiques spéciales d'utilisation, n.d.a.</v>
      </c>
    </row>
    <row r="12436" spans="1:4" x14ac:dyDescent="0.25">
      <c r="A12436" t="str">
        <f>T("   ZZZ_Monde")</f>
        <v xml:space="preserve">   ZZZ_Monde</v>
      </c>
      <c r="B12436" t="str">
        <f>T("   ZZZ_Monde")</f>
        <v xml:space="preserve">   ZZZ_Monde</v>
      </c>
      <c r="C12436">
        <v>43964533</v>
      </c>
      <c r="D12436">
        <v>2330</v>
      </c>
    </row>
    <row r="12437" spans="1:4" x14ac:dyDescent="0.25">
      <c r="A12437" t="str">
        <f>T("   FR")</f>
        <v xml:space="preserve">   FR</v>
      </c>
      <c r="B12437" t="str">
        <f>T("   France")</f>
        <v xml:space="preserve">   France</v>
      </c>
      <c r="C12437">
        <v>27352214</v>
      </c>
      <c r="D12437">
        <v>1585</v>
      </c>
    </row>
    <row r="12438" spans="1:4" x14ac:dyDescent="0.25">
      <c r="A12438" t="str">
        <f>T("   IN")</f>
        <v xml:space="preserve">   IN</v>
      </c>
      <c r="B12438" t="str">
        <f>T("   Inde")</f>
        <v xml:space="preserve">   Inde</v>
      </c>
      <c r="C12438">
        <v>16612319</v>
      </c>
      <c r="D12438">
        <v>745</v>
      </c>
    </row>
    <row r="12439" spans="1:4" x14ac:dyDescent="0.25">
      <c r="A12439" t="str">
        <f>T("850110")</f>
        <v>850110</v>
      </c>
      <c r="B12439" t="str">
        <f>T("Moteurs d'une puissance &lt;= 37,5 W")</f>
        <v>Moteurs d'une puissance &lt;= 37,5 W</v>
      </c>
    </row>
    <row r="12440" spans="1:4" x14ac:dyDescent="0.25">
      <c r="A12440" t="str">
        <f>T("   ZZZ_Monde")</f>
        <v xml:space="preserve">   ZZZ_Monde</v>
      </c>
      <c r="B12440" t="str">
        <f>T("   ZZZ_Monde")</f>
        <v xml:space="preserve">   ZZZ_Monde</v>
      </c>
      <c r="C12440">
        <v>5538478</v>
      </c>
      <c r="D12440">
        <v>411</v>
      </c>
    </row>
    <row r="12441" spans="1:4" x14ac:dyDescent="0.25">
      <c r="A12441" t="str">
        <f>T("   CN")</f>
        <v xml:space="preserve">   CN</v>
      </c>
      <c r="B12441" t="str">
        <f>T("   Chine")</f>
        <v xml:space="preserve">   Chine</v>
      </c>
      <c r="C12441">
        <v>186500</v>
      </c>
      <c r="D12441">
        <v>250</v>
      </c>
    </row>
    <row r="12442" spans="1:4" x14ac:dyDescent="0.25">
      <c r="A12442" t="str">
        <f>T("   FR")</f>
        <v xml:space="preserve">   FR</v>
      </c>
      <c r="B12442" t="str">
        <f>T("   France")</f>
        <v xml:space="preserve">   France</v>
      </c>
      <c r="C12442">
        <v>5351978</v>
      </c>
      <c r="D12442">
        <v>161</v>
      </c>
    </row>
    <row r="12443" spans="1:4" x14ac:dyDescent="0.25">
      <c r="A12443" t="str">
        <f>T("850120")</f>
        <v>850120</v>
      </c>
      <c r="B12443" t="str">
        <f>T("Moteurs universels, puissance &gt; 37,5 W")</f>
        <v>Moteurs universels, puissance &gt; 37,5 W</v>
      </c>
    </row>
    <row r="12444" spans="1:4" x14ac:dyDescent="0.25">
      <c r="A12444" t="str">
        <f>T("   ZZZ_Monde")</f>
        <v xml:space="preserve">   ZZZ_Monde</v>
      </c>
      <c r="B12444" t="str">
        <f>T("   ZZZ_Monde")</f>
        <v xml:space="preserve">   ZZZ_Monde</v>
      </c>
      <c r="C12444">
        <v>6202787</v>
      </c>
      <c r="D12444">
        <v>18</v>
      </c>
    </row>
    <row r="12445" spans="1:4" x14ac:dyDescent="0.25">
      <c r="A12445" t="str">
        <f>T("   FR")</f>
        <v xml:space="preserve">   FR</v>
      </c>
      <c r="B12445" t="str">
        <f>T("   France")</f>
        <v xml:space="preserve">   France</v>
      </c>
      <c r="C12445">
        <v>6202787</v>
      </c>
      <c r="D12445">
        <v>18</v>
      </c>
    </row>
    <row r="12446" spans="1:4" x14ac:dyDescent="0.25">
      <c r="A12446" t="str">
        <f>T("850131")</f>
        <v>850131</v>
      </c>
      <c r="B12446" t="str">
        <f>T("Moteurs à courant continu, puissance &lt;= 750 W mais &gt; 37,5 W et génératrices à courant continu, puissance &lt;= 750 W")</f>
        <v>Moteurs à courant continu, puissance &lt;= 750 W mais &gt; 37,5 W et génératrices à courant continu, puissance &lt;= 750 W</v>
      </c>
    </row>
    <row r="12447" spans="1:4" x14ac:dyDescent="0.25">
      <c r="A12447" t="str">
        <f>T("   ZZZ_Monde")</f>
        <v xml:space="preserve">   ZZZ_Monde</v>
      </c>
      <c r="B12447" t="str">
        <f>T("   ZZZ_Monde")</f>
        <v xml:space="preserve">   ZZZ_Monde</v>
      </c>
      <c r="C12447">
        <v>9109203</v>
      </c>
      <c r="D12447">
        <v>295</v>
      </c>
    </row>
    <row r="12448" spans="1:4" x14ac:dyDescent="0.25">
      <c r="A12448" t="str">
        <f>T("   BE")</f>
        <v xml:space="preserve">   BE</v>
      </c>
      <c r="B12448" t="str">
        <f>T("   Belgique")</f>
        <v xml:space="preserve">   Belgique</v>
      </c>
      <c r="C12448">
        <v>1563152</v>
      </c>
      <c r="D12448">
        <v>36</v>
      </c>
    </row>
    <row r="12449" spans="1:4" x14ac:dyDescent="0.25">
      <c r="A12449" t="str">
        <f>T("   CN")</f>
        <v xml:space="preserve">   CN</v>
      </c>
      <c r="B12449" t="str">
        <f>T("   Chine")</f>
        <v xml:space="preserve">   Chine</v>
      </c>
      <c r="C12449">
        <v>830723</v>
      </c>
      <c r="D12449">
        <v>50</v>
      </c>
    </row>
    <row r="12450" spans="1:4" x14ac:dyDescent="0.25">
      <c r="A12450" t="str">
        <f>T("   FR")</f>
        <v xml:space="preserve">   FR</v>
      </c>
      <c r="B12450" t="str">
        <f>T("   France")</f>
        <v xml:space="preserve">   France</v>
      </c>
      <c r="C12450">
        <v>6605262</v>
      </c>
      <c r="D12450">
        <v>104</v>
      </c>
    </row>
    <row r="12451" spans="1:4" x14ac:dyDescent="0.25">
      <c r="A12451" t="str">
        <f>T("   SN")</f>
        <v xml:space="preserve">   SN</v>
      </c>
      <c r="B12451" t="str">
        <f>T("   Sénégal")</f>
        <v xml:space="preserve">   Sénégal</v>
      </c>
      <c r="C12451">
        <v>100000</v>
      </c>
      <c r="D12451">
        <v>100</v>
      </c>
    </row>
    <row r="12452" spans="1:4" x14ac:dyDescent="0.25">
      <c r="A12452" t="str">
        <f>T("   TH")</f>
        <v xml:space="preserve">   TH</v>
      </c>
      <c r="B12452" t="str">
        <f>T("   Thaïlande")</f>
        <v xml:space="preserve">   Thaïlande</v>
      </c>
      <c r="C12452">
        <v>10066</v>
      </c>
      <c r="D12452">
        <v>5</v>
      </c>
    </row>
    <row r="12453" spans="1:4" x14ac:dyDescent="0.25">
      <c r="A12453" t="str">
        <f>T("850132")</f>
        <v>850132</v>
      </c>
      <c r="B12453" t="str">
        <f>T("Moteurs et génératrices à courant continu, puissance &gt; 750 W mais &lt;= 75 kW")</f>
        <v>Moteurs et génératrices à courant continu, puissance &gt; 750 W mais &lt;= 75 kW</v>
      </c>
    </row>
    <row r="12454" spans="1:4" x14ac:dyDescent="0.25">
      <c r="A12454" t="str">
        <f>T("   ZZZ_Monde")</f>
        <v xml:space="preserve">   ZZZ_Monde</v>
      </c>
      <c r="B12454" t="str">
        <f>T("   ZZZ_Monde")</f>
        <v xml:space="preserve">   ZZZ_Monde</v>
      </c>
      <c r="C12454">
        <v>6504155</v>
      </c>
      <c r="D12454">
        <v>1039</v>
      </c>
    </row>
    <row r="12455" spans="1:4" x14ac:dyDescent="0.25">
      <c r="A12455" t="str">
        <f>T("   CN")</f>
        <v xml:space="preserve">   CN</v>
      </c>
      <c r="B12455" t="str">
        <f>T("   Chine")</f>
        <v xml:space="preserve">   Chine</v>
      </c>
      <c r="C12455">
        <v>202485</v>
      </c>
      <c r="D12455">
        <v>300</v>
      </c>
    </row>
    <row r="12456" spans="1:4" x14ac:dyDescent="0.25">
      <c r="A12456" t="str">
        <f>T("   FR")</f>
        <v xml:space="preserve">   FR</v>
      </c>
      <c r="B12456" t="str">
        <f>T("   France")</f>
        <v xml:space="preserve">   France</v>
      </c>
      <c r="C12456">
        <v>6301670</v>
      </c>
      <c r="D12456">
        <v>739</v>
      </c>
    </row>
    <row r="12457" spans="1:4" x14ac:dyDescent="0.25">
      <c r="A12457" t="str">
        <f>T("850133")</f>
        <v>850133</v>
      </c>
      <c r="B12457" t="str">
        <f>T("Moteurs et génératrices à courant continu, puissance &gt; 75 kW mais &lt;= 375 kW")</f>
        <v>Moteurs et génératrices à courant continu, puissance &gt; 75 kW mais &lt;= 375 kW</v>
      </c>
    </row>
    <row r="12458" spans="1:4" x14ac:dyDescent="0.25">
      <c r="A12458" t="str">
        <f>T("   ZZZ_Monde")</f>
        <v xml:space="preserve">   ZZZ_Monde</v>
      </c>
      <c r="B12458" t="str">
        <f>T("   ZZZ_Monde")</f>
        <v xml:space="preserve">   ZZZ_Monde</v>
      </c>
      <c r="C12458">
        <v>10748351</v>
      </c>
      <c r="D12458">
        <v>2240</v>
      </c>
    </row>
    <row r="12459" spans="1:4" x14ac:dyDescent="0.25">
      <c r="A12459" t="str">
        <f>T("   FR")</f>
        <v xml:space="preserve">   FR</v>
      </c>
      <c r="B12459" t="str">
        <f>T("   France")</f>
        <v xml:space="preserve">   France</v>
      </c>
      <c r="C12459">
        <v>9977978</v>
      </c>
      <c r="D12459">
        <v>1262</v>
      </c>
    </row>
    <row r="12460" spans="1:4" x14ac:dyDescent="0.25">
      <c r="A12460" t="str">
        <f>T("   IT")</f>
        <v xml:space="preserve">   IT</v>
      </c>
      <c r="B12460" t="str">
        <f>T("   Italie")</f>
        <v xml:space="preserve">   Italie</v>
      </c>
      <c r="C12460">
        <v>770373</v>
      </c>
      <c r="D12460">
        <v>978</v>
      </c>
    </row>
    <row r="12461" spans="1:4" x14ac:dyDescent="0.25">
      <c r="A12461" t="str">
        <f>T("850134")</f>
        <v>850134</v>
      </c>
      <c r="B12461" t="str">
        <f>T("Moteurs et génératrices à courant continu, puissance &gt; 375 kW")</f>
        <v>Moteurs et génératrices à courant continu, puissance &gt; 375 kW</v>
      </c>
    </row>
    <row r="12462" spans="1:4" x14ac:dyDescent="0.25">
      <c r="A12462" t="str">
        <f>T("   ZZZ_Monde")</f>
        <v xml:space="preserve">   ZZZ_Monde</v>
      </c>
      <c r="B12462" t="str">
        <f>T("   ZZZ_Monde")</f>
        <v xml:space="preserve">   ZZZ_Monde</v>
      </c>
      <c r="C12462">
        <v>885973</v>
      </c>
      <c r="D12462">
        <v>2</v>
      </c>
    </row>
    <row r="12463" spans="1:4" x14ac:dyDescent="0.25">
      <c r="A12463" t="str">
        <f>T("   US")</f>
        <v xml:space="preserve">   US</v>
      </c>
      <c r="B12463" t="str">
        <f>T("   Etats-Unis")</f>
        <v xml:space="preserve">   Etats-Unis</v>
      </c>
      <c r="C12463">
        <v>885973</v>
      </c>
      <c r="D12463">
        <v>2</v>
      </c>
    </row>
    <row r="12464" spans="1:4" x14ac:dyDescent="0.25">
      <c r="A12464" t="str">
        <f>T("850140")</f>
        <v>850140</v>
      </c>
      <c r="B12464" t="str">
        <f>T("Moteurs à courant alternatif, monophasés")</f>
        <v>Moteurs à courant alternatif, monophasés</v>
      </c>
    </row>
    <row r="12465" spans="1:4" x14ac:dyDescent="0.25">
      <c r="A12465" t="str">
        <f>T("   ZZZ_Monde")</f>
        <v xml:space="preserve">   ZZZ_Monde</v>
      </c>
      <c r="B12465" t="str">
        <f>T("   ZZZ_Monde")</f>
        <v xml:space="preserve">   ZZZ_Monde</v>
      </c>
      <c r="C12465">
        <v>20964464</v>
      </c>
      <c r="D12465">
        <v>4984</v>
      </c>
    </row>
    <row r="12466" spans="1:4" x14ac:dyDescent="0.25">
      <c r="A12466" t="str">
        <f>T("   BE")</f>
        <v xml:space="preserve">   BE</v>
      </c>
      <c r="B12466" t="str">
        <f>T("   Belgique")</f>
        <v xml:space="preserve">   Belgique</v>
      </c>
      <c r="C12466">
        <v>877504</v>
      </c>
      <c r="D12466">
        <v>33</v>
      </c>
    </row>
    <row r="12467" spans="1:4" x14ac:dyDescent="0.25">
      <c r="A12467" t="str">
        <f>T("   IT")</f>
        <v xml:space="preserve">   IT</v>
      </c>
      <c r="B12467" t="str">
        <f>T("   Italie")</f>
        <v xml:space="preserve">   Italie</v>
      </c>
      <c r="C12467">
        <v>20086960</v>
      </c>
      <c r="D12467">
        <v>4951</v>
      </c>
    </row>
    <row r="12468" spans="1:4" x14ac:dyDescent="0.25">
      <c r="A12468" t="str">
        <f>T("850151")</f>
        <v>850151</v>
      </c>
      <c r="B12468" t="str">
        <f>T("Moteurs à courant alternatif, polyphasés, puissance &gt; 37,5 W mais &lt;= 750 W")</f>
        <v>Moteurs à courant alternatif, polyphasés, puissance &gt; 37,5 W mais &lt;= 750 W</v>
      </c>
    </row>
    <row r="12469" spans="1:4" x14ac:dyDescent="0.25">
      <c r="A12469" t="str">
        <f>T("   ZZZ_Monde")</f>
        <v xml:space="preserve">   ZZZ_Monde</v>
      </c>
      <c r="B12469" t="str">
        <f>T("   ZZZ_Monde")</f>
        <v xml:space="preserve">   ZZZ_Monde</v>
      </c>
      <c r="C12469">
        <v>2279647</v>
      </c>
      <c r="D12469">
        <v>292</v>
      </c>
    </row>
    <row r="12470" spans="1:4" x14ac:dyDescent="0.25">
      <c r="A12470" t="str">
        <f>T("   CN")</f>
        <v xml:space="preserve">   CN</v>
      </c>
      <c r="B12470" t="str">
        <f>T("   Chine")</f>
        <v xml:space="preserve">   Chine</v>
      </c>
      <c r="C12470">
        <v>138427</v>
      </c>
      <c r="D12470">
        <v>200</v>
      </c>
    </row>
    <row r="12471" spans="1:4" x14ac:dyDescent="0.25">
      <c r="A12471" t="str">
        <f>T("   DE")</f>
        <v xml:space="preserve">   DE</v>
      </c>
      <c r="B12471" t="str">
        <f>T("   Allemagne")</f>
        <v xml:space="preserve">   Allemagne</v>
      </c>
      <c r="C12471">
        <v>1430061</v>
      </c>
      <c r="D12471">
        <v>60</v>
      </c>
    </row>
    <row r="12472" spans="1:4" x14ac:dyDescent="0.25">
      <c r="A12472" t="str">
        <f>T("   FR")</f>
        <v xml:space="preserve">   FR</v>
      </c>
      <c r="B12472" t="str">
        <f>T("   France")</f>
        <v xml:space="preserve">   France</v>
      </c>
      <c r="C12472">
        <v>711159</v>
      </c>
      <c r="D12472">
        <v>32</v>
      </c>
    </row>
    <row r="12473" spans="1:4" x14ac:dyDescent="0.25">
      <c r="A12473" t="str">
        <f>T("850152")</f>
        <v>850152</v>
      </c>
      <c r="B12473" t="str">
        <f>T("Moteurs à courant alternatif, polyphasés, puissance &gt; 750 W mais &lt;= 75 kW")</f>
        <v>Moteurs à courant alternatif, polyphasés, puissance &gt; 750 W mais &lt;= 75 kW</v>
      </c>
    </row>
    <row r="12474" spans="1:4" x14ac:dyDescent="0.25">
      <c r="A12474" t="str">
        <f>T("   ZZZ_Monde")</f>
        <v xml:space="preserve">   ZZZ_Monde</v>
      </c>
      <c r="B12474" t="str">
        <f>T("   ZZZ_Monde")</f>
        <v xml:space="preserve">   ZZZ_Monde</v>
      </c>
      <c r="C12474">
        <v>47262262</v>
      </c>
      <c r="D12474">
        <v>5022</v>
      </c>
    </row>
    <row r="12475" spans="1:4" x14ac:dyDescent="0.25">
      <c r="A12475" t="str">
        <f>T("   AT")</f>
        <v xml:space="preserve">   AT</v>
      </c>
      <c r="B12475" t="str">
        <f>T("   Autriche")</f>
        <v xml:space="preserve">   Autriche</v>
      </c>
      <c r="C12475">
        <v>1381262</v>
      </c>
      <c r="D12475">
        <v>600</v>
      </c>
    </row>
    <row r="12476" spans="1:4" x14ac:dyDescent="0.25">
      <c r="A12476" t="str">
        <f>T("   CH")</f>
        <v xml:space="preserve">   CH</v>
      </c>
      <c r="B12476" t="str">
        <f>T("   Suisse")</f>
        <v xml:space="preserve">   Suisse</v>
      </c>
      <c r="C12476">
        <v>28601149</v>
      </c>
      <c r="D12476">
        <v>978</v>
      </c>
    </row>
    <row r="12477" spans="1:4" x14ac:dyDescent="0.25">
      <c r="A12477" t="str">
        <f>T("   FR")</f>
        <v xml:space="preserve">   FR</v>
      </c>
      <c r="B12477" t="str">
        <f>T("   France")</f>
        <v xml:space="preserve">   France</v>
      </c>
      <c r="C12477">
        <v>10153645</v>
      </c>
      <c r="D12477">
        <v>1068</v>
      </c>
    </row>
    <row r="12478" spans="1:4" x14ac:dyDescent="0.25">
      <c r="A12478" t="str">
        <f>T("   IN")</f>
        <v xml:space="preserve">   IN</v>
      </c>
      <c r="B12478" t="str">
        <f>T("   Inde")</f>
        <v xml:space="preserve">   Inde</v>
      </c>
      <c r="C12478">
        <v>6852309</v>
      </c>
      <c r="D12478">
        <v>2370</v>
      </c>
    </row>
    <row r="12479" spans="1:4" x14ac:dyDescent="0.25">
      <c r="A12479" t="str">
        <f>T("   NL")</f>
        <v xml:space="preserve">   NL</v>
      </c>
      <c r="B12479" t="str">
        <f>T("   Pays-bas")</f>
        <v xml:space="preserve">   Pays-bas</v>
      </c>
      <c r="C12479">
        <v>273897</v>
      </c>
      <c r="D12479">
        <v>6</v>
      </c>
    </row>
    <row r="12480" spans="1:4" x14ac:dyDescent="0.25">
      <c r="A12480" t="str">
        <f>T("850153")</f>
        <v>850153</v>
      </c>
      <c r="B12480" t="str">
        <f>T("Moteurs à courant alternatif, polyphasés, puissance &gt; 75 kW")</f>
        <v>Moteurs à courant alternatif, polyphasés, puissance &gt; 75 kW</v>
      </c>
    </row>
    <row r="12481" spans="1:4" x14ac:dyDescent="0.25">
      <c r="A12481" t="str">
        <f>T("   ZZZ_Monde")</f>
        <v xml:space="preserve">   ZZZ_Monde</v>
      </c>
      <c r="B12481" t="str">
        <f>T("   ZZZ_Monde")</f>
        <v xml:space="preserve">   ZZZ_Monde</v>
      </c>
      <c r="C12481">
        <v>1059840</v>
      </c>
      <c r="D12481">
        <v>100</v>
      </c>
    </row>
    <row r="12482" spans="1:4" x14ac:dyDescent="0.25">
      <c r="A12482" t="str">
        <f>T("   NG")</f>
        <v xml:space="preserve">   NG</v>
      </c>
      <c r="B12482" t="str">
        <f>T("   Nigéria")</f>
        <v xml:space="preserve">   Nigéria</v>
      </c>
      <c r="C12482">
        <v>1059840</v>
      </c>
      <c r="D12482">
        <v>100</v>
      </c>
    </row>
    <row r="12483" spans="1:4" x14ac:dyDescent="0.25">
      <c r="A12483" t="str">
        <f>T("850161")</f>
        <v>850161</v>
      </c>
      <c r="B12483" t="str">
        <f>T("Alternateurs, puissance &lt;= 75 kVA")</f>
        <v>Alternateurs, puissance &lt;= 75 kVA</v>
      </c>
    </row>
    <row r="12484" spans="1:4" x14ac:dyDescent="0.25">
      <c r="A12484" t="str">
        <f>T("   ZZZ_Monde")</f>
        <v xml:space="preserve">   ZZZ_Monde</v>
      </c>
      <c r="B12484" t="str">
        <f>T("   ZZZ_Monde")</f>
        <v xml:space="preserve">   ZZZ_Monde</v>
      </c>
      <c r="C12484">
        <v>8297313</v>
      </c>
      <c r="D12484">
        <v>4650</v>
      </c>
    </row>
    <row r="12485" spans="1:4" x14ac:dyDescent="0.25">
      <c r="A12485" t="str">
        <f>T("   BE")</f>
        <v xml:space="preserve">   BE</v>
      </c>
      <c r="B12485" t="str">
        <f>T("   Belgique")</f>
        <v xml:space="preserve">   Belgique</v>
      </c>
      <c r="C12485">
        <v>1550000</v>
      </c>
      <c r="D12485">
        <v>750</v>
      </c>
    </row>
    <row r="12486" spans="1:4" x14ac:dyDescent="0.25">
      <c r="A12486" t="str">
        <f>T("   CN")</f>
        <v xml:space="preserve">   CN</v>
      </c>
      <c r="B12486" t="str">
        <f>T("   Chine")</f>
        <v xml:space="preserve">   Chine</v>
      </c>
      <c r="C12486">
        <v>1971567</v>
      </c>
      <c r="D12486">
        <v>1000</v>
      </c>
    </row>
    <row r="12487" spans="1:4" x14ac:dyDescent="0.25">
      <c r="A12487" t="str">
        <f>T("   NG")</f>
        <v xml:space="preserve">   NG</v>
      </c>
      <c r="B12487" t="str">
        <f>T("   Nigéria")</f>
        <v xml:space="preserve">   Nigéria</v>
      </c>
      <c r="C12487">
        <v>4775746</v>
      </c>
      <c r="D12487">
        <v>2900</v>
      </c>
    </row>
    <row r="12488" spans="1:4" x14ac:dyDescent="0.25">
      <c r="A12488" t="str">
        <f>T("850162")</f>
        <v>850162</v>
      </c>
      <c r="B12488" t="str">
        <f>T("Alternateurs, puissance &gt; 75 kVA mais &lt;= 375 kVA")</f>
        <v>Alternateurs, puissance &gt; 75 kVA mais &lt;= 375 kVA</v>
      </c>
    </row>
    <row r="12489" spans="1:4" x14ac:dyDescent="0.25">
      <c r="A12489" t="str">
        <f>T("   ZZZ_Monde")</f>
        <v xml:space="preserve">   ZZZ_Monde</v>
      </c>
      <c r="B12489" t="str">
        <f>T("   ZZZ_Monde")</f>
        <v xml:space="preserve">   ZZZ_Monde</v>
      </c>
      <c r="C12489">
        <v>36843980</v>
      </c>
      <c r="D12489">
        <v>13336</v>
      </c>
    </row>
    <row r="12490" spans="1:4" x14ac:dyDescent="0.25">
      <c r="A12490" t="str">
        <f>T("   FR")</f>
        <v xml:space="preserve">   FR</v>
      </c>
      <c r="B12490" t="str">
        <f>T("   France")</f>
        <v xml:space="preserve">   France</v>
      </c>
      <c r="C12490">
        <v>2215000</v>
      </c>
      <c r="D12490">
        <v>3000</v>
      </c>
    </row>
    <row r="12491" spans="1:4" x14ac:dyDescent="0.25">
      <c r="A12491" t="str">
        <f>T("   IN")</f>
        <v xml:space="preserve">   IN</v>
      </c>
      <c r="B12491" t="str">
        <f>T("   Inde")</f>
        <v xml:space="preserve">   Inde</v>
      </c>
      <c r="C12491">
        <v>34628980</v>
      </c>
      <c r="D12491">
        <v>10336</v>
      </c>
    </row>
    <row r="12492" spans="1:4" x14ac:dyDescent="0.25">
      <c r="A12492" t="str">
        <f>T("850163")</f>
        <v>850163</v>
      </c>
      <c r="B12492" t="str">
        <f>T("Alternateurs, puissance &gt; 375 kVA mais &lt;= 750 kVA")</f>
        <v>Alternateurs, puissance &gt; 375 kVA mais &lt;= 750 kVA</v>
      </c>
    </row>
    <row r="12493" spans="1:4" x14ac:dyDescent="0.25">
      <c r="A12493" t="str">
        <f>T("   ZZZ_Monde")</f>
        <v xml:space="preserve">   ZZZ_Monde</v>
      </c>
      <c r="B12493" t="str">
        <f>T("   ZZZ_Monde")</f>
        <v xml:space="preserve">   ZZZ_Monde</v>
      </c>
      <c r="C12493">
        <v>3398050</v>
      </c>
      <c r="D12493">
        <v>27</v>
      </c>
    </row>
    <row r="12494" spans="1:4" x14ac:dyDescent="0.25">
      <c r="A12494" t="str">
        <f>T("   DE")</f>
        <v xml:space="preserve">   DE</v>
      </c>
      <c r="B12494" t="str">
        <f>T("   Allemagne")</f>
        <v xml:space="preserve">   Allemagne</v>
      </c>
      <c r="C12494">
        <v>226050</v>
      </c>
      <c r="D12494">
        <v>2</v>
      </c>
    </row>
    <row r="12495" spans="1:4" x14ac:dyDescent="0.25">
      <c r="A12495" t="str">
        <f>T("   FR")</f>
        <v xml:space="preserve">   FR</v>
      </c>
      <c r="B12495" t="str">
        <f>T("   France")</f>
        <v xml:space="preserve">   France</v>
      </c>
      <c r="C12495">
        <v>3172000</v>
      </c>
      <c r="D12495">
        <v>25</v>
      </c>
    </row>
    <row r="12496" spans="1:4" x14ac:dyDescent="0.25">
      <c r="A12496" t="str">
        <f>T("850164")</f>
        <v>850164</v>
      </c>
      <c r="B12496" t="str">
        <f>T("Alternateurs, puissance &gt; 750 kVA")</f>
        <v>Alternateurs, puissance &gt; 750 kVA</v>
      </c>
    </row>
    <row r="12497" spans="1:4" x14ac:dyDescent="0.25">
      <c r="A12497" t="str">
        <f>T("   ZZZ_Monde")</f>
        <v xml:space="preserve">   ZZZ_Monde</v>
      </c>
      <c r="B12497" t="str">
        <f>T("   ZZZ_Monde")</f>
        <v xml:space="preserve">   ZZZ_Monde</v>
      </c>
      <c r="C12497">
        <v>592866487</v>
      </c>
      <c r="D12497">
        <v>44786</v>
      </c>
    </row>
    <row r="12498" spans="1:4" x14ac:dyDescent="0.25">
      <c r="A12498" t="str">
        <f>T("   FR")</f>
        <v xml:space="preserve">   FR</v>
      </c>
      <c r="B12498" t="str">
        <f>T("   France")</f>
        <v xml:space="preserve">   France</v>
      </c>
      <c r="C12498">
        <v>592866487</v>
      </c>
      <c r="D12498">
        <v>44786</v>
      </c>
    </row>
    <row r="12499" spans="1:4" x14ac:dyDescent="0.25">
      <c r="A12499" t="str">
        <f>T("850211")</f>
        <v>850211</v>
      </c>
      <c r="B12499" t="s">
        <v>27</v>
      </c>
    </row>
    <row r="12500" spans="1:4" x14ac:dyDescent="0.25">
      <c r="A12500" t="str">
        <f>T("   ZZZ_Monde")</f>
        <v xml:space="preserve">   ZZZ_Monde</v>
      </c>
      <c r="B12500" t="str">
        <f>T("   ZZZ_Monde")</f>
        <v xml:space="preserve">   ZZZ_Monde</v>
      </c>
      <c r="C12500">
        <v>791835770</v>
      </c>
      <c r="D12500">
        <v>248180</v>
      </c>
    </row>
    <row r="12501" spans="1:4" x14ac:dyDescent="0.25">
      <c r="A12501" t="str">
        <f>T("   AE")</f>
        <v xml:space="preserve">   AE</v>
      </c>
      <c r="B12501" t="str">
        <f>T("   Emirats Arabes Unis")</f>
        <v xml:space="preserve">   Emirats Arabes Unis</v>
      </c>
      <c r="C12501">
        <v>20046568</v>
      </c>
      <c r="D12501">
        <v>3929</v>
      </c>
    </row>
    <row r="12502" spans="1:4" x14ac:dyDescent="0.25">
      <c r="A12502" t="str">
        <f>T("   BE")</f>
        <v xml:space="preserve">   BE</v>
      </c>
      <c r="B12502" t="str">
        <f>T("   Belgique")</f>
        <v xml:space="preserve">   Belgique</v>
      </c>
      <c r="C12502">
        <v>28569682</v>
      </c>
      <c r="D12502">
        <v>5865</v>
      </c>
    </row>
    <row r="12503" spans="1:4" x14ac:dyDescent="0.25">
      <c r="A12503" t="str">
        <f>T("   CN")</f>
        <v xml:space="preserve">   CN</v>
      </c>
      <c r="B12503" t="str">
        <f>T("   Chine")</f>
        <v xml:space="preserve">   Chine</v>
      </c>
      <c r="C12503">
        <v>32735630</v>
      </c>
      <c r="D12503">
        <v>34512</v>
      </c>
    </row>
    <row r="12504" spans="1:4" x14ac:dyDescent="0.25">
      <c r="A12504" t="str">
        <f>T("   DE")</f>
        <v xml:space="preserve">   DE</v>
      </c>
      <c r="B12504" t="str">
        <f>T("   Allemagne")</f>
        <v xml:space="preserve">   Allemagne</v>
      </c>
      <c r="C12504">
        <v>4000339</v>
      </c>
      <c r="D12504">
        <v>971</v>
      </c>
    </row>
    <row r="12505" spans="1:4" x14ac:dyDescent="0.25">
      <c r="A12505" t="str">
        <f>T("   FR")</f>
        <v xml:space="preserve">   FR</v>
      </c>
      <c r="B12505" t="str">
        <f>T("   France")</f>
        <v xml:space="preserve">   France</v>
      </c>
      <c r="C12505">
        <v>435802820</v>
      </c>
      <c r="D12505">
        <v>88966</v>
      </c>
    </row>
    <row r="12506" spans="1:4" x14ac:dyDescent="0.25">
      <c r="A12506" t="str">
        <f>T("   GB")</f>
        <v xml:space="preserve">   GB</v>
      </c>
      <c r="B12506" t="str">
        <f>T("   Royaume-Uni")</f>
        <v xml:space="preserve">   Royaume-Uni</v>
      </c>
      <c r="C12506">
        <v>77059076</v>
      </c>
      <c r="D12506">
        <v>20370</v>
      </c>
    </row>
    <row r="12507" spans="1:4" x14ac:dyDescent="0.25">
      <c r="A12507" t="str">
        <f>T("   IT")</f>
        <v xml:space="preserve">   IT</v>
      </c>
      <c r="B12507" t="str">
        <f>T("   Italie")</f>
        <v xml:space="preserve">   Italie</v>
      </c>
      <c r="C12507">
        <v>79431804</v>
      </c>
      <c r="D12507">
        <v>24396</v>
      </c>
    </row>
    <row r="12508" spans="1:4" x14ac:dyDescent="0.25">
      <c r="A12508" t="str">
        <f>T("   LB")</f>
        <v xml:space="preserve">   LB</v>
      </c>
      <c r="B12508" t="str">
        <f>T("   Liban")</f>
        <v xml:space="preserve">   Liban</v>
      </c>
      <c r="C12508">
        <v>69735884</v>
      </c>
      <c r="D12508">
        <v>27071</v>
      </c>
    </row>
    <row r="12509" spans="1:4" x14ac:dyDescent="0.25">
      <c r="A12509" t="str">
        <f>T("   NG")</f>
        <v xml:space="preserve">   NG</v>
      </c>
      <c r="B12509" t="str">
        <f>T("   Nigéria")</f>
        <v xml:space="preserve">   Nigéria</v>
      </c>
      <c r="C12509">
        <v>5500080</v>
      </c>
      <c r="D12509">
        <v>4550</v>
      </c>
    </row>
    <row r="12510" spans="1:4" x14ac:dyDescent="0.25">
      <c r="A12510" t="str">
        <f>T("   SG")</f>
        <v xml:space="preserve">   SG</v>
      </c>
      <c r="B12510" t="str">
        <f>T("   Singapour")</f>
        <v xml:space="preserve">   Singapour</v>
      </c>
      <c r="C12510">
        <v>350283</v>
      </c>
      <c r="D12510">
        <v>100</v>
      </c>
    </row>
    <row r="12511" spans="1:4" x14ac:dyDescent="0.25">
      <c r="A12511" t="str">
        <f>T("   SN")</f>
        <v xml:space="preserve">   SN</v>
      </c>
      <c r="B12511" t="str">
        <f>T("   Sénégal")</f>
        <v xml:space="preserve">   Sénégal</v>
      </c>
      <c r="C12511">
        <v>2000000</v>
      </c>
      <c r="D12511">
        <v>9000</v>
      </c>
    </row>
    <row r="12512" spans="1:4" x14ac:dyDescent="0.25">
      <c r="A12512" t="str">
        <f>T("   TG")</f>
        <v xml:space="preserve">   TG</v>
      </c>
      <c r="B12512" t="str">
        <f>T("   Togo")</f>
        <v xml:space="preserve">   Togo</v>
      </c>
      <c r="C12512">
        <v>24799451</v>
      </c>
      <c r="D12512">
        <v>26145</v>
      </c>
    </row>
    <row r="12513" spans="1:4" x14ac:dyDescent="0.25">
      <c r="A12513" t="str">
        <f>T("   TH")</f>
        <v xml:space="preserve">   TH</v>
      </c>
      <c r="B12513" t="str">
        <f>T("   Thaïlande")</f>
        <v xml:space="preserve">   Thaïlande</v>
      </c>
      <c r="C12513">
        <v>259913</v>
      </c>
      <c r="D12513">
        <v>72</v>
      </c>
    </row>
    <row r="12514" spans="1:4" x14ac:dyDescent="0.25">
      <c r="A12514" t="str">
        <f>T("   US")</f>
        <v xml:space="preserve">   US</v>
      </c>
      <c r="B12514" t="str">
        <f>T("   Etats-Unis")</f>
        <v xml:space="preserve">   Etats-Unis</v>
      </c>
      <c r="C12514">
        <v>11544240</v>
      </c>
      <c r="D12514">
        <v>2233</v>
      </c>
    </row>
    <row r="12515" spans="1:4" x14ac:dyDescent="0.25">
      <c r="A12515" t="str">
        <f>T("850212")</f>
        <v>850212</v>
      </c>
      <c r="B12515" t="str">
        <f>T("GROUPES ÉLECTROGÈNES À MOTEUR À PISTON À ALLUMAGE PAR COMPRESSION 'MOTEURS DIESEL OU SEMI-DIESEL', PUISSANCE &gt; 75 KVA MAIS &lt;= 375 KVA")</f>
        <v>GROUPES ÉLECTROGÈNES À MOTEUR À PISTON À ALLUMAGE PAR COMPRESSION 'MOTEURS DIESEL OU SEMI-DIESEL', PUISSANCE &gt; 75 KVA MAIS &lt;= 375 KVA</v>
      </c>
    </row>
    <row r="12516" spans="1:4" x14ac:dyDescent="0.25">
      <c r="A12516" t="str">
        <f>T("   ZZZ_Monde")</f>
        <v xml:space="preserve">   ZZZ_Monde</v>
      </c>
      <c r="B12516" t="str">
        <f>T("   ZZZ_Monde")</f>
        <v xml:space="preserve">   ZZZ_Monde</v>
      </c>
      <c r="C12516">
        <v>379660394</v>
      </c>
      <c r="D12516">
        <v>87532</v>
      </c>
    </row>
    <row r="12517" spans="1:4" x14ac:dyDescent="0.25">
      <c r="A12517" t="str">
        <f>T("   BE")</f>
        <v xml:space="preserve">   BE</v>
      </c>
      <c r="B12517" t="str">
        <f>T("   Belgique")</f>
        <v xml:space="preserve">   Belgique</v>
      </c>
      <c r="C12517">
        <v>21477692</v>
      </c>
      <c r="D12517">
        <v>11209</v>
      </c>
    </row>
    <row r="12518" spans="1:4" x14ac:dyDescent="0.25">
      <c r="A12518" t="str">
        <f>T("   DE")</f>
        <v xml:space="preserve">   DE</v>
      </c>
      <c r="B12518" t="str">
        <f>T("   Allemagne")</f>
        <v xml:space="preserve">   Allemagne</v>
      </c>
      <c r="C12518">
        <v>8392482</v>
      </c>
      <c r="D12518">
        <v>1300</v>
      </c>
    </row>
    <row r="12519" spans="1:4" x14ac:dyDescent="0.25">
      <c r="A12519" t="str">
        <f>T("   ES")</f>
        <v xml:space="preserve">   ES</v>
      </c>
      <c r="B12519" t="str">
        <f>T("   Espagne")</f>
        <v xml:space="preserve">   Espagne</v>
      </c>
      <c r="C12519">
        <v>39395908</v>
      </c>
      <c r="D12519">
        <v>7218</v>
      </c>
    </row>
    <row r="12520" spans="1:4" x14ac:dyDescent="0.25">
      <c r="A12520" t="str">
        <f>T("   FR")</f>
        <v xml:space="preserve">   FR</v>
      </c>
      <c r="B12520" t="str">
        <f>T("   France")</f>
        <v xml:space="preserve">   France</v>
      </c>
      <c r="C12520">
        <v>226945097</v>
      </c>
      <c r="D12520">
        <v>43722</v>
      </c>
    </row>
    <row r="12521" spans="1:4" x14ac:dyDescent="0.25">
      <c r="A12521" t="str">
        <f>T("   GA")</f>
        <v xml:space="preserve">   GA</v>
      </c>
      <c r="B12521" t="str">
        <f>T("   Gabon")</f>
        <v xml:space="preserve">   Gabon</v>
      </c>
      <c r="C12521">
        <v>400000</v>
      </c>
      <c r="D12521">
        <v>600</v>
      </c>
    </row>
    <row r="12522" spans="1:4" x14ac:dyDescent="0.25">
      <c r="A12522" t="str">
        <f>T("   GN")</f>
        <v xml:space="preserve">   GN</v>
      </c>
      <c r="B12522" t="str">
        <f>T("   Guinée")</f>
        <v xml:space="preserve">   Guinée</v>
      </c>
      <c r="C12522">
        <v>31351795</v>
      </c>
      <c r="D12522">
        <v>9923</v>
      </c>
    </row>
    <row r="12523" spans="1:4" x14ac:dyDescent="0.25">
      <c r="A12523" t="str">
        <f>T("   NL")</f>
        <v xml:space="preserve">   NL</v>
      </c>
      <c r="B12523" t="str">
        <f>T("   Pays-bas")</f>
        <v xml:space="preserve">   Pays-bas</v>
      </c>
      <c r="C12523">
        <v>8612285</v>
      </c>
      <c r="D12523">
        <v>5726</v>
      </c>
    </row>
    <row r="12524" spans="1:4" x14ac:dyDescent="0.25">
      <c r="A12524" t="str">
        <f>T("   PT")</f>
        <v xml:space="preserve">   PT</v>
      </c>
      <c r="B12524" t="str">
        <f>T("   Portugal")</f>
        <v xml:space="preserve">   Portugal</v>
      </c>
      <c r="C12524">
        <v>16403592</v>
      </c>
      <c r="D12524">
        <v>3185</v>
      </c>
    </row>
    <row r="12525" spans="1:4" x14ac:dyDescent="0.25">
      <c r="A12525" t="str">
        <f>T("   TG")</f>
        <v xml:space="preserve">   TG</v>
      </c>
      <c r="B12525" t="str">
        <f>T("   Togo")</f>
        <v xml:space="preserve">   Togo</v>
      </c>
      <c r="C12525">
        <v>26681543</v>
      </c>
      <c r="D12525">
        <v>4649</v>
      </c>
    </row>
    <row r="12526" spans="1:4" x14ac:dyDescent="0.25">
      <c r="A12526" t="str">
        <f>T("850213")</f>
        <v>850213</v>
      </c>
      <c r="B12526" t="s">
        <v>28</v>
      </c>
    </row>
    <row r="12527" spans="1:4" x14ac:dyDescent="0.25">
      <c r="A12527" t="str">
        <f>T("   ZZZ_Monde")</f>
        <v xml:space="preserve">   ZZZ_Monde</v>
      </c>
      <c r="B12527" t="str">
        <f>T("   ZZZ_Monde")</f>
        <v xml:space="preserve">   ZZZ_Monde</v>
      </c>
      <c r="C12527">
        <v>2599049167</v>
      </c>
      <c r="D12527">
        <v>366318</v>
      </c>
    </row>
    <row r="12528" spans="1:4" x14ac:dyDescent="0.25">
      <c r="A12528" t="str">
        <f>T("   AE")</f>
        <v xml:space="preserve">   AE</v>
      </c>
      <c r="B12528" t="str">
        <f>T("   Emirats Arabes Unis")</f>
        <v xml:space="preserve">   Emirats Arabes Unis</v>
      </c>
      <c r="C12528">
        <v>38312926</v>
      </c>
      <c r="D12528">
        <v>8567</v>
      </c>
    </row>
    <row r="12529" spans="1:4" x14ac:dyDescent="0.25">
      <c r="A12529" t="str">
        <f>T("   BE")</f>
        <v xml:space="preserve">   BE</v>
      </c>
      <c r="B12529" t="str">
        <f>T("   Belgique")</f>
        <v xml:space="preserve">   Belgique</v>
      </c>
      <c r="C12529">
        <v>10925670</v>
      </c>
      <c r="D12529">
        <v>3982</v>
      </c>
    </row>
    <row r="12530" spans="1:4" x14ac:dyDescent="0.25">
      <c r="A12530" t="str">
        <f>T("   CN")</f>
        <v xml:space="preserve">   CN</v>
      </c>
      <c r="B12530" t="str">
        <f>T("   Chine")</f>
        <v xml:space="preserve">   Chine</v>
      </c>
      <c r="C12530">
        <v>215736024</v>
      </c>
      <c r="D12530">
        <v>43406</v>
      </c>
    </row>
    <row r="12531" spans="1:4" x14ac:dyDescent="0.25">
      <c r="A12531" t="str">
        <f>T("   ES")</f>
        <v xml:space="preserve">   ES</v>
      </c>
      <c r="B12531" t="str">
        <f>T("   Espagne")</f>
        <v xml:space="preserve">   Espagne</v>
      </c>
      <c r="C12531">
        <v>7043344</v>
      </c>
      <c r="D12531">
        <v>7023</v>
      </c>
    </row>
    <row r="12532" spans="1:4" x14ac:dyDescent="0.25">
      <c r="A12532" t="str">
        <f>T("   FR")</f>
        <v xml:space="preserve">   FR</v>
      </c>
      <c r="B12532" t="str">
        <f>T("   France")</f>
        <v xml:space="preserve">   France</v>
      </c>
      <c r="C12532">
        <v>2272470831</v>
      </c>
      <c r="D12532">
        <v>295760</v>
      </c>
    </row>
    <row r="12533" spans="1:4" x14ac:dyDescent="0.25">
      <c r="A12533" t="str">
        <f>T("   IT")</f>
        <v xml:space="preserve">   IT</v>
      </c>
      <c r="B12533" t="str">
        <f>T("   Italie")</f>
        <v xml:space="preserve">   Italie</v>
      </c>
      <c r="C12533">
        <v>54560372</v>
      </c>
      <c r="D12533">
        <v>7580</v>
      </c>
    </row>
    <row r="12534" spans="1:4" x14ac:dyDescent="0.25">
      <c r="A12534" t="str">
        <f>T("850220")</f>
        <v>850220</v>
      </c>
      <c r="B12534" t="s">
        <v>29</v>
      </c>
    </row>
    <row r="12535" spans="1:4" x14ac:dyDescent="0.25">
      <c r="A12535" t="str">
        <f>T("   ZZZ_Monde")</f>
        <v xml:space="preserve">   ZZZ_Monde</v>
      </c>
      <c r="B12535" t="str">
        <f>T("   ZZZ_Monde")</f>
        <v xml:space="preserve">   ZZZ_Monde</v>
      </c>
      <c r="C12535">
        <v>431385149</v>
      </c>
      <c r="D12535">
        <v>498929.5</v>
      </c>
    </row>
    <row r="12536" spans="1:4" x14ac:dyDescent="0.25">
      <c r="A12536" t="str">
        <f>T("   AE")</f>
        <v xml:space="preserve">   AE</v>
      </c>
      <c r="B12536" t="str">
        <f>T("   Emirats Arabes Unis")</f>
        <v xml:space="preserve">   Emirats Arabes Unis</v>
      </c>
      <c r="C12536">
        <v>7046345</v>
      </c>
      <c r="D12536">
        <v>21793</v>
      </c>
    </row>
    <row r="12537" spans="1:4" x14ac:dyDescent="0.25">
      <c r="A12537" t="str">
        <f>T("   BE")</f>
        <v xml:space="preserve">   BE</v>
      </c>
      <c r="B12537" t="str">
        <f>T("   Belgique")</f>
        <v xml:space="preserve">   Belgique</v>
      </c>
      <c r="C12537">
        <v>38005187</v>
      </c>
      <c r="D12537">
        <v>6565</v>
      </c>
    </row>
    <row r="12538" spans="1:4" x14ac:dyDescent="0.25">
      <c r="A12538" t="str">
        <f>T("   CA")</f>
        <v xml:space="preserve">   CA</v>
      </c>
      <c r="B12538" t="str">
        <f>T("   Canada")</f>
        <v xml:space="preserve">   Canada</v>
      </c>
      <c r="C12538">
        <v>516000</v>
      </c>
      <c r="D12538">
        <v>125</v>
      </c>
    </row>
    <row r="12539" spans="1:4" x14ac:dyDescent="0.25">
      <c r="A12539" t="str">
        <f>T("   CN")</f>
        <v xml:space="preserve">   CN</v>
      </c>
      <c r="B12539" t="str">
        <f>T("   Chine")</f>
        <v xml:space="preserve">   Chine</v>
      </c>
      <c r="C12539">
        <v>16462586</v>
      </c>
      <c r="D12539">
        <v>8636</v>
      </c>
    </row>
    <row r="12540" spans="1:4" x14ac:dyDescent="0.25">
      <c r="A12540" t="str">
        <f>T("   FR")</f>
        <v xml:space="preserve">   FR</v>
      </c>
      <c r="B12540" t="str">
        <f>T("   France")</f>
        <v xml:space="preserve">   France</v>
      </c>
      <c r="C12540">
        <v>1735258</v>
      </c>
      <c r="D12540">
        <v>1131.5</v>
      </c>
    </row>
    <row r="12541" spans="1:4" x14ac:dyDescent="0.25">
      <c r="A12541" t="str">
        <f>T("   NG")</f>
        <v xml:space="preserve">   NG</v>
      </c>
      <c r="B12541" t="str">
        <f>T("   Nigéria")</f>
        <v xml:space="preserve">   Nigéria</v>
      </c>
      <c r="C12541">
        <v>360820100</v>
      </c>
      <c r="D12541">
        <v>457250</v>
      </c>
    </row>
    <row r="12542" spans="1:4" x14ac:dyDescent="0.25">
      <c r="A12542" t="str">
        <f>T("   TG")</f>
        <v xml:space="preserve">   TG</v>
      </c>
      <c r="B12542" t="str">
        <f>T("   Togo")</f>
        <v xml:space="preserve">   Togo</v>
      </c>
      <c r="C12542">
        <v>5594141</v>
      </c>
      <c r="D12542">
        <v>1229</v>
      </c>
    </row>
    <row r="12543" spans="1:4" x14ac:dyDescent="0.25">
      <c r="A12543" t="str">
        <f>T("   US")</f>
        <v xml:space="preserve">   US</v>
      </c>
      <c r="B12543" t="str">
        <f>T("   Etats-Unis")</f>
        <v xml:space="preserve">   Etats-Unis</v>
      </c>
      <c r="C12543">
        <v>1205532</v>
      </c>
      <c r="D12543">
        <v>2200</v>
      </c>
    </row>
    <row r="12544" spans="1:4" x14ac:dyDescent="0.25">
      <c r="A12544" t="str">
        <f>T("850239")</f>
        <v>850239</v>
      </c>
      <c r="B12544" t="str">
        <f>T("Groupes électrogènes (autres qu'à énergie éolienne et à moteurs à piston)")</f>
        <v>Groupes électrogènes (autres qu'à énergie éolienne et à moteurs à piston)</v>
      </c>
    </row>
    <row r="12545" spans="1:4" x14ac:dyDescent="0.25">
      <c r="A12545" t="str">
        <f>T("   ZZZ_Monde")</f>
        <v xml:space="preserve">   ZZZ_Monde</v>
      </c>
      <c r="B12545" t="str">
        <f>T("   ZZZ_Monde")</f>
        <v xml:space="preserve">   ZZZ_Monde</v>
      </c>
      <c r="C12545">
        <v>274637978</v>
      </c>
      <c r="D12545">
        <v>142796</v>
      </c>
    </row>
    <row r="12546" spans="1:4" x14ac:dyDescent="0.25">
      <c r="A12546" t="str">
        <f>T("   AE")</f>
        <v xml:space="preserve">   AE</v>
      </c>
      <c r="B12546" t="str">
        <f>T("   Emirats Arabes Unis")</f>
        <v xml:space="preserve">   Emirats Arabes Unis</v>
      </c>
      <c r="C12546">
        <v>7477577</v>
      </c>
      <c r="D12546">
        <v>14008</v>
      </c>
    </row>
    <row r="12547" spans="1:4" x14ac:dyDescent="0.25">
      <c r="A12547" t="str">
        <f>T("   AU")</f>
        <v xml:space="preserve">   AU</v>
      </c>
      <c r="B12547" t="str">
        <f>T("   Australie")</f>
        <v xml:space="preserve">   Australie</v>
      </c>
      <c r="C12547">
        <v>50000</v>
      </c>
      <c r="D12547">
        <v>500</v>
      </c>
    </row>
    <row r="12548" spans="1:4" x14ac:dyDescent="0.25">
      <c r="A12548" t="str">
        <f>T("   BE")</f>
        <v xml:space="preserve">   BE</v>
      </c>
      <c r="B12548" t="str">
        <f>T("   Belgique")</f>
        <v xml:space="preserve">   Belgique</v>
      </c>
      <c r="C12548">
        <v>620980</v>
      </c>
      <c r="D12548">
        <v>1175</v>
      </c>
    </row>
    <row r="12549" spans="1:4" x14ac:dyDescent="0.25">
      <c r="A12549" t="str">
        <f>T("   CA")</f>
        <v xml:space="preserve">   CA</v>
      </c>
      <c r="B12549" t="str">
        <f>T("   Canada")</f>
        <v xml:space="preserve">   Canada</v>
      </c>
      <c r="C12549">
        <v>250000</v>
      </c>
      <c r="D12549">
        <v>600</v>
      </c>
    </row>
    <row r="12550" spans="1:4" x14ac:dyDescent="0.25">
      <c r="A12550" t="str">
        <f>T("   CN")</f>
        <v xml:space="preserve">   CN</v>
      </c>
      <c r="B12550" t="str">
        <f>T("   Chine")</f>
        <v xml:space="preserve">   Chine</v>
      </c>
      <c r="C12550">
        <v>90195752</v>
      </c>
      <c r="D12550">
        <v>50516</v>
      </c>
    </row>
    <row r="12551" spans="1:4" x14ac:dyDescent="0.25">
      <c r="A12551" t="str">
        <f>T("   DE")</f>
        <v xml:space="preserve">   DE</v>
      </c>
      <c r="B12551" t="str">
        <f>T("   Allemagne")</f>
        <v xml:space="preserve">   Allemagne</v>
      </c>
      <c r="C12551">
        <v>6692426</v>
      </c>
      <c r="D12551">
        <v>10735</v>
      </c>
    </row>
    <row r="12552" spans="1:4" x14ac:dyDescent="0.25">
      <c r="A12552" t="str">
        <f>T("   ES")</f>
        <v xml:space="preserve">   ES</v>
      </c>
      <c r="B12552" t="str">
        <f>T("   Espagne")</f>
        <v xml:space="preserve">   Espagne</v>
      </c>
      <c r="C12552">
        <v>18949438</v>
      </c>
      <c r="D12552">
        <v>4095</v>
      </c>
    </row>
    <row r="12553" spans="1:4" x14ac:dyDescent="0.25">
      <c r="A12553" t="str">
        <f>T("   FR")</f>
        <v xml:space="preserve">   FR</v>
      </c>
      <c r="B12553" t="str">
        <f>T("   France")</f>
        <v xml:space="preserve">   France</v>
      </c>
      <c r="C12553">
        <v>44270919</v>
      </c>
      <c r="D12553">
        <v>21109</v>
      </c>
    </row>
    <row r="12554" spans="1:4" x14ac:dyDescent="0.25">
      <c r="A12554" t="str">
        <f>T("   GB")</f>
        <v xml:space="preserve">   GB</v>
      </c>
      <c r="B12554" t="str">
        <f>T("   Royaume-Uni")</f>
        <v xml:space="preserve">   Royaume-Uni</v>
      </c>
      <c r="C12554">
        <v>1869291</v>
      </c>
      <c r="D12554">
        <v>8810</v>
      </c>
    </row>
    <row r="12555" spans="1:4" x14ac:dyDescent="0.25">
      <c r="A12555" t="str">
        <f>T("   IL")</f>
        <v xml:space="preserve">   IL</v>
      </c>
      <c r="B12555" t="str">
        <f>T("   Israël")</f>
        <v xml:space="preserve">   Israël</v>
      </c>
      <c r="C12555">
        <v>250000</v>
      </c>
      <c r="D12555">
        <v>2000</v>
      </c>
    </row>
    <row r="12556" spans="1:4" x14ac:dyDescent="0.25">
      <c r="A12556" t="str">
        <f>T("   IT")</f>
        <v xml:space="preserve">   IT</v>
      </c>
      <c r="B12556" t="str">
        <f>T("   Italie")</f>
        <v xml:space="preserve">   Italie</v>
      </c>
      <c r="C12556">
        <v>23659459</v>
      </c>
      <c r="D12556">
        <v>12880</v>
      </c>
    </row>
    <row r="12557" spans="1:4" x14ac:dyDescent="0.25">
      <c r="A12557" t="str">
        <f>T("   NG")</f>
        <v xml:space="preserve">   NG</v>
      </c>
      <c r="B12557" t="str">
        <f>T("   Nigéria")</f>
        <v xml:space="preserve">   Nigéria</v>
      </c>
      <c r="C12557">
        <v>58708800</v>
      </c>
      <c r="D12557">
        <v>10300</v>
      </c>
    </row>
    <row r="12558" spans="1:4" x14ac:dyDescent="0.25">
      <c r="A12558" t="str">
        <f>T("   TG")</f>
        <v xml:space="preserve">   TG</v>
      </c>
      <c r="B12558" t="str">
        <f>T("   Togo")</f>
        <v xml:space="preserve">   Togo</v>
      </c>
      <c r="C12558">
        <v>20901198</v>
      </c>
      <c r="D12558">
        <v>4000</v>
      </c>
    </row>
    <row r="12559" spans="1:4" x14ac:dyDescent="0.25">
      <c r="A12559" t="str">
        <f>T("   US")</f>
        <v xml:space="preserve">   US</v>
      </c>
      <c r="B12559" t="str">
        <f>T("   Etats-Unis")</f>
        <v xml:space="preserve">   Etats-Unis</v>
      </c>
      <c r="C12559">
        <v>742138</v>
      </c>
      <c r="D12559">
        <v>2068</v>
      </c>
    </row>
    <row r="12560" spans="1:4" x14ac:dyDescent="0.25">
      <c r="A12560" t="str">
        <f>T("850240")</f>
        <v>850240</v>
      </c>
      <c r="B12560" t="str">
        <f>T("Convertisseurs rotatifs électriques")</f>
        <v>Convertisseurs rotatifs électriques</v>
      </c>
    </row>
    <row r="12561" spans="1:4" x14ac:dyDescent="0.25">
      <c r="A12561" t="str">
        <f>T("   ZZZ_Monde")</f>
        <v xml:space="preserve">   ZZZ_Monde</v>
      </c>
      <c r="B12561" t="str">
        <f>T("   ZZZ_Monde")</f>
        <v xml:space="preserve">   ZZZ_Monde</v>
      </c>
      <c r="C12561">
        <v>26118359</v>
      </c>
      <c r="D12561">
        <v>10450</v>
      </c>
    </row>
    <row r="12562" spans="1:4" x14ac:dyDescent="0.25">
      <c r="A12562" t="str">
        <f>T("   FR")</f>
        <v xml:space="preserve">   FR</v>
      </c>
      <c r="B12562" t="str">
        <f>T("   France")</f>
        <v xml:space="preserve">   France</v>
      </c>
      <c r="C12562">
        <v>918344</v>
      </c>
      <c r="D12562">
        <v>200</v>
      </c>
    </row>
    <row r="12563" spans="1:4" x14ac:dyDescent="0.25">
      <c r="A12563" t="str">
        <f>T("   IT")</f>
        <v xml:space="preserve">   IT</v>
      </c>
      <c r="B12563" t="str">
        <f>T("   Italie")</f>
        <v xml:space="preserve">   Italie</v>
      </c>
      <c r="C12563">
        <v>25200015</v>
      </c>
      <c r="D12563">
        <v>10250</v>
      </c>
    </row>
    <row r="12564" spans="1:4" x14ac:dyDescent="0.25">
      <c r="A12564" t="str">
        <f>T("850300")</f>
        <v>850300</v>
      </c>
      <c r="B12564" t="str">
        <f>T("Parties reconnaissables comme étant exclusivement ou principalement destinées aux moteurs et machines génératrices électriques, groupes électrogènes ou convertisseurs rotatifs électriques n.d.a.")</f>
        <v>Parties reconnaissables comme étant exclusivement ou principalement destinées aux moteurs et machines génératrices électriques, groupes électrogènes ou convertisseurs rotatifs électriques n.d.a.</v>
      </c>
    </row>
    <row r="12565" spans="1:4" x14ac:dyDescent="0.25">
      <c r="A12565" t="str">
        <f>T("   ZZZ_Monde")</f>
        <v xml:space="preserve">   ZZZ_Monde</v>
      </c>
      <c r="B12565" t="str">
        <f>T("   ZZZ_Monde")</f>
        <v xml:space="preserve">   ZZZ_Monde</v>
      </c>
      <c r="C12565">
        <v>1049996260</v>
      </c>
      <c r="D12565">
        <v>113518</v>
      </c>
    </row>
    <row r="12566" spans="1:4" x14ac:dyDescent="0.25">
      <c r="A12566" t="str">
        <f>T("   BE")</f>
        <v xml:space="preserve">   BE</v>
      </c>
      <c r="B12566" t="str">
        <f>T("   Belgique")</f>
        <v xml:space="preserve">   Belgique</v>
      </c>
      <c r="C12566">
        <v>2659905</v>
      </c>
      <c r="D12566">
        <v>77</v>
      </c>
    </row>
    <row r="12567" spans="1:4" x14ac:dyDescent="0.25">
      <c r="A12567" t="str">
        <f>T("   CH")</f>
        <v xml:space="preserve">   CH</v>
      </c>
      <c r="B12567" t="str">
        <f>T("   Suisse")</f>
        <v xml:space="preserve">   Suisse</v>
      </c>
      <c r="C12567">
        <v>111019</v>
      </c>
      <c r="D12567">
        <v>20</v>
      </c>
    </row>
    <row r="12568" spans="1:4" x14ac:dyDescent="0.25">
      <c r="A12568" t="str">
        <f>T("   CI")</f>
        <v xml:space="preserve">   CI</v>
      </c>
      <c r="B12568" t="str">
        <f>T("   Côte d'Ivoire")</f>
        <v xml:space="preserve">   Côte d'Ivoire</v>
      </c>
      <c r="C12568">
        <v>120000</v>
      </c>
      <c r="D12568">
        <v>7</v>
      </c>
    </row>
    <row r="12569" spans="1:4" x14ac:dyDescent="0.25">
      <c r="A12569" t="str">
        <f>T("   CN")</f>
        <v xml:space="preserve">   CN</v>
      </c>
      <c r="B12569" t="str">
        <f>T("   Chine")</f>
        <v xml:space="preserve">   Chine</v>
      </c>
      <c r="C12569">
        <v>52591854</v>
      </c>
      <c r="D12569">
        <v>30136</v>
      </c>
    </row>
    <row r="12570" spans="1:4" x14ac:dyDescent="0.25">
      <c r="A12570" t="str">
        <f>T("   DE")</f>
        <v xml:space="preserve">   DE</v>
      </c>
      <c r="B12570" t="str">
        <f>T("   Allemagne")</f>
        <v xml:space="preserve">   Allemagne</v>
      </c>
      <c r="C12570">
        <v>3759112</v>
      </c>
      <c r="D12570">
        <v>83</v>
      </c>
    </row>
    <row r="12571" spans="1:4" x14ac:dyDescent="0.25">
      <c r="A12571" t="str">
        <f>T("   ES")</f>
        <v xml:space="preserve">   ES</v>
      </c>
      <c r="B12571" t="str">
        <f>T("   Espagne")</f>
        <v xml:space="preserve">   Espagne</v>
      </c>
      <c r="C12571">
        <v>99831</v>
      </c>
      <c r="D12571">
        <v>60</v>
      </c>
    </row>
    <row r="12572" spans="1:4" x14ac:dyDescent="0.25">
      <c r="A12572" t="str">
        <f>T("   FR")</f>
        <v xml:space="preserve">   FR</v>
      </c>
      <c r="B12572" t="str">
        <f>T("   France")</f>
        <v xml:space="preserve">   France</v>
      </c>
      <c r="C12572">
        <v>914569590</v>
      </c>
      <c r="D12572">
        <v>72473</v>
      </c>
    </row>
    <row r="12573" spans="1:4" x14ac:dyDescent="0.25">
      <c r="A12573" t="str">
        <f>T("   IN")</f>
        <v xml:space="preserve">   IN</v>
      </c>
      <c r="B12573" t="str">
        <f>T("   Inde")</f>
        <v xml:space="preserve">   Inde</v>
      </c>
      <c r="C12573">
        <v>10572064</v>
      </c>
      <c r="D12573">
        <v>235</v>
      </c>
    </row>
    <row r="12574" spans="1:4" x14ac:dyDescent="0.25">
      <c r="A12574" t="str">
        <f>T("   IT")</f>
        <v xml:space="preserve">   IT</v>
      </c>
      <c r="B12574" t="str">
        <f>T("   Italie")</f>
        <v xml:space="preserve">   Italie</v>
      </c>
      <c r="C12574">
        <v>1017735</v>
      </c>
      <c r="D12574">
        <v>5905</v>
      </c>
    </row>
    <row r="12575" spans="1:4" x14ac:dyDescent="0.25">
      <c r="A12575" t="str">
        <f>T("   NL")</f>
        <v xml:space="preserve">   NL</v>
      </c>
      <c r="B12575" t="str">
        <f>T("   Pays-bas")</f>
        <v xml:space="preserve">   Pays-bas</v>
      </c>
      <c r="C12575">
        <v>858127</v>
      </c>
      <c r="D12575">
        <v>5</v>
      </c>
    </row>
    <row r="12576" spans="1:4" x14ac:dyDescent="0.25">
      <c r="A12576" t="str">
        <f>T("   NO")</f>
        <v xml:space="preserve">   NO</v>
      </c>
      <c r="B12576" t="str">
        <f>T("   Norvège")</f>
        <v xml:space="preserve">   Norvège</v>
      </c>
      <c r="C12576">
        <v>62823467</v>
      </c>
      <c r="D12576">
        <v>312</v>
      </c>
    </row>
    <row r="12577" spans="1:4" x14ac:dyDescent="0.25">
      <c r="A12577" t="str">
        <f>T("   TG")</f>
        <v xml:space="preserve">   TG</v>
      </c>
      <c r="B12577" t="str">
        <f>T("   Togo")</f>
        <v xml:space="preserve">   Togo</v>
      </c>
      <c r="C12577">
        <v>813556</v>
      </c>
      <c r="D12577">
        <v>4205</v>
      </c>
    </row>
    <row r="12578" spans="1:4" x14ac:dyDescent="0.25">
      <c r="A12578" t="str">
        <f>T("850410")</f>
        <v>850410</v>
      </c>
      <c r="B12578" t="str">
        <f>T("Ballasts pour lampes ou tubes à décharge")</f>
        <v>Ballasts pour lampes ou tubes à décharge</v>
      </c>
    </row>
    <row r="12579" spans="1:4" x14ac:dyDescent="0.25">
      <c r="A12579" t="str">
        <f>T("   ZZZ_Monde")</f>
        <v xml:space="preserve">   ZZZ_Monde</v>
      </c>
      <c r="B12579" t="str">
        <f>T("   ZZZ_Monde")</f>
        <v xml:space="preserve">   ZZZ_Monde</v>
      </c>
      <c r="C12579">
        <v>158939</v>
      </c>
      <c r="D12579">
        <v>12</v>
      </c>
    </row>
    <row r="12580" spans="1:4" x14ac:dyDescent="0.25">
      <c r="A12580" t="str">
        <f>T("   FR")</f>
        <v xml:space="preserve">   FR</v>
      </c>
      <c r="B12580" t="str">
        <f>T("   France")</f>
        <v xml:space="preserve">   France</v>
      </c>
      <c r="C12580">
        <v>158939</v>
      </c>
      <c r="D12580">
        <v>12</v>
      </c>
    </row>
    <row r="12581" spans="1:4" x14ac:dyDescent="0.25">
      <c r="A12581" t="str">
        <f>T("850421")</f>
        <v>850421</v>
      </c>
      <c r="B12581" t="str">
        <f>T("Transformateurs à diélectrique liquide, puissance &lt;= 650 kVA")</f>
        <v>Transformateurs à diélectrique liquide, puissance &lt;= 650 kVA</v>
      </c>
    </row>
    <row r="12582" spans="1:4" x14ac:dyDescent="0.25">
      <c r="A12582" t="str">
        <f>T("   ZZZ_Monde")</f>
        <v xml:space="preserve">   ZZZ_Monde</v>
      </c>
      <c r="B12582" t="str">
        <f>T("   ZZZ_Monde")</f>
        <v xml:space="preserve">   ZZZ_Monde</v>
      </c>
      <c r="C12582">
        <v>54569883</v>
      </c>
      <c r="D12582">
        <v>19364</v>
      </c>
    </row>
    <row r="12583" spans="1:4" x14ac:dyDescent="0.25">
      <c r="A12583" t="str">
        <f>T("   FR")</f>
        <v xml:space="preserve">   FR</v>
      </c>
      <c r="B12583" t="str">
        <f>T("   France")</f>
        <v xml:space="preserve">   France</v>
      </c>
      <c r="C12583">
        <v>47663505</v>
      </c>
      <c r="D12583">
        <v>13164</v>
      </c>
    </row>
    <row r="12584" spans="1:4" x14ac:dyDescent="0.25">
      <c r="A12584" t="str">
        <f>T("   IN")</f>
        <v xml:space="preserve">   IN</v>
      </c>
      <c r="B12584" t="str">
        <f>T("   Inde")</f>
        <v xml:space="preserve">   Inde</v>
      </c>
      <c r="C12584">
        <v>575052</v>
      </c>
      <c r="D12584">
        <v>20</v>
      </c>
    </row>
    <row r="12585" spans="1:4" x14ac:dyDescent="0.25">
      <c r="A12585" t="str">
        <f>T("   MA")</f>
        <v xml:space="preserve">   MA</v>
      </c>
      <c r="B12585" t="str">
        <f>T("   Maroc")</f>
        <v xml:space="preserve">   Maroc</v>
      </c>
      <c r="C12585">
        <v>6331326</v>
      </c>
      <c r="D12585">
        <v>6180</v>
      </c>
    </row>
    <row r="12586" spans="1:4" x14ac:dyDescent="0.25">
      <c r="A12586" t="str">
        <f>T("850422")</f>
        <v>850422</v>
      </c>
      <c r="B12586" t="str">
        <f>T("Transformateurs à diélectrique liquide, puissance &gt; 650 kVA mais &lt;= 10.000 kVA")</f>
        <v>Transformateurs à diélectrique liquide, puissance &gt; 650 kVA mais &lt;= 10.000 kVA</v>
      </c>
    </row>
    <row r="12587" spans="1:4" x14ac:dyDescent="0.25">
      <c r="A12587" t="str">
        <f>T("   ZZZ_Monde")</f>
        <v xml:space="preserve">   ZZZ_Monde</v>
      </c>
      <c r="B12587" t="str">
        <f>T("   ZZZ_Monde")</f>
        <v xml:space="preserve">   ZZZ_Monde</v>
      </c>
      <c r="C12587">
        <v>23925369</v>
      </c>
      <c r="D12587">
        <v>7326</v>
      </c>
    </row>
    <row r="12588" spans="1:4" x14ac:dyDescent="0.25">
      <c r="A12588" t="str">
        <f>T("   FR")</f>
        <v xml:space="preserve">   FR</v>
      </c>
      <c r="B12588" t="str">
        <f>T("   France")</f>
        <v xml:space="preserve">   France</v>
      </c>
      <c r="C12588">
        <v>22777555</v>
      </c>
      <c r="D12588">
        <v>6731</v>
      </c>
    </row>
    <row r="12589" spans="1:4" x14ac:dyDescent="0.25">
      <c r="A12589" t="str">
        <f>T("   TG")</f>
        <v xml:space="preserve">   TG</v>
      </c>
      <c r="B12589" t="str">
        <f>T("   Togo")</f>
        <v xml:space="preserve">   Togo</v>
      </c>
      <c r="C12589">
        <v>1147814</v>
      </c>
      <c r="D12589">
        <v>595</v>
      </c>
    </row>
    <row r="12590" spans="1:4" x14ac:dyDescent="0.25">
      <c r="A12590" t="str">
        <f>T("850431")</f>
        <v>850431</v>
      </c>
      <c r="B12590" t="str">
        <f>T("Transformateurs à sec, puissance &lt;= 1 kVA")</f>
        <v>Transformateurs à sec, puissance &lt;= 1 kVA</v>
      </c>
    </row>
    <row r="12591" spans="1:4" x14ac:dyDescent="0.25">
      <c r="A12591" t="str">
        <f>T("   ZZZ_Monde")</f>
        <v xml:space="preserve">   ZZZ_Monde</v>
      </c>
      <c r="B12591" t="str">
        <f>T("   ZZZ_Monde")</f>
        <v xml:space="preserve">   ZZZ_Monde</v>
      </c>
      <c r="C12591">
        <v>88238191</v>
      </c>
      <c r="D12591">
        <v>172334</v>
      </c>
    </row>
    <row r="12592" spans="1:4" x14ac:dyDescent="0.25">
      <c r="A12592" t="str">
        <f>T("   BE")</f>
        <v xml:space="preserve">   BE</v>
      </c>
      <c r="B12592" t="str">
        <f>T("   Belgique")</f>
        <v xml:space="preserve">   Belgique</v>
      </c>
      <c r="C12592">
        <v>9430087</v>
      </c>
      <c r="D12592">
        <v>23</v>
      </c>
    </row>
    <row r="12593" spans="1:4" x14ac:dyDescent="0.25">
      <c r="A12593" t="str">
        <f>T("   CN")</f>
        <v xml:space="preserve">   CN</v>
      </c>
      <c r="B12593" t="str">
        <f>T("   Chine")</f>
        <v xml:space="preserve">   Chine</v>
      </c>
      <c r="C12593">
        <v>13181386</v>
      </c>
      <c r="D12593">
        <v>23801</v>
      </c>
    </row>
    <row r="12594" spans="1:4" x14ac:dyDescent="0.25">
      <c r="A12594" t="str">
        <f>T("   DE")</f>
        <v xml:space="preserve">   DE</v>
      </c>
      <c r="B12594" t="str">
        <f>T("   Allemagne")</f>
        <v xml:space="preserve">   Allemagne</v>
      </c>
      <c r="C12594">
        <v>1639900</v>
      </c>
      <c r="D12594">
        <v>479</v>
      </c>
    </row>
    <row r="12595" spans="1:4" x14ac:dyDescent="0.25">
      <c r="A12595" t="str">
        <f>T("   FR")</f>
        <v xml:space="preserve">   FR</v>
      </c>
      <c r="B12595" t="str">
        <f>T("   France")</f>
        <v xml:space="preserve">   France</v>
      </c>
      <c r="C12595">
        <v>23787417</v>
      </c>
      <c r="D12595">
        <v>7685</v>
      </c>
    </row>
    <row r="12596" spans="1:4" x14ac:dyDescent="0.25">
      <c r="A12596" t="str">
        <f>T("   NG")</f>
        <v xml:space="preserve">   NG</v>
      </c>
      <c r="B12596" t="str">
        <f>T("   Nigéria")</f>
        <v xml:space="preserve">   Nigéria</v>
      </c>
      <c r="C12596">
        <v>40015250</v>
      </c>
      <c r="D12596">
        <v>140345</v>
      </c>
    </row>
    <row r="12597" spans="1:4" x14ac:dyDescent="0.25">
      <c r="A12597" t="str">
        <f>T("   US")</f>
        <v xml:space="preserve">   US</v>
      </c>
      <c r="B12597" t="str">
        <f>T("   Etats-Unis")</f>
        <v xml:space="preserve">   Etats-Unis</v>
      </c>
      <c r="C12597">
        <v>184151</v>
      </c>
      <c r="D12597">
        <v>1</v>
      </c>
    </row>
    <row r="12598" spans="1:4" x14ac:dyDescent="0.25">
      <c r="A12598" t="str">
        <f>T("850432")</f>
        <v>850432</v>
      </c>
      <c r="B12598" t="str">
        <f>T("Transformateurs à sec, puissance &gt; 1 kVA mais &lt;= 16 kVA")</f>
        <v>Transformateurs à sec, puissance &gt; 1 kVA mais &lt;= 16 kVA</v>
      </c>
    </row>
    <row r="12599" spans="1:4" x14ac:dyDescent="0.25">
      <c r="A12599" t="str">
        <f>T("   ZZZ_Monde")</f>
        <v xml:space="preserve">   ZZZ_Monde</v>
      </c>
      <c r="B12599" t="str">
        <f>T("   ZZZ_Monde")</f>
        <v xml:space="preserve">   ZZZ_Monde</v>
      </c>
      <c r="C12599">
        <v>4503884</v>
      </c>
      <c r="D12599">
        <v>2712</v>
      </c>
    </row>
    <row r="12600" spans="1:4" x14ac:dyDescent="0.25">
      <c r="A12600" t="str">
        <f>T("   CN")</f>
        <v xml:space="preserve">   CN</v>
      </c>
      <c r="B12600" t="str">
        <f>T("   Chine")</f>
        <v xml:space="preserve">   Chine</v>
      </c>
      <c r="C12600">
        <v>313979</v>
      </c>
      <c r="D12600">
        <v>350</v>
      </c>
    </row>
    <row r="12601" spans="1:4" x14ac:dyDescent="0.25">
      <c r="A12601" t="str">
        <f>T("   FR")</f>
        <v xml:space="preserve">   FR</v>
      </c>
      <c r="B12601" t="str">
        <f>T("   France")</f>
        <v xml:space="preserve">   France</v>
      </c>
      <c r="C12601">
        <v>129093</v>
      </c>
      <c r="D12601">
        <v>6</v>
      </c>
    </row>
    <row r="12602" spans="1:4" x14ac:dyDescent="0.25">
      <c r="A12602" t="str">
        <f>T("   HK")</f>
        <v xml:space="preserve">   HK</v>
      </c>
      <c r="B12602" t="str">
        <f>T("   Hong-Kong")</f>
        <v xml:space="preserve">   Hong-Kong</v>
      </c>
      <c r="C12602">
        <v>3410812</v>
      </c>
      <c r="D12602">
        <v>1006</v>
      </c>
    </row>
    <row r="12603" spans="1:4" x14ac:dyDescent="0.25">
      <c r="A12603" t="str">
        <f>T("   NG")</f>
        <v xml:space="preserve">   NG</v>
      </c>
      <c r="B12603" t="str">
        <f>T("   Nigéria")</f>
        <v xml:space="preserve">   Nigéria</v>
      </c>
      <c r="C12603">
        <v>650000</v>
      </c>
      <c r="D12603">
        <v>1350</v>
      </c>
    </row>
    <row r="12604" spans="1:4" x14ac:dyDescent="0.25">
      <c r="A12604" t="str">
        <f>T("850433")</f>
        <v>850433</v>
      </c>
      <c r="B12604" t="str">
        <f>T("Transformateurs à sec, puissance &gt; 16 kVA mais &lt;= 500 kVA")</f>
        <v>Transformateurs à sec, puissance &gt; 16 kVA mais &lt;= 500 kVA</v>
      </c>
    </row>
    <row r="12605" spans="1:4" x14ac:dyDescent="0.25">
      <c r="A12605" t="str">
        <f>T("   ZZZ_Monde")</f>
        <v xml:space="preserve">   ZZZ_Monde</v>
      </c>
      <c r="B12605" t="str">
        <f>T("   ZZZ_Monde")</f>
        <v xml:space="preserve">   ZZZ_Monde</v>
      </c>
      <c r="C12605">
        <v>88861569</v>
      </c>
      <c r="D12605">
        <v>30699</v>
      </c>
    </row>
    <row r="12606" spans="1:4" x14ac:dyDescent="0.25">
      <c r="A12606" t="str">
        <f>T("   CI")</f>
        <v xml:space="preserve">   CI</v>
      </c>
      <c r="B12606" t="str">
        <f>T("   Côte d'Ivoire")</f>
        <v xml:space="preserve">   Côte d'Ivoire</v>
      </c>
      <c r="C12606">
        <v>8464704</v>
      </c>
      <c r="D12606">
        <v>7600</v>
      </c>
    </row>
    <row r="12607" spans="1:4" x14ac:dyDescent="0.25">
      <c r="A12607" t="str">
        <f>T("   FR")</f>
        <v xml:space="preserve">   FR</v>
      </c>
      <c r="B12607" t="str">
        <f>T("   France")</f>
        <v xml:space="preserve">   France</v>
      </c>
      <c r="C12607">
        <v>15874639</v>
      </c>
      <c r="D12607">
        <v>2553</v>
      </c>
    </row>
    <row r="12608" spans="1:4" x14ac:dyDescent="0.25">
      <c r="A12608" t="str">
        <f>T("   IT")</f>
        <v xml:space="preserve">   IT</v>
      </c>
      <c r="B12608" t="str">
        <f>T("   Italie")</f>
        <v xml:space="preserve">   Italie</v>
      </c>
      <c r="C12608">
        <v>54449710</v>
      </c>
      <c r="D12608">
        <v>8010</v>
      </c>
    </row>
    <row r="12609" spans="1:4" x14ac:dyDescent="0.25">
      <c r="A12609" t="str">
        <f>T("   MA")</f>
        <v xml:space="preserve">   MA</v>
      </c>
      <c r="B12609" t="str">
        <f>T("   Maroc")</f>
        <v xml:space="preserve">   Maroc</v>
      </c>
      <c r="C12609">
        <v>5053516</v>
      </c>
      <c r="D12609">
        <v>1744</v>
      </c>
    </row>
    <row r="12610" spans="1:4" x14ac:dyDescent="0.25">
      <c r="A12610" t="str">
        <f>T("   TG")</f>
        <v xml:space="preserve">   TG</v>
      </c>
      <c r="B12610" t="str">
        <f>T("   Togo")</f>
        <v xml:space="preserve">   Togo</v>
      </c>
      <c r="C12610">
        <v>5019000</v>
      </c>
      <c r="D12610">
        <v>10792</v>
      </c>
    </row>
    <row r="12611" spans="1:4" x14ac:dyDescent="0.25">
      <c r="A12611" t="str">
        <f>T("850434")</f>
        <v>850434</v>
      </c>
      <c r="B12611" t="str">
        <f>T("Transformateurs à sec, puissance &gt; 500 kVA")</f>
        <v>Transformateurs à sec, puissance &gt; 500 kVA</v>
      </c>
    </row>
    <row r="12612" spans="1:4" x14ac:dyDescent="0.25">
      <c r="A12612" t="str">
        <f>T("   ZZZ_Monde")</f>
        <v xml:space="preserve">   ZZZ_Monde</v>
      </c>
      <c r="B12612" t="str">
        <f>T("   ZZZ_Monde")</f>
        <v xml:space="preserve">   ZZZ_Monde</v>
      </c>
      <c r="C12612">
        <v>17925974</v>
      </c>
      <c r="D12612">
        <v>7371</v>
      </c>
    </row>
    <row r="12613" spans="1:4" x14ac:dyDescent="0.25">
      <c r="A12613" t="str">
        <f>T("   FR")</f>
        <v xml:space="preserve">   FR</v>
      </c>
      <c r="B12613" t="str">
        <f>T("   France")</f>
        <v xml:space="preserve">   France</v>
      </c>
      <c r="C12613">
        <v>13891901</v>
      </c>
      <c r="D12613">
        <v>3321</v>
      </c>
    </row>
    <row r="12614" spans="1:4" x14ac:dyDescent="0.25">
      <c r="A12614" t="str">
        <f>T("   GW")</f>
        <v xml:space="preserve">   GW</v>
      </c>
      <c r="B12614" t="str">
        <f>T("   Guinée-Bissau")</f>
        <v xml:space="preserve">   Guinée-Bissau</v>
      </c>
      <c r="C12614">
        <v>4034073</v>
      </c>
      <c r="D12614">
        <v>4050</v>
      </c>
    </row>
    <row r="12615" spans="1:4" x14ac:dyDescent="0.25">
      <c r="A12615" t="str">
        <f>T("850440")</f>
        <v>850440</v>
      </c>
      <c r="B12615" t="str">
        <f>T("CONVERTISSEURS STATIQUES")</f>
        <v>CONVERTISSEURS STATIQUES</v>
      </c>
    </row>
    <row r="12616" spans="1:4" x14ac:dyDescent="0.25">
      <c r="A12616" t="str">
        <f>T("   ZZZ_Monde")</f>
        <v xml:space="preserve">   ZZZ_Monde</v>
      </c>
      <c r="B12616" t="str">
        <f>T("   ZZZ_Monde")</f>
        <v xml:space="preserve">   ZZZ_Monde</v>
      </c>
      <c r="C12616">
        <v>315413049</v>
      </c>
      <c r="D12616">
        <v>109307</v>
      </c>
    </row>
    <row r="12617" spans="1:4" x14ac:dyDescent="0.25">
      <c r="A12617" t="str">
        <f>T("   AS")</f>
        <v xml:space="preserve">   AS</v>
      </c>
      <c r="B12617" t="str">
        <f>T("   Samoa Américaines")</f>
        <v xml:space="preserve">   Samoa Américaines</v>
      </c>
      <c r="C12617">
        <v>150000</v>
      </c>
      <c r="D12617">
        <v>165</v>
      </c>
    </row>
    <row r="12618" spans="1:4" x14ac:dyDescent="0.25">
      <c r="A12618" t="str">
        <f>T("   BE")</f>
        <v xml:space="preserve">   BE</v>
      </c>
      <c r="B12618" t="str">
        <f>T("   Belgique")</f>
        <v xml:space="preserve">   Belgique</v>
      </c>
      <c r="C12618">
        <v>2104733</v>
      </c>
      <c r="D12618">
        <v>39</v>
      </c>
    </row>
    <row r="12619" spans="1:4" x14ac:dyDescent="0.25">
      <c r="A12619" t="str">
        <f>T("   BF")</f>
        <v xml:space="preserve">   BF</v>
      </c>
      <c r="B12619" t="str">
        <f>T("   Burkina Faso")</f>
        <v xml:space="preserve">   Burkina Faso</v>
      </c>
      <c r="C12619">
        <v>1763125</v>
      </c>
      <c r="D12619">
        <v>600</v>
      </c>
    </row>
    <row r="12620" spans="1:4" x14ac:dyDescent="0.25">
      <c r="A12620" t="str">
        <f>T("   CH")</f>
        <v xml:space="preserve">   CH</v>
      </c>
      <c r="B12620" t="str">
        <f>T("   Suisse")</f>
        <v xml:space="preserve">   Suisse</v>
      </c>
      <c r="C12620">
        <v>486905</v>
      </c>
      <c r="D12620">
        <v>168</v>
      </c>
    </row>
    <row r="12621" spans="1:4" x14ac:dyDescent="0.25">
      <c r="A12621" t="str">
        <f>T("   CN")</f>
        <v xml:space="preserve">   CN</v>
      </c>
      <c r="B12621" t="str">
        <f>T("   Chine")</f>
        <v xml:space="preserve">   Chine</v>
      </c>
      <c r="C12621">
        <v>22664180</v>
      </c>
      <c r="D12621">
        <v>38557</v>
      </c>
    </row>
    <row r="12622" spans="1:4" x14ac:dyDescent="0.25">
      <c r="A12622" t="str">
        <f>T("   DE")</f>
        <v xml:space="preserve">   DE</v>
      </c>
      <c r="B12622" t="str">
        <f>T("   Allemagne")</f>
        <v xml:space="preserve">   Allemagne</v>
      </c>
      <c r="C12622">
        <v>3799119</v>
      </c>
      <c r="D12622">
        <v>164</v>
      </c>
    </row>
    <row r="12623" spans="1:4" x14ac:dyDescent="0.25">
      <c r="A12623" t="str">
        <f>T("   FR")</f>
        <v xml:space="preserve">   FR</v>
      </c>
      <c r="B12623" t="str">
        <f>T("   France")</f>
        <v xml:space="preserve">   France</v>
      </c>
      <c r="C12623">
        <v>232301120</v>
      </c>
      <c r="D12623">
        <v>58186</v>
      </c>
    </row>
    <row r="12624" spans="1:4" x14ac:dyDescent="0.25">
      <c r="A12624" t="str">
        <f>T("   GB")</f>
        <v xml:space="preserve">   GB</v>
      </c>
      <c r="B12624" t="str">
        <f>T("   Royaume-Uni")</f>
        <v xml:space="preserve">   Royaume-Uni</v>
      </c>
      <c r="C12624">
        <v>651601</v>
      </c>
      <c r="D12624">
        <v>125</v>
      </c>
    </row>
    <row r="12625" spans="1:4" x14ac:dyDescent="0.25">
      <c r="A12625" t="str">
        <f>T("   GH")</f>
        <v xml:space="preserve">   GH</v>
      </c>
      <c r="B12625" t="str">
        <f>T("   Ghana")</f>
        <v xml:space="preserve">   Ghana</v>
      </c>
      <c r="C12625">
        <v>647123</v>
      </c>
      <c r="D12625">
        <v>789</v>
      </c>
    </row>
    <row r="12626" spans="1:4" x14ac:dyDescent="0.25">
      <c r="A12626" t="str">
        <f>T("   HK")</f>
        <v xml:space="preserve">   HK</v>
      </c>
      <c r="B12626" t="str">
        <f>T("   Hong-Kong")</f>
        <v xml:space="preserve">   Hong-Kong</v>
      </c>
      <c r="C12626">
        <v>19281407</v>
      </c>
      <c r="D12626">
        <v>4312</v>
      </c>
    </row>
    <row r="12627" spans="1:4" x14ac:dyDescent="0.25">
      <c r="A12627" t="str">
        <f>T("   IE")</f>
        <v xml:space="preserve">   IE</v>
      </c>
      <c r="B12627" t="str">
        <f>T("   Irlande")</f>
        <v xml:space="preserve">   Irlande</v>
      </c>
      <c r="C12627">
        <v>7163083</v>
      </c>
      <c r="D12627">
        <v>1518</v>
      </c>
    </row>
    <row r="12628" spans="1:4" x14ac:dyDescent="0.25">
      <c r="A12628" t="str">
        <f>T("   IT")</f>
        <v xml:space="preserve">   IT</v>
      </c>
      <c r="B12628" t="str">
        <f>T("   Italie")</f>
        <v xml:space="preserve">   Italie</v>
      </c>
      <c r="C12628">
        <v>1502943</v>
      </c>
      <c r="D12628">
        <v>539</v>
      </c>
    </row>
    <row r="12629" spans="1:4" x14ac:dyDescent="0.25">
      <c r="A12629" t="str">
        <f>T("   JO")</f>
        <v xml:space="preserve">   JO</v>
      </c>
      <c r="B12629" t="str">
        <f>T("   Jordanie")</f>
        <v xml:space="preserve">   Jordanie</v>
      </c>
      <c r="C12629">
        <v>604341</v>
      </c>
      <c r="D12629">
        <v>100</v>
      </c>
    </row>
    <row r="12630" spans="1:4" x14ac:dyDescent="0.25">
      <c r="A12630" t="str">
        <f>T("   LB")</f>
        <v xml:space="preserve">   LB</v>
      </c>
      <c r="B12630" t="str">
        <f>T("   Liban")</f>
        <v xml:space="preserve">   Liban</v>
      </c>
      <c r="C12630">
        <v>575485</v>
      </c>
      <c r="D12630">
        <v>500</v>
      </c>
    </row>
    <row r="12631" spans="1:4" x14ac:dyDescent="0.25">
      <c r="A12631" t="str">
        <f>T("   MG")</f>
        <v xml:space="preserve">   MG</v>
      </c>
      <c r="B12631" t="str">
        <f>T("   Madagascar")</f>
        <v xml:space="preserve">   Madagascar</v>
      </c>
      <c r="C12631">
        <v>182357</v>
      </c>
      <c r="D12631">
        <v>64</v>
      </c>
    </row>
    <row r="12632" spans="1:4" x14ac:dyDescent="0.25">
      <c r="A12632" t="str">
        <f>T("   MO")</f>
        <v xml:space="preserve">   MO</v>
      </c>
      <c r="B12632" t="str">
        <f>T("   Macao")</f>
        <v xml:space="preserve">   Macao</v>
      </c>
      <c r="C12632">
        <v>782641</v>
      </c>
      <c r="D12632">
        <v>1</v>
      </c>
    </row>
    <row r="12633" spans="1:4" x14ac:dyDescent="0.25">
      <c r="A12633" t="str">
        <f>T("   NG")</f>
        <v xml:space="preserve">   NG</v>
      </c>
      <c r="B12633" t="str">
        <f>T("   Nigéria")</f>
        <v xml:space="preserve">   Nigéria</v>
      </c>
      <c r="C12633">
        <v>6139326</v>
      </c>
      <c r="D12633">
        <v>1500</v>
      </c>
    </row>
    <row r="12634" spans="1:4" x14ac:dyDescent="0.25">
      <c r="A12634" t="str">
        <f>T("   NO")</f>
        <v xml:space="preserve">   NO</v>
      </c>
      <c r="B12634" t="str">
        <f>T("   Norvège")</f>
        <v xml:space="preserve">   Norvège</v>
      </c>
      <c r="C12634">
        <v>8937455</v>
      </c>
      <c r="D12634">
        <v>773</v>
      </c>
    </row>
    <row r="12635" spans="1:4" x14ac:dyDescent="0.25">
      <c r="A12635" t="str">
        <f>T("   PK")</f>
        <v xml:space="preserve">   PK</v>
      </c>
      <c r="B12635" t="str">
        <f>T("   Pakistan")</f>
        <v xml:space="preserve">   Pakistan</v>
      </c>
      <c r="C12635">
        <v>1157922</v>
      </c>
      <c r="D12635">
        <v>423</v>
      </c>
    </row>
    <row r="12636" spans="1:4" x14ac:dyDescent="0.25">
      <c r="A12636" t="str">
        <f>T("   SN")</f>
        <v xml:space="preserve">   SN</v>
      </c>
      <c r="B12636" t="str">
        <f>T("   Sénégal")</f>
        <v xml:space="preserve">   Sénégal</v>
      </c>
      <c r="C12636">
        <v>352000</v>
      </c>
      <c r="D12636">
        <v>550</v>
      </c>
    </row>
    <row r="12637" spans="1:4" x14ac:dyDescent="0.25">
      <c r="A12637" t="str">
        <f>T("   UM")</f>
        <v xml:space="preserve">   UM</v>
      </c>
      <c r="B12637" t="str">
        <f>T("   îles mineures éloignées(Etats-Unis)")</f>
        <v xml:space="preserve">   îles mineures éloignées(Etats-Unis)</v>
      </c>
      <c r="C12637">
        <v>418105</v>
      </c>
      <c r="D12637">
        <v>1</v>
      </c>
    </row>
    <row r="12638" spans="1:4" x14ac:dyDescent="0.25">
      <c r="A12638" t="str">
        <f>T("   US")</f>
        <v xml:space="preserve">   US</v>
      </c>
      <c r="B12638" t="str">
        <f>T("   Etats-Unis")</f>
        <v xml:space="preserve">   Etats-Unis</v>
      </c>
      <c r="C12638">
        <v>3341738</v>
      </c>
      <c r="D12638">
        <v>206</v>
      </c>
    </row>
    <row r="12639" spans="1:4" x14ac:dyDescent="0.25">
      <c r="A12639" t="str">
        <f>T("   ZA")</f>
        <v xml:space="preserve">   ZA</v>
      </c>
      <c r="B12639" t="str">
        <f>T("   Afrique du Sud")</f>
        <v xml:space="preserve">   Afrique du Sud</v>
      </c>
      <c r="C12639">
        <v>406340</v>
      </c>
      <c r="D12639">
        <v>27</v>
      </c>
    </row>
    <row r="12640" spans="1:4" x14ac:dyDescent="0.25">
      <c r="A12640" t="str">
        <f>T("850450")</f>
        <v>850450</v>
      </c>
      <c r="B12640" t="str">
        <f>T("Bobines de réactance et autres selfs (autres que pour lampes ou tubes à décharge)")</f>
        <v>Bobines de réactance et autres selfs (autres que pour lampes ou tubes à décharge)</v>
      </c>
    </row>
    <row r="12641" spans="1:4" x14ac:dyDescent="0.25">
      <c r="A12641" t="str">
        <f>T("   ZZZ_Monde")</f>
        <v xml:space="preserve">   ZZZ_Monde</v>
      </c>
      <c r="B12641" t="str">
        <f>T("   ZZZ_Monde")</f>
        <v xml:space="preserve">   ZZZ_Monde</v>
      </c>
      <c r="C12641">
        <v>372733</v>
      </c>
      <c r="D12641">
        <v>9</v>
      </c>
    </row>
    <row r="12642" spans="1:4" x14ac:dyDescent="0.25">
      <c r="A12642" t="str">
        <f>T("   FR")</f>
        <v xml:space="preserve">   FR</v>
      </c>
      <c r="B12642" t="str">
        <f>T("   France")</f>
        <v xml:space="preserve">   France</v>
      </c>
      <c r="C12642">
        <v>372733</v>
      </c>
      <c r="D12642">
        <v>9</v>
      </c>
    </row>
    <row r="12643" spans="1:4" x14ac:dyDescent="0.25">
      <c r="A12643" t="str">
        <f>T("850490")</f>
        <v>850490</v>
      </c>
      <c r="B12643" t="str">
        <f>T("Parties de transformateurs, de bobines de réactance et selfs n.d.a.")</f>
        <v>Parties de transformateurs, de bobines de réactance et selfs n.d.a.</v>
      </c>
    </row>
    <row r="12644" spans="1:4" x14ac:dyDescent="0.25">
      <c r="A12644" t="str">
        <f>T("   ZZZ_Monde")</f>
        <v xml:space="preserve">   ZZZ_Monde</v>
      </c>
      <c r="B12644" t="str">
        <f>T("   ZZZ_Monde")</f>
        <v xml:space="preserve">   ZZZ_Monde</v>
      </c>
      <c r="C12644">
        <v>27366821</v>
      </c>
      <c r="D12644">
        <v>8314</v>
      </c>
    </row>
    <row r="12645" spans="1:4" x14ac:dyDescent="0.25">
      <c r="A12645" t="str">
        <f>T("   FR")</f>
        <v xml:space="preserve">   FR</v>
      </c>
      <c r="B12645" t="str">
        <f>T("   France")</f>
        <v xml:space="preserve">   France</v>
      </c>
      <c r="C12645">
        <v>27331642</v>
      </c>
      <c r="D12645">
        <v>8294</v>
      </c>
    </row>
    <row r="12646" spans="1:4" x14ac:dyDescent="0.25">
      <c r="A12646" t="str">
        <f>T("   GH")</f>
        <v xml:space="preserve">   GH</v>
      </c>
      <c r="B12646" t="str">
        <f>T("   Ghana")</f>
        <v xml:space="preserve">   Ghana</v>
      </c>
      <c r="C12646">
        <v>35179</v>
      </c>
      <c r="D12646">
        <v>20</v>
      </c>
    </row>
    <row r="12647" spans="1:4" x14ac:dyDescent="0.25">
      <c r="A12647" t="str">
        <f>T("850519")</f>
        <v>850519</v>
      </c>
      <c r="B12647" t="str">
        <f>T("Aimants permanents et articles destinés à devenir des aimants permanents après aimantation, autres qu'en métal")</f>
        <v>Aimants permanents et articles destinés à devenir des aimants permanents après aimantation, autres qu'en métal</v>
      </c>
    </row>
    <row r="12648" spans="1:4" x14ac:dyDescent="0.25">
      <c r="A12648" t="str">
        <f>T("   ZZZ_Monde")</f>
        <v xml:space="preserve">   ZZZ_Monde</v>
      </c>
      <c r="B12648" t="str">
        <f>T("   ZZZ_Monde")</f>
        <v xml:space="preserve">   ZZZ_Monde</v>
      </c>
      <c r="C12648">
        <v>2161988</v>
      </c>
      <c r="D12648">
        <v>605</v>
      </c>
    </row>
    <row r="12649" spans="1:4" x14ac:dyDescent="0.25">
      <c r="A12649" t="str">
        <f>T("   IN")</f>
        <v xml:space="preserve">   IN</v>
      </c>
      <c r="B12649" t="str">
        <f>T("   Inde")</f>
        <v xml:space="preserve">   Inde</v>
      </c>
      <c r="C12649">
        <v>2059488</v>
      </c>
      <c r="D12649">
        <v>105</v>
      </c>
    </row>
    <row r="12650" spans="1:4" x14ac:dyDescent="0.25">
      <c r="A12650" t="str">
        <f>T("   NG")</f>
        <v xml:space="preserve">   NG</v>
      </c>
      <c r="B12650" t="str">
        <f>T("   Nigéria")</f>
        <v xml:space="preserve">   Nigéria</v>
      </c>
      <c r="C12650">
        <v>102500</v>
      </c>
      <c r="D12650">
        <v>500</v>
      </c>
    </row>
    <row r="12651" spans="1:4" x14ac:dyDescent="0.25">
      <c r="A12651" t="str">
        <f>T("850520")</f>
        <v>850520</v>
      </c>
      <c r="B12651" t="str">
        <f>T("Accouplements, embrayages, variateurs de vitesse et freins électromagnétiques")</f>
        <v>Accouplements, embrayages, variateurs de vitesse et freins électromagnétiques</v>
      </c>
    </row>
    <row r="12652" spans="1:4" x14ac:dyDescent="0.25">
      <c r="A12652" t="str">
        <f>T("   ZZZ_Monde")</f>
        <v xml:space="preserve">   ZZZ_Monde</v>
      </c>
      <c r="B12652" t="str">
        <f>T("   ZZZ_Monde")</f>
        <v xml:space="preserve">   ZZZ_Monde</v>
      </c>
      <c r="C12652">
        <v>3644783</v>
      </c>
      <c r="D12652">
        <v>76</v>
      </c>
    </row>
    <row r="12653" spans="1:4" x14ac:dyDescent="0.25">
      <c r="A12653" t="str">
        <f>T("   FR")</f>
        <v xml:space="preserve">   FR</v>
      </c>
      <c r="B12653" t="str">
        <f>T("   France")</f>
        <v xml:space="preserve">   France</v>
      </c>
      <c r="C12653">
        <v>3644783</v>
      </c>
      <c r="D12653">
        <v>76</v>
      </c>
    </row>
    <row r="12654" spans="1:4" x14ac:dyDescent="0.25">
      <c r="A12654" t="str">
        <f>T("850590")</f>
        <v>850590</v>
      </c>
      <c r="B12654" t="str">
        <f>T("ÉLECTRO-AIMANTS (AUTRES QU'À USAGES MÉDICAUX), TÊTES DE LEVAGE ÉLECTROMAGNÉTIQUES AINSI QUE PLATEAUX, MANDRINS ET DISPOSITIFS MAGNÉTIQUES OU ÉLECTROMAGNÉTIQUES SIMIL. DE FIXATION ET LEURS PARTIES N.D.A.")</f>
        <v>ÉLECTRO-AIMANTS (AUTRES QU'À USAGES MÉDICAUX), TÊTES DE LEVAGE ÉLECTROMAGNÉTIQUES AINSI QUE PLATEAUX, MANDRINS ET DISPOSITIFS MAGNÉTIQUES OU ÉLECTROMAGNÉTIQUES SIMIL. DE FIXATION ET LEURS PARTIES N.D.A.</v>
      </c>
    </row>
    <row r="12655" spans="1:4" x14ac:dyDescent="0.25">
      <c r="A12655" t="str">
        <f>T("   ZZZ_Monde")</f>
        <v xml:space="preserve">   ZZZ_Monde</v>
      </c>
      <c r="B12655" t="str">
        <f>T("   ZZZ_Monde")</f>
        <v xml:space="preserve">   ZZZ_Monde</v>
      </c>
      <c r="C12655">
        <v>8139980</v>
      </c>
      <c r="D12655">
        <v>24025</v>
      </c>
    </row>
    <row r="12656" spans="1:4" x14ac:dyDescent="0.25">
      <c r="A12656" t="str">
        <f>T("   BY")</f>
        <v xml:space="preserve">   BY</v>
      </c>
      <c r="B12656" t="str">
        <f>T("   Bélarus")</f>
        <v xml:space="preserve">   Bélarus</v>
      </c>
      <c r="C12656">
        <v>343598</v>
      </c>
      <c r="D12656">
        <v>23</v>
      </c>
    </row>
    <row r="12657" spans="1:4" x14ac:dyDescent="0.25">
      <c r="A12657" t="str">
        <f>T("   CN")</f>
        <v xml:space="preserve">   CN</v>
      </c>
      <c r="B12657" t="str">
        <f>T("   Chine")</f>
        <v xml:space="preserve">   Chine</v>
      </c>
      <c r="C12657">
        <v>7531387</v>
      </c>
      <c r="D12657">
        <v>24000</v>
      </c>
    </row>
    <row r="12658" spans="1:4" x14ac:dyDescent="0.25">
      <c r="A12658" t="str">
        <f>T("   FR")</f>
        <v xml:space="preserve">   FR</v>
      </c>
      <c r="B12658" t="str">
        <f>T("   France")</f>
        <v xml:space="preserve">   France</v>
      </c>
      <c r="C12658">
        <v>264995</v>
      </c>
      <c r="D12658">
        <v>2</v>
      </c>
    </row>
    <row r="12659" spans="1:4" x14ac:dyDescent="0.25">
      <c r="A12659" t="str">
        <f>T("850610")</f>
        <v>850610</v>
      </c>
      <c r="B12659" t="str">
        <f>T("Piles et batteries de piles électriques, au bioxyde de manganèse (sauf hors d'usage)")</f>
        <v>Piles et batteries de piles électriques, au bioxyde de manganèse (sauf hors d'usage)</v>
      </c>
    </row>
    <row r="12660" spans="1:4" x14ac:dyDescent="0.25">
      <c r="A12660" t="str">
        <f>T("   ZZZ_Monde")</f>
        <v xml:space="preserve">   ZZZ_Monde</v>
      </c>
      <c r="B12660" t="str">
        <f>T("   ZZZ_Monde")</f>
        <v xml:space="preserve">   ZZZ_Monde</v>
      </c>
      <c r="C12660">
        <v>1040331640</v>
      </c>
      <c r="D12660">
        <v>3621011</v>
      </c>
    </row>
    <row r="12661" spans="1:4" x14ac:dyDescent="0.25">
      <c r="A12661" t="str">
        <f>T("   AE")</f>
        <v xml:space="preserve">   AE</v>
      </c>
      <c r="B12661" t="str">
        <f>T("   Emirats Arabes Unis")</f>
        <v xml:space="preserve">   Emirats Arabes Unis</v>
      </c>
      <c r="C12661">
        <v>25209855</v>
      </c>
      <c r="D12661">
        <v>108000</v>
      </c>
    </row>
    <row r="12662" spans="1:4" x14ac:dyDescent="0.25">
      <c r="A12662" t="str">
        <f>T("   BR")</f>
        <v xml:space="preserve">   BR</v>
      </c>
      <c r="B12662" t="str">
        <f>T("   Brésil")</f>
        <v xml:space="preserve">   Brésil</v>
      </c>
      <c r="C12662">
        <v>170282802</v>
      </c>
      <c r="D12662">
        <v>630520</v>
      </c>
    </row>
    <row r="12663" spans="1:4" x14ac:dyDescent="0.25">
      <c r="A12663" t="str">
        <f>T("   CN")</f>
        <v xml:space="preserve">   CN</v>
      </c>
      <c r="B12663" t="str">
        <f>T("   Chine")</f>
        <v xml:space="preserve">   Chine</v>
      </c>
      <c r="C12663">
        <v>701492613</v>
      </c>
      <c r="D12663">
        <v>2350892</v>
      </c>
    </row>
    <row r="12664" spans="1:4" x14ac:dyDescent="0.25">
      <c r="A12664" t="str">
        <f>T("   FR")</f>
        <v xml:space="preserve">   FR</v>
      </c>
      <c r="B12664" t="str">
        <f>T("   France")</f>
        <v xml:space="preserve">   France</v>
      </c>
      <c r="C12664">
        <v>1723703</v>
      </c>
      <c r="D12664">
        <v>71</v>
      </c>
    </row>
    <row r="12665" spans="1:4" x14ac:dyDescent="0.25">
      <c r="A12665" t="str">
        <f>T("   GH")</f>
        <v xml:space="preserve">   GH</v>
      </c>
      <c r="B12665" t="str">
        <f>T("   Ghana")</f>
        <v xml:space="preserve">   Ghana</v>
      </c>
      <c r="C12665">
        <v>48763663</v>
      </c>
      <c r="D12665">
        <v>115700</v>
      </c>
    </row>
    <row r="12666" spans="1:4" x14ac:dyDescent="0.25">
      <c r="A12666" t="str">
        <f>T("   TG")</f>
        <v xml:space="preserve">   TG</v>
      </c>
      <c r="B12666" t="str">
        <f>T("   Togo")</f>
        <v xml:space="preserve">   Togo</v>
      </c>
      <c r="C12666">
        <v>92859004</v>
      </c>
      <c r="D12666">
        <v>415828</v>
      </c>
    </row>
    <row r="12667" spans="1:4" x14ac:dyDescent="0.25">
      <c r="A12667" t="str">
        <f>T("850650")</f>
        <v>850650</v>
      </c>
      <c r="B12667" t="str">
        <f>T("Piles et batteries de piles électriques, au lithium (sauf hors d'usage)")</f>
        <v>Piles et batteries de piles électriques, au lithium (sauf hors d'usage)</v>
      </c>
    </row>
    <row r="12668" spans="1:4" x14ac:dyDescent="0.25">
      <c r="A12668" t="str">
        <f>T("   ZZZ_Monde")</f>
        <v xml:space="preserve">   ZZZ_Monde</v>
      </c>
      <c r="B12668" t="str">
        <f>T("   ZZZ_Monde")</f>
        <v xml:space="preserve">   ZZZ_Monde</v>
      </c>
      <c r="C12668">
        <v>10332096</v>
      </c>
      <c r="D12668">
        <v>1796.5</v>
      </c>
    </row>
    <row r="12669" spans="1:4" x14ac:dyDescent="0.25">
      <c r="A12669" t="str">
        <f>T("   CH")</f>
        <v xml:space="preserve">   CH</v>
      </c>
      <c r="B12669" t="str">
        <f>T("   Suisse")</f>
        <v xml:space="preserve">   Suisse</v>
      </c>
      <c r="C12669">
        <v>4887442</v>
      </c>
      <c r="D12669">
        <v>705</v>
      </c>
    </row>
    <row r="12670" spans="1:4" x14ac:dyDescent="0.25">
      <c r="A12670" t="str">
        <f>T("   CN")</f>
        <v xml:space="preserve">   CN</v>
      </c>
      <c r="B12670" t="str">
        <f>T("   Chine")</f>
        <v xml:space="preserve">   Chine</v>
      </c>
      <c r="C12670">
        <v>3183748</v>
      </c>
      <c r="D12670">
        <v>626</v>
      </c>
    </row>
    <row r="12671" spans="1:4" x14ac:dyDescent="0.25">
      <c r="A12671" t="str">
        <f>T("   FR")</f>
        <v xml:space="preserve">   FR</v>
      </c>
      <c r="B12671" t="str">
        <f>T("   France")</f>
        <v xml:space="preserve">   France</v>
      </c>
      <c r="C12671">
        <v>2103981</v>
      </c>
      <c r="D12671">
        <v>463.5</v>
      </c>
    </row>
    <row r="12672" spans="1:4" x14ac:dyDescent="0.25">
      <c r="A12672" t="str">
        <f>T("   US")</f>
        <v xml:space="preserve">   US</v>
      </c>
      <c r="B12672" t="str">
        <f>T("   Etats-Unis")</f>
        <v xml:space="preserve">   Etats-Unis</v>
      </c>
      <c r="C12672">
        <v>156925</v>
      </c>
      <c r="D12672">
        <v>2</v>
      </c>
    </row>
    <row r="12673" spans="1:4" x14ac:dyDescent="0.25">
      <c r="A12673" t="str">
        <f>T("850660")</f>
        <v>850660</v>
      </c>
      <c r="B12673" t="str">
        <f>T("Piles et batteries de piles électriques, à l'air-zinc (sauf hors d'usage)")</f>
        <v>Piles et batteries de piles électriques, à l'air-zinc (sauf hors d'usage)</v>
      </c>
    </row>
    <row r="12674" spans="1:4" x14ac:dyDescent="0.25">
      <c r="A12674" t="str">
        <f>T("   ZZZ_Monde")</f>
        <v xml:space="preserve">   ZZZ_Monde</v>
      </c>
      <c r="B12674" t="str">
        <f>T("   ZZZ_Monde")</f>
        <v xml:space="preserve">   ZZZ_Monde</v>
      </c>
      <c r="C12674">
        <v>47450000</v>
      </c>
      <c r="D12674">
        <v>289730</v>
      </c>
    </row>
    <row r="12675" spans="1:4" x14ac:dyDescent="0.25">
      <c r="A12675" t="str">
        <f>T("   CN")</f>
        <v xml:space="preserve">   CN</v>
      </c>
      <c r="B12675" t="str">
        <f>T("   Chine")</f>
        <v xml:space="preserve">   Chine</v>
      </c>
      <c r="C12675">
        <v>24900000</v>
      </c>
      <c r="D12675">
        <v>161090</v>
      </c>
    </row>
    <row r="12676" spans="1:4" x14ac:dyDescent="0.25">
      <c r="A12676" t="str">
        <f>T("   TG")</f>
        <v xml:space="preserve">   TG</v>
      </c>
      <c r="B12676" t="str">
        <f>T("   Togo")</f>
        <v xml:space="preserve">   Togo</v>
      </c>
      <c r="C12676">
        <v>22550000</v>
      </c>
      <c r="D12676">
        <v>128640</v>
      </c>
    </row>
    <row r="12677" spans="1:4" x14ac:dyDescent="0.25">
      <c r="A12677" t="str">
        <f>T("850680")</f>
        <v>850680</v>
      </c>
      <c r="B12677" t="str">
        <f>T("Piles et batteries de piles électriques (sauf hors d'usage et autres que piles et batteries à l'oxyde d'argent, de mercure, au bioxyde de manganèse, au lithium et à l'air-zinc)")</f>
        <v>Piles et batteries de piles électriques (sauf hors d'usage et autres que piles et batteries à l'oxyde d'argent, de mercure, au bioxyde de manganèse, au lithium et à l'air-zinc)</v>
      </c>
    </row>
    <row r="12678" spans="1:4" x14ac:dyDescent="0.25">
      <c r="A12678" t="str">
        <f>T("   ZZZ_Monde")</f>
        <v xml:space="preserve">   ZZZ_Monde</v>
      </c>
      <c r="B12678" t="str">
        <f>T("   ZZZ_Monde")</f>
        <v xml:space="preserve">   ZZZ_Monde</v>
      </c>
      <c r="C12678">
        <v>306445974</v>
      </c>
      <c r="D12678">
        <v>1776005</v>
      </c>
    </row>
    <row r="12679" spans="1:4" x14ac:dyDescent="0.25">
      <c r="A12679" t="str">
        <f>T("   CN")</f>
        <v xml:space="preserve">   CN</v>
      </c>
      <c r="B12679" t="str">
        <f>T("   Chine")</f>
        <v xml:space="preserve">   Chine</v>
      </c>
      <c r="C12679">
        <v>164783220</v>
      </c>
      <c r="D12679">
        <v>794497</v>
      </c>
    </row>
    <row r="12680" spans="1:4" x14ac:dyDescent="0.25">
      <c r="A12680" t="str">
        <f>T("   FR")</f>
        <v xml:space="preserve">   FR</v>
      </c>
      <c r="B12680" t="str">
        <f>T("   France")</f>
        <v xml:space="preserve">   France</v>
      </c>
      <c r="C12680">
        <v>7548386</v>
      </c>
      <c r="D12680">
        <v>1861</v>
      </c>
    </row>
    <row r="12681" spans="1:4" x14ac:dyDescent="0.25">
      <c r="A12681" t="str">
        <f>T("   GB")</f>
        <v xml:space="preserve">   GB</v>
      </c>
      <c r="B12681" t="str">
        <f>T("   Royaume-Uni")</f>
        <v xml:space="preserve">   Royaume-Uni</v>
      </c>
      <c r="C12681">
        <v>878331</v>
      </c>
      <c r="D12681">
        <v>8</v>
      </c>
    </row>
    <row r="12682" spans="1:4" x14ac:dyDescent="0.25">
      <c r="A12682" t="str">
        <f>T("   HK")</f>
        <v xml:space="preserve">   HK</v>
      </c>
      <c r="B12682" t="str">
        <f>T("   Hong-Kong")</f>
        <v xml:space="preserve">   Hong-Kong</v>
      </c>
      <c r="C12682">
        <v>12604709</v>
      </c>
      <c r="D12682">
        <v>54000</v>
      </c>
    </row>
    <row r="12683" spans="1:4" x14ac:dyDescent="0.25">
      <c r="A12683" t="str">
        <f>T("   LB")</f>
        <v xml:space="preserve">   LB</v>
      </c>
      <c r="B12683" t="str">
        <f>T("   Liban")</f>
        <v xml:space="preserve">   Liban</v>
      </c>
      <c r="C12683">
        <v>260204</v>
      </c>
      <c r="D12683">
        <v>454</v>
      </c>
    </row>
    <row r="12684" spans="1:4" x14ac:dyDescent="0.25">
      <c r="A12684" t="str">
        <f>T("   SE")</f>
        <v xml:space="preserve">   SE</v>
      </c>
      <c r="B12684" t="str">
        <f>T("   Suède")</f>
        <v xml:space="preserve">   Suède</v>
      </c>
      <c r="C12684">
        <v>923228</v>
      </c>
      <c r="D12684">
        <v>54</v>
      </c>
    </row>
    <row r="12685" spans="1:4" x14ac:dyDescent="0.25">
      <c r="A12685" t="str">
        <f>T("   TG")</f>
        <v xml:space="preserve">   TG</v>
      </c>
      <c r="B12685" t="str">
        <f>T("   Togo")</f>
        <v xml:space="preserve">   Togo</v>
      </c>
      <c r="C12685">
        <v>119447896</v>
      </c>
      <c r="D12685">
        <v>925131</v>
      </c>
    </row>
    <row r="12686" spans="1:4" x14ac:dyDescent="0.25">
      <c r="A12686" t="str">
        <f>T("850690")</f>
        <v>850690</v>
      </c>
      <c r="B12686" t="str">
        <f>T("Parties de piles et batteries de piles électriques n.d.a.")</f>
        <v>Parties de piles et batteries de piles électriques n.d.a.</v>
      </c>
    </row>
    <row r="12687" spans="1:4" x14ac:dyDescent="0.25">
      <c r="A12687" t="str">
        <f>T("   ZZZ_Monde")</f>
        <v xml:space="preserve">   ZZZ_Monde</v>
      </c>
      <c r="B12687" t="str">
        <f>T("   ZZZ_Monde")</f>
        <v xml:space="preserve">   ZZZ_Monde</v>
      </c>
      <c r="C12687">
        <v>4881600</v>
      </c>
      <c r="D12687">
        <v>8136</v>
      </c>
    </row>
    <row r="12688" spans="1:4" x14ac:dyDescent="0.25">
      <c r="A12688" t="str">
        <f>T("   NG")</f>
        <v xml:space="preserve">   NG</v>
      </c>
      <c r="B12688" t="str">
        <f>T("   Nigéria")</f>
        <v xml:space="preserve">   Nigéria</v>
      </c>
      <c r="C12688">
        <v>4881600</v>
      </c>
      <c r="D12688">
        <v>8136</v>
      </c>
    </row>
    <row r="12689" spans="1:4" x14ac:dyDescent="0.25">
      <c r="A12689" t="str">
        <f>T("850710")</f>
        <v>850710</v>
      </c>
      <c r="B12689" t="str">
        <f>T("Accumulateurs au plomb, pour le démarrage des moteurs à piston (sauf hors d'usage)")</f>
        <v>Accumulateurs au plomb, pour le démarrage des moteurs à piston (sauf hors d'usage)</v>
      </c>
    </row>
    <row r="12690" spans="1:4" x14ac:dyDescent="0.25">
      <c r="A12690" t="str">
        <f>T("   ZZZ_Monde")</f>
        <v xml:space="preserve">   ZZZ_Monde</v>
      </c>
      <c r="B12690" t="str">
        <f>T("   ZZZ_Monde")</f>
        <v xml:space="preserve">   ZZZ_Monde</v>
      </c>
      <c r="C12690">
        <v>221570400</v>
      </c>
      <c r="D12690">
        <v>393843</v>
      </c>
    </row>
    <row r="12691" spans="1:4" x14ac:dyDescent="0.25">
      <c r="A12691" t="str">
        <f>T("   AE")</f>
        <v xml:space="preserve">   AE</v>
      </c>
      <c r="B12691" t="str">
        <f>T("   Emirats Arabes Unis")</f>
        <v xml:space="preserve">   Emirats Arabes Unis</v>
      </c>
      <c r="C12691">
        <v>2966219</v>
      </c>
      <c r="D12691">
        <v>6500</v>
      </c>
    </row>
    <row r="12692" spans="1:4" x14ac:dyDescent="0.25">
      <c r="A12692" t="str">
        <f>T("   BE")</f>
        <v xml:space="preserve">   BE</v>
      </c>
      <c r="B12692" t="str">
        <f>T("   Belgique")</f>
        <v xml:space="preserve">   Belgique</v>
      </c>
      <c r="C12692">
        <v>107912</v>
      </c>
      <c r="D12692">
        <v>450</v>
      </c>
    </row>
    <row r="12693" spans="1:4" x14ac:dyDescent="0.25">
      <c r="A12693" t="str">
        <f>T("   CN")</f>
        <v xml:space="preserve">   CN</v>
      </c>
      <c r="B12693" t="str">
        <f>T("   Chine")</f>
        <v xml:space="preserve">   Chine</v>
      </c>
      <c r="C12693">
        <v>47994070</v>
      </c>
      <c r="D12693">
        <v>218987</v>
      </c>
    </row>
    <row r="12694" spans="1:4" x14ac:dyDescent="0.25">
      <c r="A12694" t="str">
        <f>T("   FR")</f>
        <v xml:space="preserve">   FR</v>
      </c>
      <c r="B12694" t="str">
        <f>T("   France")</f>
        <v xml:space="preserve">   France</v>
      </c>
      <c r="C12694">
        <v>111796619</v>
      </c>
      <c r="D12694">
        <v>59032</v>
      </c>
    </row>
    <row r="12695" spans="1:4" x14ac:dyDescent="0.25">
      <c r="A12695" t="str">
        <f>T("   IT")</f>
        <v xml:space="preserve">   IT</v>
      </c>
      <c r="B12695" t="str">
        <f>T("   Italie")</f>
        <v xml:space="preserve">   Italie</v>
      </c>
      <c r="C12695">
        <v>116505</v>
      </c>
      <c r="D12695">
        <v>4</v>
      </c>
    </row>
    <row r="12696" spans="1:4" x14ac:dyDescent="0.25">
      <c r="A12696" t="str">
        <f>T("   NG")</f>
        <v xml:space="preserve">   NG</v>
      </c>
      <c r="B12696" t="str">
        <f>T("   Nigéria")</f>
        <v xml:space="preserve">   Nigéria</v>
      </c>
      <c r="C12696">
        <v>49052350</v>
      </c>
      <c r="D12696">
        <v>76000</v>
      </c>
    </row>
    <row r="12697" spans="1:4" x14ac:dyDescent="0.25">
      <c r="A12697" t="str">
        <f>T("   TG")</f>
        <v xml:space="preserve">   TG</v>
      </c>
      <c r="B12697" t="str">
        <f>T("   Togo")</f>
        <v xml:space="preserve">   Togo</v>
      </c>
      <c r="C12697">
        <v>3234725</v>
      </c>
      <c r="D12697">
        <v>12618</v>
      </c>
    </row>
    <row r="12698" spans="1:4" x14ac:dyDescent="0.25">
      <c r="A12698" t="str">
        <f>T("   TN")</f>
        <v xml:space="preserve">   TN</v>
      </c>
      <c r="B12698" t="str">
        <f>T("   Tunisie")</f>
        <v xml:space="preserve">   Tunisie</v>
      </c>
      <c r="C12698">
        <v>6302000</v>
      </c>
      <c r="D12698">
        <v>20252</v>
      </c>
    </row>
    <row r="12699" spans="1:4" x14ac:dyDescent="0.25">
      <c r="A12699" t="str">
        <f>T("850720")</f>
        <v>850720</v>
      </c>
      <c r="B12699" t="str">
        <f>T("Accumulateurs au plomb (sauf hors d'usage et autres que pour le démarrage des moteurs à piston)")</f>
        <v>Accumulateurs au plomb (sauf hors d'usage et autres que pour le démarrage des moteurs à piston)</v>
      </c>
    </row>
    <row r="12700" spans="1:4" x14ac:dyDescent="0.25">
      <c r="A12700" t="str">
        <f>T("   ZZZ_Monde")</f>
        <v xml:space="preserve">   ZZZ_Monde</v>
      </c>
      <c r="B12700" t="str">
        <f>T("   ZZZ_Monde")</f>
        <v xml:space="preserve">   ZZZ_Monde</v>
      </c>
      <c r="C12700">
        <v>58160034</v>
      </c>
      <c r="D12700">
        <v>84627</v>
      </c>
    </row>
    <row r="12701" spans="1:4" x14ac:dyDescent="0.25">
      <c r="A12701" t="str">
        <f>T("   CN")</f>
        <v xml:space="preserve">   CN</v>
      </c>
      <c r="B12701" t="str">
        <f>T("   Chine")</f>
        <v xml:space="preserve">   Chine</v>
      </c>
      <c r="C12701">
        <v>4332944</v>
      </c>
      <c r="D12701">
        <v>24500</v>
      </c>
    </row>
    <row r="12702" spans="1:4" x14ac:dyDescent="0.25">
      <c r="A12702" t="str">
        <f>T("   FR")</f>
        <v xml:space="preserve">   FR</v>
      </c>
      <c r="B12702" t="str">
        <f>T("   France")</f>
        <v xml:space="preserve">   France</v>
      </c>
      <c r="C12702">
        <v>38719225</v>
      </c>
      <c r="D12702">
        <v>7675</v>
      </c>
    </row>
    <row r="12703" spans="1:4" x14ac:dyDescent="0.25">
      <c r="A12703" t="str">
        <f>T("   TG")</f>
        <v xml:space="preserve">   TG</v>
      </c>
      <c r="B12703" t="str">
        <f>T("   Togo")</f>
        <v xml:space="preserve">   Togo</v>
      </c>
      <c r="C12703">
        <v>137865</v>
      </c>
      <c r="D12703">
        <v>300</v>
      </c>
    </row>
    <row r="12704" spans="1:4" x14ac:dyDescent="0.25">
      <c r="A12704" t="str">
        <f>T("   TN")</f>
        <v xml:space="preserve">   TN</v>
      </c>
      <c r="B12704" t="str">
        <f>T("   Tunisie")</f>
        <v xml:space="preserve">   Tunisie</v>
      </c>
      <c r="C12704">
        <v>14970000</v>
      </c>
      <c r="D12704">
        <v>52152</v>
      </c>
    </row>
    <row r="12705" spans="1:4" x14ac:dyDescent="0.25">
      <c r="A12705" t="str">
        <f>T("850730")</f>
        <v>850730</v>
      </c>
      <c r="B12705" t="str">
        <f>T("Accumulateurs au nickel-cadmium (sauf hors d'usage)")</f>
        <v>Accumulateurs au nickel-cadmium (sauf hors d'usage)</v>
      </c>
    </row>
    <row r="12706" spans="1:4" x14ac:dyDescent="0.25">
      <c r="A12706" t="str">
        <f>T("   ZZZ_Monde")</f>
        <v xml:space="preserve">   ZZZ_Monde</v>
      </c>
      <c r="B12706" t="str">
        <f>T("   ZZZ_Monde")</f>
        <v xml:space="preserve">   ZZZ_Monde</v>
      </c>
      <c r="C12706">
        <v>14423346</v>
      </c>
      <c r="D12706">
        <v>38610</v>
      </c>
    </row>
    <row r="12707" spans="1:4" x14ac:dyDescent="0.25">
      <c r="A12707" t="str">
        <f>T("   CN")</f>
        <v xml:space="preserve">   CN</v>
      </c>
      <c r="B12707" t="str">
        <f>T("   Chine")</f>
        <v xml:space="preserve">   Chine</v>
      </c>
      <c r="C12707">
        <v>14423346</v>
      </c>
      <c r="D12707">
        <v>38610</v>
      </c>
    </row>
    <row r="12708" spans="1:4" x14ac:dyDescent="0.25">
      <c r="A12708" t="str">
        <f>T("850780")</f>
        <v>850780</v>
      </c>
      <c r="B12708" t="str">
        <f>T("Accumulateurs électriques (sauf hors d'usage et autres qu'au plomb, au nickel-cadmium ou au nickel-fer)")</f>
        <v>Accumulateurs électriques (sauf hors d'usage et autres qu'au plomb, au nickel-cadmium ou au nickel-fer)</v>
      </c>
    </row>
    <row r="12709" spans="1:4" x14ac:dyDescent="0.25">
      <c r="A12709" t="str">
        <f>T("   ZZZ_Monde")</f>
        <v xml:space="preserve">   ZZZ_Monde</v>
      </c>
      <c r="B12709" t="str">
        <f>T("   ZZZ_Monde")</f>
        <v xml:space="preserve">   ZZZ_Monde</v>
      </c>
      <c r="C12709">
        <v>341203040</v>
      </c>
      <c r="D12709">
        <v>190995</v>
      </c>
    </row>
    <row r="12710" spans="1:4" x14ac:dyDescent="0.25">
      <c r="A12710" t="str">
        <f>T("   AE")</f>
        <v xml:space="preserve">   AE</v>
      </c>
      <c r="B12710" t="str">
        <f>T("   Emirats Arabes Unis")</f>
        <v xml:space="preserve">   Emirats Arabes Unis</v>
      </c>
      <c r="C12710">
        <v>2283592</v>
      </c>
      <c r="D12710">
        <v>7000</v>
      </c>
    </row>
    <row r="12711" spans="1:4" x14ac:dyDescent="0.25">
      <c r="A12711" t="str">
        <f>T("   BE")</f>
        <v xml:space="preserve">   BE</v>
      </c>
      <c r="B12711" t="str">
        <f>T("   Belgique")</f>
        <v xml:space="preserve">   Belgique</v>
      </c>
      <c r="C12711">
        <v>3419624</v>
      </c>
      <c r="D12711">
        <v>3300</v>
      </c>
    </row>
    <row r="12712" spans="1:4" x14ac:dyDescent="0.25">
      <c r="A12712" t="str">
        <f>T("   CN")</f>
        <v xml:space="preserve">   CN</v>
      </c>
      <c r="B12712" t="str">
        <f>T("   Chine")</f>
        <v xml:space="preserve">   Chine</v>
      </c>
      <c r="C12712">
        <v>86650206</v>
      </c>
      <c r="D12712">
        <v>35871</v>
      </c>
    </row>
    <row r="12713" spans="1:4" x14ac:dyDescent="0.25">
      <c r="A12713" t="str">
        <f>T("   DE")</f>
        <v xml:space="preserve">   DE</v>
      </c>
      <c r="B12713" t="str">
        <f>T("   Allemagne")</f>
        <v xml:space="preserve">   Allemagne</v>
      </c>
      <c r="C12713">
        <v>6692085</v>
      </c>
      <c r="D12713">
        <v>601</v>
      </c>
    </row>
    <row r="12714" spans="1:4" x14ac:dyDescent="0.25">
      <c r="A12714" t="str">
        <f>T("   FR")</f>
        <v xml:space="preserve">   FR</v>
      </c>
      <c r="B12714" t="str">
        <f>T("   France")</f>
        <v xml:space="preserve">   France</v>
      </c>
      <c r="C12714">
        <v>163462335</v>
      </c>
      <c r="D12714">
        <v>46732</v>
      </c>
    </row>
    <row r="12715" spans="1:4" x14ac:dyDescent="0.25">
      <c r="A12715" t="str">
        <f>T("   GB")</f>
        <v xml:space="preserve">   GB</v>
      </c>
      <c r="B12715" t="str">
        <f>T("   Royaume-Uni")</f>
        <v xml:space="preserve">   Royaume-Uni</v>
      </c>
      <c r="C12715">
        <v>144311</v>
      </c>
      <c r="D12715">
        <v>175</v>
      </c>
    </row>
    <row r="12716" spans="1:4" x14ac:dyDescent="0.25">
      <c r="A12716" t="str">
        <f>T("   ID")</f>
        <v xml:space="preserve">   ID</v>
      </c>
      <c r="B12716" t="str">
        <f>T("   Indonésie")</f>
        <v xml:space="preserve">   Indonésie</v>
      </c>
      <c r="C12716">
        <v>6305003</v>
      </c>
      <c r="D12716">
        <v>21565</v>
      </c>
    </row>
    <row r="12717" spans="1:4" x14ac:dyDescent="0.25">
      <c r="A12717" t="str">
        <f>T("   IT")</f>
        <v xml:space="preserve">   IT</v>
      </c>
      <c r="B12717" t="str">
        <f>T("   Italie")</f>
        <v xml:space="preserve">   Italie</v>
      </c>
      <c r="C12717">
        <v>6524834</v>
      </c>
      <c r="D12717">
        <v>11044</v>
      </c>
    </row>
    <row r="12718" spans="1:4" x14ac:dyDescent="0.25">
      <c r="A12718" t="str">
        <f>T("   KR")</f>
        <v xml:space="preserve">   KR</v>
      </c>
      <c r="B12718" t="str">
        <f>T("   Corée, République de")</f>
        <v xml:space="preserve">   Corée, République de</v>
      </c>
      <c r="C12718">
        <v>7878117</v>
      </c>
      <c r="D12718">
        <v>17800</v>
      </c>
    </row>
    <row r="12719" spans="1:4" x14ac:dyDescent="0.25">
      <c r="A12719" t="str">
        <f>T("   MA")</f>
        <v xml:space="preserve">   MA</v>
      </c>
      <c r="B12719" t="str">
        <f>T("   Maroc")</f>
        <v xml:space="preserve">   Maroc</v>
      </c>
      <c r="C12719">
        <v>1788147</v>
      </c>
      <c r="D12719">
        <v>1471</v>
      </c>
    </row>
    <row r="12720" spans="1:4" x14ac:dyDescent="0.25">
      <c r="A12720" t="str">
        <f>T("   NG")</f>
        <v xml:space="preserve">   NG</v>
      </c>
      <c r="B12720" t="str">
        <f>T("   Nigéria")</f>
        <v xml:space="preserve">   Nigéria</v>
      </c>
      <c r="C12720">
        <v>994500</v>
      </c>
      <c r="D12720">
        <v>4010</v>
      </c>
    </row>
    <row r="12721" spans="1:4" x14ac:dyDescent="0.25">
      <c r="A12721" t="str">
        <f>T("   NL")</f>
        <v xml:space="preserve">   NL</v>
      </c>
      <c r="B12721" t="str">
        <f>T("   Pays-bas")</f>
        <v xml:space="preserve">   Pays-bas</v>
      </c>
      <c r="C12721">
        <v>48384438</v>
      </c>
      <c r="D12721">
        <v>21224</v>
      </c>
    </row>
    <row r="12722" spans="1:4" x14ac:dyDescent="0.25">
      <c r="A12722" t="str">
        <f>T("   NO")</f>
        <v xml:space="preserve">   NO</v>
      </c>
      <c r="B12722" t="str">
        <f>T("   Norvège")</f>
        <v xml:space="preserve">   Norvège</v>
      </c>
      <c r="C12722">
        <v>90155</v>
      </c>
      <c r="D12722">
        <v>2</v>
      </c>
    </row>
    <row r="12723" spans="1:4" x14ac:dyDescent="0.25">
      <c r="A12723" t="str">
        <f>T("   PK")</f>
        <v xml:space="preserve">   PK</v>
      </c>
      <c r="B12723" t="str">
        <f>T("   Pakistan")</f>
        <v xml:space="preserve">   Pakistan</v>
      </c>
      <c r="C12723">
        <v>285693</v>
      </c>
      <c r="D12723">
        <v>198</v>
      </c>
    </row>
    <row r="12724" spans="1:4" x14ac:dyDescent="0.25">
      <c r="A12724" t="str">
        <f>T("   TN")</f>
        <v xml:space="preserve">   TN</v>
      </c>
      <c r="B12724" t="str">
        <f>T("   Tunisie")</f>
        <v xml:space="preserve">   Tunisie</v>
      </c>
      <c r="C12724">
        <v>6300000</v>
      </c>
      <c r="D12724">
        <v>20002</v>
      </c>
    </row>
    <row r="12725" spans="1:4" x14ac:dyDescent="0.25">
      <c r="A12725" t="str">
        <f>T("850790")</f>
        <v>850790</v>
      </c>
      <c r="B12725" t="str">
        <f>T("Plaques, séparateurs et autres parties d'accumulateurs électriques n.d.a.")</f>
        <v>Plaques, séparateurs et autres parties d'accumulateurs électriques n.d.a.</v>
      </c>
    </row>
    <row r="12726" spans="1:4" x14ac:dyDescent="0.25">
      <c r="A12726" t="str">
        <f>T("   ZZZ_Monde")</f>
        <v xml:space="preserve">   ZZZ_Monde</v>
      </c>
      <c r="B12726" t="str">
        <f>T("   ZZZ_Monde")</f>
        <v xml:space="preserve">   ZZZ_Monde</v>
      </c>
      <c r="C12726">
        <v>6162955</v>
      </c>
      <c r="D12726">
        <v>27882</v>
      </c>
    </row>
    <row r="12727" spans="1:4" x14ac:dyDescent="0.25">
      <c r="A12727" t="str">
        <f>T("   DE")</f>
        <v xml:space="preserve">   DE</v>
      </c>
      <c r="B12727" t="str">
        <f>T("   Allemagne")</f>
        <v xml:space="preserve">   Allemagne</v>
      </c>
      <c r="C12727">
        <v>125308</v>
      </c>
      <c r="D12727">
        <v>1</v>
      </c>
    </row>
    <row r="12728" spans="1:4" x14ac:dyDescent="0.25">
      <c r="A12728" t="str">
        <f>T("   FR")</f>
        <v xml:space="preserve">   FR</v>
      </c>
      <c r="B12728" t="str">
        <f>T("   France")</f>
        <v xml:space="preserve">   France</v>
      </c>
      <c r="C12728">
        <v>797647</v>
      </c>
      <c r="D12728">
        <v>161</v>
      </c>
    </row>
    <row r="12729" spans="1:4" x14ac:dyDescent="0.25">
      <c r="A12729" t="str">
        <f>T("   Z2")</f>
        <v xml:space="preserve">   Z2</v>
      </c>
      <c r="B12729" t="str">
        <f>T("   Pays non défini")</f>
        <v xml:space="preserve">   Pays non défini</v>
      </c>
      <c r="C12729">
        <v>5240000</v>
      </c>
      <c r="D12729">
        <v>27720</v>
      </c>
    </row>
    <row r="12730" spans="1:4" x14ac:dyDescent="0.25">
      <c r="A12730" t="str">
        <f>T("850910")</f>
        <v>850910</v>
      </c>
      <c r="B12730" t="str">
        <f>T("Aspirateurs de poussières, y.c. les aspirateurs de matières sèches et de matières liquides, à moteur électrique incorporé, à usage domestique")</f>
        <v>Aspirateurs de poussières, y.c. les aspirateurs de matières sèches et de matières liquides, à moteur électrique incorporé, à usage domestique</v>
      </c>
    </row>
    <row r="12731" spans="1:4" x14ac:dyDescent="0.25">
      <c r="A12731" t="str">
        <f>T("   ZZZ_Monde")</f>
        <v xml:space="preserve">   ZZZ_Monde</v>
      </c>
      <c r="B12731" t="str">
        <f>T("   ZZZ_Monde")</f>
        <v xml:space="preserve">   ZZZ_Monde</v>
      </c>
      <c r="C12731">
        <v>23521373</v>
      </c>
      <c r="D12731">
        <v>6827.92</v>
      </c>
    </row>
    <row r="12732" spans="1:4" x14ac:dyDescent="0.25">
      <c r="A12732" t="str">
        <f>T("   BE")</f>
        <v xml:space="preserve">   BE</v>
      </c>
      <c r="B12732" t="str">
        <f>T("   Belgique")</f>
        <v xml:space="preserve">   Belgique</v>
      </c>
      <c r="C12732">
        <v>19896</v>
      </c>
      <c r="D12732">
        <v>49</v>
      </c>
    </row>
    <row r="12733" spans="1:4" x14ac:dyDescent="0.25">
      <c r="A12733" t="str">
        <f>T("   CN")</f>
        <v xml:space="preserve">   CN</v>
      </c>
      <c r="B12733" t="str">
        <f>T("   Chine")</f>
        <v xml:space="preserve">   Chine</v>
      </c>
      <c r="C12733">
        <v>154985</v>
      </c>
      <c r="D12733">
        <v>236</v>
      </c>
    </row>
    <row r="12734" spans="1:4" x14ac:dyDescent="0.25">
      <c r="A12734" t="str">
        <f>T("   DK")</f>
        <v xml:space="preserve">   DK</v>
      </c>
      <c r="B12734" t="str">
        <f>T("   Danemark")</f>
        <v xml:space="preserve">   Danemark</v>
      </c>
      <c r="C12734">
        <v>1020018</v>
      </c>
      <c r="D12734">
        <v>65</v>
      </c>
    </row>
    <row r="12735" spans="1:4" x14ac:dyDescent="0.25">
      <c r="A12735" t="str">
        <f>T("   ES")</f>
        <v xml:space="preserve">   ES</v>
      </c>
      <c r="B12735" t="str">
        <f>T("   Espagne")</f>
        <v xml:space="preserve">   Espagne</v>
      </c>
      <c r="C12735">
        <v>8305766</v>
      </c>
      <c r="D12735">
        <v>2827</v>
      </c>
    </row>
    <row r="12736" spans="1:4" x14ac:dyDescent="0.25">
      <c r="A12736" t="str">
        <f>T("   FR")</f>
        <v xml:space="preserve">   FR</v>
      </c>
      <c r="B12736" t="str">
        <f>T("   France")</f>
        <v xml:space="preserve">   France</v>
      </c>
      <c r="C12736">
        <v>12255846</v>
      </c>
      <c r="D12736">
        <v>2737.92</v>
      </c>
    </row>
    <row r="12737" spans="1:4" x14ac:dyDescent="0.25">
      <c r="A12737" t="str">
        <f>T("   NL")</f>
        <v xml:space="preserve">   NL</v>
      </c>
      <c r="B12737" t="str">
        <f>T("   Pays-bas")</f>
        <v xml:space="preserve">   Pays-bas</v>
      </c>
      <c r="C12737">
        <v>80000</v>
      </c>
      <c r="D12737">
        <v>75</v>
      </c>
    </row>
    <row r="12738" spans="1:4" x14ac:dyDescent="0.25">
      <c r="A12738" t="str">
        <f>T("   NO")</f>
        <v xml:space="preserve">   NO</v>
      </c>
      <c r="B12738" t="str">
        <f>T("   Norvège")</f>
        <v xml:space="preserve">   Norvège</v>
      </c>
      <c r="C12738">
        <v>998279</v>
      </c>
      <c r="D12738">
        <v>18</v>
      </c>
    </row>
    <row r="12739" spans="1:4" x14ac:dyDescent="0.25">
      <c r="A12739" t="str">
        <f>T("   SG")</f>
        <v xml:space="preserve">   SG</v>
      </c>
      <c r="B12739" t="str">
        <f>T("   Singapour")</f>
        <v xml:space="preserve">   Singapour</v>
      </c>
      <c r="C12739">
        <v>77353</v>
      </c>
      <c r="D12739">
        <v>20</v>
      </c>
    </row>
    <row r="12740" spans="1:4" x14ac:dyDescent="0.25">
      <c r="A12740" t="str">
        <f>T("   TG")</f>
        <v xml:space="preserve">   TG</v>
      </c>
      <c r="B12740" t="str">
        <f>T("   Togo")</f>
        <v xml:space="preserve">   Togo</v>
      </c>
      <c r="C12740">
        <v>609230</v>
      </c>
      <c r="D12740">
        <v>800</v>
      </c>
    </row>
    <row r="12741" spans="1:4" x14ac:dyDescent="0.25">
      <c r="A12741" t="str">
        <f>T("850940")</f>
        <v>850940</v>
      </c>
      <c r="B12741" t="str">
        <f>T("Broyeurs et mélangeurs pour aliments; presse-fruits et presse-légumes à moteur électrique incorporé, à usage domestique")</f>
        <v>Broyeurs et mélangeurs pour aliments; presse-fruits et presse-légumes à moteur électrique incorporé, à usage domestique</v>
      </c>
    </row>
    <row r="12742" spans="1:4" x14ac:dyDescent="0.25">
      <c r="A12742" t="str">
        <f>T("   ZZZ_Monde")</f>
        <v xml:space="preserve">   ZZZ_Monde</v>
      </c>
      <c r="B12742" t="str">
        <f>T("   ZZZ_Monde")</f>
        <v xml:space="preserve">   ZZZ_Monde</v>
      </c>
      <c r="C12742">
        <v>41298021</v>
      </c>
      <c r="D12742">
        <v>32035</v>
      </c>
    </row>
    <row r="12743" spans="1:4" x14ac:dyDescent="0.25">
      <c r="A12743" t="str">
        <f>T("   AE")</f>
        <v xml:space="preserve">   AE</v>
      </c>
      <c r="B12743" t="str">
        <f>T("   Emirats Arabes Unis")</f>
        <v xml:space="preserve">   Emirats Arabes Unis</v>
      </c>
      <c r="C12743">
        <v>146796</v>
      </c>
      <c r="D12743">
        <v>434</v>
      </c>
    </row>
    <row r="12744" spans="1:4" x14ac:dyDescent="0.25">
      <c r="A12744" t="str">
        <f>T("   BE")</f>
        <v xml:space="preserve">   BE</v>
      </c>
      <c r="B12744" t="str">
        <f>T("   Belgique")</f>
        <v xml:space="preserve">   Belgique</v>
      </c>
      <c r="C12744">
        <v>19896</v>
      </c>
      <c r="D12744">
        <v>49</v>
      </c>
    </row>
    <row r="12745" spans="1:4" x14ac:dyDescent="0.25">
      <c r="A12745" t="str">
        <f>T("   CN")</f>
        <v xml:space="preserve">   CN</v>
      </c>
      <c r="B12745" t="str">
        <f>T("   Chine")</f>
        <v xml:space="preserve">   Chine</v>
      </c>
      <c r="C12745">
        <v>13729270</v>
      </c>
      <c r="D12745">
        <v>12392</v>
      </c>
    </row>
    <row r="12746" spans="1:4" x14ac:dyDescent="0.25">
      <c r="A12746" t="str">
        <f>T("   DE")</f>
        <v xml:space="preserve">   DE</v>
      </c>
      <c r="B12746" t="str">
        <f>T("   Allemagne")</f>
        <v xml:space="preserve">   Allemagne</v>
      </c>
      <c r="C12746">
        <v>53133</v>
      </c>
      <c r="D12746">
        <v>50</v>
      </c>
    </row>
    <row r="12747" spans="1:4" x14ac:dyDescent="0.25">
      <c r="A12747" t="str">
        <f>T("   FR")</f>
        <v xml:space="preserve">   FR</v>
      </c>
      <c r="B12747" t="str">
        <f>T("   France")</f>
        <v xml:space="preserve">   France</v>
      </c>
      <c r="C12747">
        <v>11575173</v>
      </c>
      <c r="D12747">
        <v>3146</v>
      </c>
    </row>
    <row r="12748" spans="1:4" x14ac:dyDescent="0.25">
      <c r="A12748" t="str">
        <f>T("   GB")</f>
        <v xml:space="preserve">   GB</v>
      </c>
      <c r="B12748" t="str">
        <f>T("   Royaume-Uni")</f>
        <v xml:space="preserve">   Royaume-Uni</v>
      </c>
      <c r="C12748">
        <v>9075978</v>
      </c>
      <c r="D12748">
        <v>10771</v>
      </c>
    </row>
    <row r="12749" spans="1:4" x14ac:dyDescent="0.25">
      <c r="A12749" t="str">
        <f>T("   GH")</f>
        <v xml:space="preserve">   GH</v>
      </c>
      <c r="B12749" t="str">
        <f>T("   Ghana")</f>
        <v xml:space="preserve">   Ghana</v>
      </c>
      <c r="C12749">
        <v>2110641</v>
      </c>
      <c r="D12749">
        <v>1234</v>
      </c>
    </row>
    <row r="12750" spans="1:4" x14ac:dyDescent="0.25">
      <c r="A12750" t="str">
        <f>T("   HK")</f>
        <v xml:space="preserve">   HK</v>
      </c>
      <c r="B12750" t="str">
        <f>T("   Hong-Kong")</f>
        <v xml:space="preserve">   Hong-Kong</v>
      </c>
      <c r="C12750">
        <v>374022</v>
      </c>
      <c r="D12750">
        <v>103</v>
      </c>
    </row>
    <row r="12751" spans="1:4" x14ac:dyDescent="0.25">
      <c r="A12751" t="str">
        <f>T("   LB")</f>
        <v xml:space="preserve">   LB</v>
      </c>
      <c r="B12751" t="str">
        <f>T("   Liban")</f>
        <v xml:space="preserve">   Liban</v>
      </c>
      <c r="C12751">
        <v>1516580</v>
      </c>
      <c r="D12751">
        <v>2081</v>
      </c>
    </row>
    <row r="12752" spans="1:4" x14ac:dyDescent="0.25">
      <c r="A12752" t="str">
        <f>T("   SG")</f>
        <v xml:space="preserve">   SG</v>
      </c>
      <c r="B12752" t="str">
        <f>T("   Singapour")</f>
        <v xml:space="preserve">   Singapour</v>
      </c>
      <c r="C12752">
        <v>2696532</v>
      </c>
      <c r="D12752">
        <v>1775</v>
      </c>
    </row>
    <row r="12753" spans="1:4" x14ac:dyDescent="0.25">
      <c r="A12753" t="str">
        <f>T("850980")</f>
        <v>850980</v>
      </c>
      <c r="B12753" t="str">
        <f>T("Appareils électromécaniques à moteur électrique incorporé, à usage domestique (autres qu'aspirateurs de poussières, des aspirateurs de matières sèches et de matières liquides, cireuses à parquets, broyeurs pour déchets de cuisine, broyeurs et mélangeurs p")</f>
        <v>Appareils électromécaniques à moteur électrique incorporé, à usage domestique (autres qu'aspirateurs de poussières, des aspirateurs de matières sèches et de matières liquides, cireuses à parquets, broyeurs pour déchets de cuisine, broyeurs et mélangeurs p</v>
      </c>
    </row>
    <row r="12754" spans="1:4" x14ac:dyDescent="0.25">
      <c r="A12754" t="str">
        <f>T("   ZZZ_Monde")</f>
        <v xml:space="preserve">   ZZZ_Monde</v>
      </c>
      <c r="B12754" t="str">
        <f>T("   ZZZ_Monde")</f>
        <v xml:space="preserve">   ZZZ_Monde</v>
      </c>
      <c r="C12754">
        <v>98107697</v>
      </c>
      <c r="D12754">
        <v>66504</v>
      </c>
    </row>
    <row r="12755" spans="1:4" x14ac:dyDescent="0.25">
      <c r="A12755" t="str">
        <f>T("   BE")</f>
        <v xml:space="preserve">   BE</v>
      </c>
      <c r="B12755" t="str">
        <f>T("   Belgique")</f>
        <v xml:space="preserve">   Belgique</v>
      </c>
      <c r="C12755">
        <v>16992342</v>
      </c>
      <c r="D12755">
        <v>27164</v>
      </c>
    </row>
    <row r="12756" spans="1:4" x14ac:dyDescent="0.25">
      <c r="A12756" t="str">
        <f>T("   CN")</f>
        <v xml:space="preserve">   CN</v>
      </c>
      <c r="B12756" t="str">
        <f>T("   Chine")</f>
        <v xml:space="preserve">   Chine</v>
      </c>
      <c r="C12756">
        <v>12021752</v>
      </c>
      <c r="D12756">
        <v>10895</v>
      </c>
    </row>
    <row r="12757" spans="1:4" x14ac:dyDescent="0.25">
      <c r="A12757" t="str">
        <f>T("   DE")</f>
        <v xml:space="preserve">   DE</v>
      </c>
      <c r="B12757" t="str">
        <f>T("   Allemagne")</f>
        <v xml:space="preserve">   Allemagne</v>
      </c>
      <c r="C12757">
        <v>955713</v>
      </c>
      <c r="D12757">
        <v>1907</v>
      </c>
    </row>
    <row r="12758" spans="1:4" x14ac:dyDescent="0.25">
      <c r="A12758" t="str">
        <f>T("   ES")</f>
        <v xml:space="preserve">   ES</v>
      </c>
      <c r="B12758" t="str">
        <f>T("   Espagne")</f>
        <v xml:space="preserve">   Espagne</v>
      </c>
      <c r="C12758">
        <v>1018705</v>
      </c>
      <c r="D12758">
        <v>916</v>
      </c>
    </row>
    <row r="12759" spans="1:4" x14ac:dyDescent="0.25">
      <c r="A12759" t="str">
        <f>T("   FR")</f>
        <v xml:space="preserve">   FR</v>
      </c>
      <c r="B12759" t="str">
        <f>T("   France")</f>
        <v xml:space="preserve">   France</v>
      </c>
      <c r="C12759">
        <v>65660873</v>
      </c>
      <c r="D12759">
        <v>23153</v>
      </c>
    </row>
    <row r="12760" spans="1:4" x14ac:dyDescent="0.25">
      <c r="A12760" t="str">
        <f>T("   IT")</f>
        <v xml:space="preserve">   IT</v>
      </c>
      <c r="B12760" t="str">
        <f>T("   Italie")</f>
        <v xml:space="preserve">   Italie</v>
      </c>
      <c r="C12760">
        <v>1063000</v>
      </c>
      <c r="D12760">
        <v>1830</v>
      </c>
    </row>
    <row r="12761" spans="1:4" x14ac:dyDescent="0.25">
      <c r="A12761" t="str">
        <f>T("   LB")</f>
        <v xml:space="preserve">   LB</v>
      </c>
      <c r="B12761" t="str">
        <f>T("   Liban")</f>
        <v xml:space="preserve">   Liban</v>
      </c>
      <c r="C12761">
        <v>288741</v>
      </c>
      <c r="D12761">
        <v>399</v>
      </c>
    </row>
    <row r="12762" spans="1:4" x14ac:dyDescent="0.25">
      <c r="A12762" t="str">
        <f>T("   US")</f>
        <v xml:space="preserve">   US</v>
      </c>
      <c r="B12762" t="str">
        <f>T("   Etats-Unis")</f>
        <v xml:space="preserve">   Etats-Unis</v>
      </c>
      <c r="C12762">
        <v>106571</v>
      </c>
      <c r="D12762">
        <v>240</v>
      </c>
    </row>
    <row r="12763" spans="1:4" x14ac:dyDescent="0.25">
      <c r="A12763" t="str">
        <f>T("850990")</f>
        <v>850990</v>
      </c>
      <c r="B12763" t="str">
        <f>T("Parties d'appareils électromécaniques à moteur électrique incorporé, à usage domestique, n.d.a.")</f>
        <v>Parties d'appareils électromécaniques à moteur électrique incorporé, à usage domestique, n.d.a.</v>
      </c>
    </row>
    <row r="12764" spans="1:4" x14ac:dyDescent="0.25">
      <c r="A12764" t="str">
        <f>T("   ZZZ_Monde")</f>
        <v xml:space="preserve">   ZZZ_Monde</v>
      </c>
      <c r="B12764" t="str">
        <f>T("   ZZZ_Monde")</f>
        <v xml:space="preserve">   ZZZ_Monde</v>
      </c>
      <c r="C12764">
        <v>3202061</v>
      </c>
      <c r="D12764">
        <v>318</v>
      </c>
    </row>
    <row r="12765" spans="1:4" x14ac:dyDescent="0.25">
      <c r="A12765" t="str">
        <f>T("   FR")</f>
        <v xml:space="preserve">   FR</v>
      </c>
      <c r="B12765" t="str">
        <f>T("   France")</f>
        <v xml:space="preserve">   France</v>
      </c>
      <c r="C12765">
        <v>3202061</v>
      </c>
      <c r="D12765">
        <v>318</v>
      </c>
    </row>
    <row r="12766" spans="1:4" x14ac:dyDescent="0.25">
      <c r="A12766" t="str">
        <f>T("851020")</f>
        <v>851020</v>
      </c>
      <c r="B12766" t="str">
        <f>T("Tondeuses à moteur électrique incorporé")</f>
        <v>Tondeuses à moteur électrique incorporé</v>
      </c>
    </row>
    <row r="12767" spans="1:4" x14ac:dyDescent="0.25">
      <c r="A12767" t="str">
        <f>T("   ZZZ_Monde")</f>
        <v xml:space="preserve">   ZZZ_Monde</v>
      </c>
      <c r="B12767" t="str">
        <f>T("   ZZZ_Monde")</f>
        <v xml:space="preserve">   ZZZ_Monde</v>
      </c>
      <c r="C12767">
        <v>6215492</v>
      </c>
      <c r="D12767">
        <v>1145</v>
      </c>
    </row>
    <row r="12768" spans="1:4" x14ac:dyDescent="0.25">
      <c r="A12768" t="str">
        <f>T("   FR")</f>
        <v xml:space="preserve">   FR</v>
      </c>
      <c r="B12768" t="str">
        <f>T("   France")</f>
        <v xml:space="preserve">   France</v>
      </c>
      <c r="C12768">
        <v>5634040</v>
      </c>
      <c r="D12768">
        <v>942</v>
      </c>
    </row>
    <row r="12769" spans="1:4" x14ac:dyDescent="0.25">
      <c r="A12769" t="str">
        <f>T("   SG")</f>
        <v xml:space="preserve">   SG</v>
      </c>
      <c r="B12769" t="str">
        <f>T("   Singapour")</f>
        <v xml:space="preserve">   Singapour</v>
      </c>
      <c r="C12769">
        <v>581452</v>
      </c>
      <c r="D12769">
        <v>203</v>
      </c>
    </row>
    <row r="12770" spans="1:4" x14ac:dyDescent="0.25">
      <c r="A12770" t="str">
        <f>T("851110")</f>
        <v>851110</v>
      </c>
      <c r="B12770" t="str">
        <f>T("Bougies d'allumage pour moteurs à allumage par étincelles ou par compression")</f>
        <v>Bougies d'allumage pour moteurs à allumage par étincelles ou par compression</v>
      </c>
    </row>
    <row r="12771" spans="1:4" x14ac:dyDescent="0.25">
      <c r="A12771" t="str">
        <f>T("   ZZZ_Monde")</f>
        <v xml:space="preserve">   ZZZ_Monde</v>
      </c>
      <c r="B12771" t="str">
        <f>T("   ZZZ_Monde")</f>
        <v xml:space="preserve">   ZZZ_Monde</v>
      </c>
      <c r="C12771">
        <v>21167649</v>
      </c>
      <c r="D12771">
        <v>6093.36</v>
      </c>
    </row>
    <row r="12772" spans="1:4" x14ac:dyDescent="0.25">
      <c r="A12772" t="str">
        <f>T("   CH")</f>
        <v xml:space="preserve">   CH</v>
      </c>
      <c r="B12772" t="str">
        <f>T("   Suisse")</f>
        <v xml:space="preserve">   Suisse</v>
      </c>
      <c r="C12772">
        <v>36734</v>
      </c>
      <c r="D12772">
        <v>4</v>
      </c>
    </row>
    <row r="12773" spans="1:4" x14ac:dyDescent="0.25">
      <c r="A12773" t="str">
        <f>T("   CZ")</f>
        <v xml:space="preserve">   CZ</v>
      </c>
      <c r="B12773" t="str">
        <f>T("   Tchèque, République")</f>
        <v xml:space="preserve">   Tchèque, République</v>
      </c>
      <c r="C12773">
        <v>232210</v>
      </c>
      <c r="D12773">
        <v>15</v>
      </c>
    </row>
    <row r="12774" spans="1:4" x14ac:dyDescent="0.25">
      <c r="A12774" t="str">
        <f>T("   DE")</f>
        <v xml:space="preserve">   DE</v>
      </c>
      <c r="B12774" t="str">
        <f>T("   Allemagne")</f>
        <v xml:space="preserve">   Allemagne</v>
      </c>
      <c r="C12774">
        <v>3380000</v>
      </c>
      <c r="D12774">
        <v>4470</v>
      </c>
    </row>
    <row r="12775" spans="1:4" x14ac:dyDescent="0.25">
      <c r="A12775" t="str">
        <f>T("   FR")</f>
        <v xml:space="preserve">   FR</v>
      </c>
      <c r="B12775" t="str">
        <f>T("   France")</f>
        <v xml:space="preserve">   France</v>
      </c>
      <c r="C12775">
        <v>17356206</v>
      </c>
      <c r="D12775">
        <v>1594.36</v>
      </c>
    </row>
    <row r="12776" spans="1:4" x14ac:dyDescent="0.25">
      <c r="A12776" t="str">
        <f>T("   ZA")</f>
        <v xml:space="preserve">   ZA</v>
      </c>
      <c r="B12776" t="str">
        <f>T("   Afrique du Sud")</f>
        <v xml:space="preserve">   Afrique du Sud</v>
      </c>
      <c r="C12776">
        <v>162499</v>
      </c>
      <c r="D12776">
        <v>10</v>
      </c>
    </row>
    <row r="12777" spans="1:4" x14ac:dyDescent="0.25">
      <c r="A12777" t="str">
        <f>T("851130")</f>
        <v>851130</v>
      </c>
      <c r="B12777" t="str">
        <f>T("Distributeurs et bobines d'allumage, pour moteurs à allumage par étincelles ou par compression")</f>
        <v>Distributeurs et bobines d'allumage, pour moteurs à allumage par étincelles ou par compression</v>
      </c>
    </row>
    <row r="12778" spans="1:4" x14ac:dyDescent="0.25">
      <c r="A12778" t="str">
        <f>T("   ZZZ_Monde")</f>
        <v xml:space="preserve">   ZZZ_Monde</v>
      </c>
      <c r="B12778" t="str">
        <f>T("   ZZZ_Monde")</f>
        <v xml:space="preserve">   ZZZ_Monde</v>
      </c>
      <c r="C12778">
        <v>8903496</v>
      </c>
      <c r="D12778">
        <v>139</v>
      </c>
    </row>
    <row r="12779" spans="1:4" x14ac:dyDescent="0.25">
      <c r="A12779" t="str">
        <f>T("   FR")</f>
        <v xml:space="preserve">   FR</v>
      </c>
      <c r="B12779" t="str">
        <f>T("   France")</f>
        <v xml:space="preserve">   France</v>
      </c>
      <c r="C12779">
        <v>8903496</v>
      </c>
      <c r="D12779">
        <v>139</v>
      </c>
    </row>
    <row r="12780" spans="1:4" x14ac:dyDescent="0.25">
      <c r="A12780" t="str">
        <f>T("851140")</f>
        <v>851140</v>
      </c>
      <c r="B12780" t="str">
        <f>T("Démarreurs, même fonctionnant comme génératrices, pour moteurs à allumage par étincelles ou par compression")</f>
        <v>Démarreurs, même fonctionnant comme génératrices, pour moteurs à allumage par étincelles ou par compression</v>
      </c>
    </row>
    <row r="12781" spans="1:4" x14ac:dyDescent="0.25">
      <c r="A12781" t="str">
        <f>T("   ZZZ_Monde")</f>
        <v xml:space="preserve">   ZZZ_Monde</v>
      </c>
      <c r="B12781" t="str">
        <f>T("   ZZZ_Monde")</f>
        <v xml:space="preserve">   ZZZ_Monde</v>
      </c>
      <c r="C12781">
        <v>45924203</v>
      </c>
      <c r="D12781">
        <v>1582.5</v>
      </c>
    </row>
    <row r="12782" spans="1:4" x14ac:dyDescent="0.25">
      <c r="A12782" t="str">
        <f>T("   AT")</f>
        <v xml:space="preserve">   AT</v>
      </c>
      <c r="B12782" t="str">
        <f>T("   Autriche")</f>
        <v xml:space="preserve">   Autriche</v>
      </c>
      <c r="C12782">
        <v>3185998</v>
      </c>
      <c r="D12782">
        <v>29.5</v>
      </c>
    </row>
    <row r="12783" spans="1:4" x14ac:dyDescent="0.25">
      <c r="A12783" t="str">
        <f>T("   BE")</f>
        <v xml:space="preserve">   BE</v>
      </c>
      <c r="B12783" t="str">
        <f>T("   Belgique")</f>
        <v xml:space="preserve">   Belgique</v>
      </c>
      <c r="C12783">
        <v>5623748</v>
      </c>
      <c r="D12783">
        <v>130</v>
      </c>
    </row>
    <row r="12784" spans="1:4" x14ac:dyDescent="0.25">
      <c r="A12784" t="str">
        <f>T("   FR")</f>
        <v xml:space="preserve">   FR</v>
      </c>
      <c r="B12784" t="str">
        <f>T("   France")</f>
        <v xml:space="preserve">   France</v>
      </c>
      <c r="C12784">
        <v>35434695</v>
      </c>
      <c r="D12784">
        <v>1335</v>
      </c>
    </row>
    <row r="12785" spans="1:4" x14ac:dyDescent="0.25">
      <c r="A12785" t="str">
        <f>T("   IN")</f>
        <v xml:space="preserve">   IN</v>
      </c>
      <c r="B12785" t="str">
        <f>T("   Inde")</f>
        <v xml:space="preserve">   Inde</v>
      </c>
      <c r="C12785">
        <v>1241042</v>
      </c>
      <c r="D12785">
        <v>66</v>
      </c>
    </row>
    <row r="12786" spans="1:4" x14ac:dyDescent="0.25">
      <c r="A12786" t="str">
        <f>T("   SN")</f>
        <v xml:space="preserve">   SN</v>
      </c>
      <c r="B12786" t="str">
        <f>T("   Sénégal")</f>
        <v xml:space="preserve">   Sénégal</v>
      </c>
      <c r="C12786">
        <v>353462</v>
      </c>
      <c r="D12786">
        <v>13</v>
      </c>
    </row>
    <row r="12787" spans="1:4" x14ac:dyDescent="0.25">
      <c r="A12787" t="str">
        <f>T("   US")</f>
        <v xml:space="preserve">   US</v>
      </c>
      <c r="B12787" t="str">
        <f>T("   Etats-Unis")</f>
        <v xml:space="preserve">   Etats-Unis</v>
      </c>
      <c r="C12787">
        <v>85258</v>
      </c>
      <c r="D12787">
        <v>9</v>
      </c>
    </row>
    <row r="12788" spans="1:4" x14ac:dyDescent="0.25">
      <c r="A12788" t="str">
        <f>T("851150")</f>
        <v>851150</v>
      </c>
      <c r="B12788" t="str">
        <f>T("Génératrices pour moteurs à allumage par étincelles ou par compression (autres que dynamos-magnétos et démarreurs fonctionnant comme génératrices)")</f>
        <v>Génératrices pour moteurs à allumage par étincelles ou par compression (autres que dynamos-magnétos et démarreurs fonctionnant comme génératrices)</v>
      </c>
    </row>
    <row r="12789" spans="1:4" x14ac:dyDescent="0.25">
      <c r="A12789" t="str">
        <f>T("   ZZZ_Monde")</f>
        <v xml:space="preserve">   ZZZ_Monde</v>
      </c>
      <c r="B12789" t="str">
        <f>T("   ZZZ_Monde")</f>
        <v xml:space="preserve">   ZZZ_Monde</v>
      </c>
      <c r="C12789">
        <v>13423672</v>
      </c>
      <c r="D12789">
        <v>306</v>
      </c>
    </row>
    <row r="12790" spans="1:4" x14ac:dyDescent="0.25">
      <c r="A12790" t="str">
        <f>T("   BE")</f>
        <v xml:space="preserve">   BE</v>
      </c>
      <c r="B12790" t="str">
        <f>T("   Belgique")</f>
        <v xml:space="preserve">   Belgique</v>
      </c>
      <c r="C12790">
        <v>648274</v>
      </c>
      <c r="D12790">
        <v>26</v>
      </c>
    </row>
    <row r="12791" spans="1:4" x14ac:dyDescent="0.25">
      <c r="A12791" t="str">
        <f>T("   FR")</f>
        <v xml:space="preserve">   FR</v>
      </c>
      <c r="B12791" t="str">
        <f>T("   France")</f>
        <v xml:space="preserve">   France</v>
      </c>
      <c r="C12791">
        <v>10484785</v>
      </c>
      <c r="D12791">
        <v>241</v>
      </c>
    </row>
    <row r="12792" spans="1:4" x14ac:dyDescent="0.25">
      <c r="A12792" t="str">
        <f>T("   JP")</f>
        <v xml:space="preserve">   JP</v>
      </c>
      <c r="B12792" t="str">
        <f>T("   Japon")</f>
        <v xml:space="preserve">   Japon</v>
      </c>
      <c r="C12792">
        <v>876363</v>
      </c>
      <c r="D12792">
        <v>23</v>
      </c>
    </row>
    <row r="12793" spans="1:4" x14ac:dyDescent="0.25">
      <c r="A12793" t="str">
        <f>T("   NL")</f>
        <v xml:space="preserve">   NL</v>
      </c>
      <c r="B12793" t="str">
        <f>T("   Pays-bas")</f>
        <v xml:space="preserve">   Pays-bas</v>
      </c>
      <c r="C12793">
        <v>1414250</v>
      </c>
      <c r="D12793">
        <v>16</v>
      </c>
    </row>
    <row r="12794" spans="1:4" x14ac:dyDescent="0.25">
      <c r="A12794" t="str">
        <f>T("851180")</f>
        <v>851180</v>
      </c>
      <c r="B12794" t="str">
        <f>T("Appareils et dispositifs électriques d'allumage pour moteurs à allumage par étincelles ou par compression, y.c. conjoncteurs-disjoncteurs (autres que génératrices, démarreurs, distributeurs, bobines d'allumage, magnétos, volants magnétiques et bougies d'a")</f>
        <v>Appareils et dispositifs électriques d'allumage pour moteurs à allumage par étincelles ou par compression, y.c. conjoncteurs-disjoncteurs (autres que génératrices, démarreurs, distributeurs, bobines d'allumage, magnétos, volants magnétiques et bougies d'a</v>
      </c>
    </row>
    <row r="12795" spans="1:4" x14ac:dyDescent="0.25">
      <c r="A12795" t="str">
        <f>T("   ZZZ_Monde")</f>
        <v xml:space="preserve">   ZZZ_Monde</v>
      </c>
      <c r="B12795" t="str">
        <f>T("   ZZZ_Monde")</f>
        <v xml:space="preserve">   ZZZ_Monde</v>
      </c>
      <c r="C12795">
        <v>8666903</v>
      </c>
      <c r="D12795">
        <v>1627</v>
      </c>
    </row>
    <row r="12796" spans="1:4" x14ac:dyDescent="0.25">
      <c r="A12796" t="str">
        <f>T("   CN")</f>
        <v xml:space="preserve">   CN</v>
      </c>
      <c r="B12796" t="str">
        <f>T("   Chine")</f>
        <v xml:space="preserve">   Chine</v>
      </c>
      <c r="C12796">
        <v>533517</v>
      </c>
      <c r="D12796">
        <v>595</v>
      </c>
    </row>
    <row r="12797" spans="1:4" x14ac:dyDescent="0.25">
      <c r="A12797" t="str">
        <f>T("   FR")</f>
        <v xml:space="preserve">   FR</v>
      </c>
      <c r="B12797" t="str">
        <f>T("   France")</f>
        <v xml:space="preserve">   France</v>
      </c>
      <c r="C12797">
        <v>5008367</v>
      </c>
      <c r="D12797">
        <v>121</v>
      </c>
    </row>
    <row r="12798" spans="1:4" x14ac:dyDescent="0.25">
      <c r="A12798" t="str">
        <f>T("   IN")</f>
        <v xml:space="preserve">   IN</v>
      </c>
      <c r="B12798" t="str">
        <f>T("   Inde")</f>
        <v xml:space="preserve">   Inde</v>
      </c>
      <c r="C12798">
        <v>1326841</v>
      </c>
      <c r="D12798">
        <v>75</v>
      </c>
    </row>
    <row r="12799" spans="1:4" x14ac:dyDescent="0.25">
      <c r="A12799" t="str">
        <f>T("   LB")</f>
        <v xml:space="preserve">   LB</v>
      </c>
      <c r="B12799" t="str">
        <f>T("   Liban")</f>
        <v xml:space="preserve">   Liban</v>
      </c>
      <c r="C12799">
        <v>856832</v>
      </c>
      <c r="D12799">
        <v>817</v>
      </c>
    </row>
    <row r="12800" spans="1:4" x14ac:dyDescent="0.25">
      <c r="A12800" t="str">
        <f>T("   US")</f>
        <v xml:space="preserve">   US</v>
      </c>
      <c r="B12800" t="str">
        <f>T("   Etats-Unis")</f>
        <v xml:space="preserve">   Etats-Unis</v>
      </c>
      <c r="C12800">
        <v>941346</v>
      </c>
      <c r="D12800">
        <v>19</v>
      </c>
    </row>
    <row r="12801" spans="1:4" x14ac:dyDescent="0.25">
      <c r="A12801" t="str">
        <f>T("851190")</f>
        <v>851190</v>
      </c>
      <c r="B12801" t="str">
        <f>T("Parties des appareils et dispositifs électriques d'allumage et de démarrage, génératrices etc. du n° 8511, n.d.a.")</f>
        <v>Parties des appareils et dispositifs électriques d'allumage et de démarrage, génératrices etc. du n° 8511, n.d.a.</v>
      </c>
    </row>
    <row r="12802" spans="1:4" x14ac:dyDescent="0.25">
      <c r="A12802" t="str">
        <f>T("   ZZZ_Monde")</f>
        <v xml:space="preserve">   ZZZ_Monde</v>
      </c>
      <c r="B12802" t="str">
        <f>T("   ZZZ_Monde")</f>
        <v xml:space="preserve">   ZZZ_Monde</v>
      </c>
      <c r="C12802">
        <v>2763247</v>
      </c>
      <c r="D12802">
        <v>306</v>
      </c>
    </row>
    <row r="12803" spans="1:4" x14ac:dyDescent="0.25">
      <c r="A12803" t="str">
        <f>T("   FR")</f>
        <v xml:space="preserve">   FR</v>
      </c>
      <c r="B12803" t="str">
        <f>T("   France")</f>
        <v xml:space="preserve">   France</v>
      </c>
      <c r="C12803">
        <v>2763247</v>
      </c>
      <c r="D12803">
        <v>306</v>
      </c>
    </row>
    <row r="12804" spans="1:4" x14ac:dyDescent="0.25">
      <c r="A12804" t="str">
        <f>T("851210")</f>
        <v>851210</v>
      </c>
      <c r="B12804" t="str">
        <f>T("APPAREILS ÉLECTRIQUES D'ÉCLAIRAGE OU DE SIGNALISATION VISUELLE DES TYPES UTILISÉS POUR LES BICYCLETTES (À L'EXCL. DES LAMPES DU N° 8539) [01/01/1988-31/12/1994: APPAREILS ÉLECTRIQUES D'ECLAIRAGE OU DE SIGNALISATION VISUELLE POUR BICYCLETTES, (A L'EXCLUSIO")</f>
        <v>APPAREILS ÉLECTRIQUES D'ÉCLAIRAGE OU DE SIGNALISATION VISUELLE DES TYPES UTILISÉS POUR LES BICYCLETTES (À L'EXCL. DES LAMPES DU N° 8539) [01/01/1988-31/12/1994: APPAREILS ÉLECTRIQUES D'ECLAIRAGE OU DE SIGNALISATION VISUELLE POUR BICYCLETTES, (A L'EXCLUSIO</v>
      </c>
    </row>
    <row r="12805" spans="1:4" x14ac:dyDescent="0.25">
      <c r="A12805" t="str">
        <f>T("   ZZZ_Monde")</f>
        <v xml:space="preserve">   ZZZ_Monde</v>
      </c>
      <c r="B12805" t="str">
        <f>T("   ZZZ_Monde")</f>
        <v xml:space="preserve">   ZZZ_Monde</v>
      </c>
      <c r="C12805">
        <v>636129</v>
      </c>
      <c r="D12805">
        <v>387</v>
      </c>
    </row>
    <row r="12806" spans="1:4" x14ac:dyDescent="0.25">
      <c r="A12806" t="str">
        <f>T("   FR")</f>
        <v xml:space="preserve">   FR</v>
      </c>
      <c r="B12806" t="str">
        <f>T("   France")</f>
        <v xml:space="preserve">   France</v>
      </c>
      <c r="C12806">
        <v>293129</v>
      </c>
      <c r="D12806">
        <v>87</v>
      </c>
    </row>
    <row r="12807" spans="1:4" x14ac:dyDescent="0.25">
      <c r="A12807" t="str">
        <f>T("   NG")</f>
        <v xml:space="preserve">   NG</v>
      </c>
      <c r="B12807" t="str">
        <f>T("   Nigéria")</f>
        <v xml:space="preserve">   Nigéria</v>
      </c>
      <c r="C12807">
        <v>343000</v>
      </c>
      <c r="D12807">
        <v>300</v>
      </c>
    </row>
    <row r="12808" spans="1:4" x14ac:dyDescent="0.25">
      <c r="A12808" t="str">
        <f>T("851220")</f>
        <v>851220</v>
      </c>
      <c r="B12808" t="str">
        <f>T("Appareils électriques d'éclairage ou de signalisation visuelle, pour automobiles (à l'excl. des lampes du n° 8539)")</f>
        <v>Appareils électriques d'éclairage ou de signalisation visuelle, pour automobiles (à l'excl. des lampes du n° 8539)</v>
      </c>
    </row>
    <row r="12809" spans="1:4" x14ac:dyDescent="0.25">
      <c r="A12809" t="str">
        <f>T("   ZZZ_Monde")</f>
        <v xml:space="preserve">   ZZZ_Monde</v>
      </c>
      <c r="B12809" t="str">
        <f>T("   ZZZ_Monde")</f>
        <v xml:space="preserve">   ZZZ_Monde</v>
      </c>
      <c r="C12809">
        <v>33578044</v>
      </c>
      <c r="D12809">
        <v>19757</v>
      </c>
    </row>
    <row r="12810" spans="1:4" x14ac:dyDescent="0.25">
      <c r="A12810" t="str">
        <f>T("   BA")</f>
        <v xml:space="preserve">   BA</v>
      </c>
      <c r="B12810" t="str">
        <f>T("   Bosnie Herzégovine")</f>
        <v xml:space="preserve">   Bosnie Herzégovine</v>
      </c>
      <c r="C12810">
        <v>2140181</v>
      </c>
      <c r="D12810">
        <v>17</v>
      </c>
    </row>
    <row r="12811" spans="1:4" x14ac:dyDescent="0.25">
      <c r="A12811" t="str">
        <f>T("   CN")</f>
        <v xml:space="preserve">   CN</v>
      </c>
      <c r="B12811" t="str">
        <f>T("   Chine")</f>
        <v xml:space="preserve">   Chine</v>
      </c>
      <c r="C12811">
        <v>759856</v>
      </c>
      <c r="D12811">
        <v>3650</v>
      </c>
    </row>
    <row r="12812" spans="1:4" x14ac:dyDescent="0.25">
      <c r="A12812" t="str">
        <f>T("   FR")</f>
        <v xml:space="preserve">   FR</v>
      </c>
      <c r="B12812" t="str">
        <f>T("   France")</f>
        <v xml:space="preserve">   France</v>
      </c>
      <c r="C12812">
        <v>7839596</v>
      </c>
      <c r="D12812">
        <v>440</v>
      </c>
    </row>
    <row r="12813" spans="1:4" x14ac:dyDescent="0.25">
      <c r="A12813" t="str">
        <f>T("   NG")</f>
        <v xml:space="preserve">   NG</v>
      </c>
      <c r="B12813" t="str">
        <f>T("   Nigéria")</f>
        <v xml:space="preserve">   Nigéria</v>
      </c>
      <c r="C12813">
        <v>1141000</v>
      </c>
      <c r="D12813">
        <v>850</v>
      </c>
    </row>
    <row r="12814" spans="1:4" x14ac:dyDescent="0.25">
      <c r="A12814" t="str">
        <f>T("   NL")</f>
        <v xml:space="preserve">   NL</v>
      </c>
      <c r="B12814" t="str">
        <f>T("   Pays-bas")</f>
        <v xml:space="preserve">   Pays-bas</v>
      </c>
      <c r="C12814">
        <v>81995</v>
      </c>
      <c r="D12814">
        <v>3</v>
      </c>
    </row>
    <row r="12815" spans="1:4" x14ac:dyDescent="0.25">
      <c r="A12815" t="str">
        <f>T("   SN")</f>
        <v xml:space="preserve">   SN</v>
      </c>
      <c r="B12815" t="str">
        <f>T("   Sénégal")</f>
        <v xml:space="preserve">   Sénégal</v>
      </c>
      <c r="C12815">
        <v>247185</v>
      </c>
      <c r="D12815">
        <v>1</v>
      </c>
    </row>
    <row r="12816" spans="1:4" x14ac:dyDescent="0.25">
      <c r="A12816" t="str">
        <f>T("   TG")</f>
        <v xml:space="preserve">   TG</v>
      </c>
      <c r="B12816" t="str">
        <f>T("   Togo")</f>
        <v xml:space="preserve">   Togo</v>
      </c>
      <c r="C12816">
        <v>74045</v>
      </c>
      <c r="D12816">
        <v>10100</v>
      </c>
    </row>
    <row r="12817" spans="1:4" x14ac:dyDescent="0.25">
      <c r="A12817" t="str">
        <f>T("   TW")</f>
        <v xml:space="preserve">   TW</v>
      </c>
      <c r="B12817" t="str">
        <f>T("   Taïwan, Province de Chine")</f>
        <v xml:space="preserve">   Taïwan, Province de Chine</v>
      </c>
      <c r="C12817">
        <v>20150388</v>
      </c>
      <c r="D12817">
        <v>4624</v>
      </c>
    </row>
    <row r="12818" spans="1:4" x14ac:dyDescent="0.25">
      <c r="A12818" t="str">
        <f>T("   US")</f>
        <v xml:space="preserve">   US</v>
      </c>
      <c r="B12818" t="str">
        <f>T("   Etats-Unis")</f>
        <v xml:space="preserve">   Etats-Unis</v>
      </c>
      <c r="C12818">
        <v>1143798</v>
      </c>
      <c r="D12818">
        <v>72</v>
      </c>
    </row>
    <row r="12819" spans="1:4" x14ac:dyDescent="0.25">
      <c r="A12819" t="str">
        <f>T("851230")</f>
        <v>851230</v>
      </c>
      <c r="B12819" t="str">
        <f>T("APPAREILS ÉLECTRIQUES DE SIGNALISATION ACOUSTIQUE, POUR CYCLES OU POUR AUTOMOBILES")</f>
        <v>APPAREILS ÉLECTRIQUES DE SIGNALISATION ACOUSTIQUE, POUR CYCLES OU POUR AUTOMOBILES</v>
      </c>
    </row>
    <row r="12820" spans="1:4" x14ac:dyDescent="0.25">
      <c r="A12820" t="str">
        <f>T("   ZZZ_Monde")</f>
        <v xml:space="preserve">   ZZZ_Monde</v>
      </c>
      <c r="B12820" t="str">
        <f>T("   ZZZ_Monde")</f>
        <v xml:space="preserve">   ZZZ_Monde</v>
      </c>
      <c r="C12820">
        <v>1384509</v>
      </c>
      <c r="D12820">
        <v>9925</v>
      </c>
    </row>
    <row r="12821" spans="1:4" x14ac:dyDescent="0.25">
      <c r="A12821" t="str">
        <f>T("   CN")</f>
        <v xml:space="preserve">   CN</v>
      </c>
      <c r="B12821" t="str">
        <f>T("   Chine")</f>
        <v xml:space="preserve">   Chine</v>
      </c>
      <c r="C12821">
        <v>1051281</v>
      </c>
      <c r="D12821">
        <v>9885</v>
      </c>
    </row>
    <row r="12822" spans="1:4" x14ac:dyDescent="0.25">
      <c r="A12822" t="str">
        <f>T("   FR")</f>
        <v xml:space="preserve">   FR</v>
      </c>
      <c r="B12822" t="str">
        <f>T("   France")</f>
        <v xml:space="preserve">   France</v>
      </c>
      <c r="C12822">
        <v>333228</v>
      </c>
      <c r="D12822">
        <v>40</v>
      </c>
    </row>
    <row r="12823" spans="1:4" x14ac:dyDescent="0.25">
      <c r="A12823" t="str">
        <f>T("851240")</f>
        <v>851240</v>
      </c>
      <c r="B12823" t="str">
        <f>T("Essuie-glaces, dégivreurs et dispositifs antibuée électriques, des types utilisés pour automobiles")</f>
        <v>Essuie-glaces, dégivreurs et dispositifs antibuée électriques, des types utilisés pour automobiles</v>
      </c>
    </row>
    <row r="12824" spans="1:4" x14ac:dyDescent="0.25">
      <c r="A12824" t="str">
        <f>T("   ZZZ_Monde")</f>
        <v xml:space="preserve">   ZZZ_Monde</v>
      </c>
      <c r="B12824" t="str">
        <f>T("   ZZZ_Monde")</f>
        <v xml:space="preserve">   ZZZ_Monde</v>
      </c>
      <c r="C12824">
        <v>24891871</v>
      </c>
      <c r="D12824">
        <v>997</v>
      </c>
    </row>
    <row r="12825" spans="1:4" x14ac:dyDescent="0.25">
      <c r="A12825" t="str">
        <f>T("   AT")</f>
        <v xml:space="preserve">   AT</v>
      </c>
      <c r="B12825" t="str">
        <f>T("   Autriche")</f>
        <v xml:space="preserve">   Autriche</v>
      </c>
      <c r="C12825">
        <v>20669063</v>
      </c>
      <c r="D12825">
        <v>559</v>
      </c>
    </row>
    <row r="12826" spans="1:4" x14ac:dyDescent="0.25">
      <c r="A12826" t="str">
        <f>T("   FR")</f>
        <v xml:space="preserve">   FR</v>
      </c>
      <c r="B12826" t="str">
        <f>T("   France")</f>
        <v xml:space="preserve">   France</v>
      </c>
      <c r="C12826">
        <v>4222808</v>
      </c>
      <c r="D12826">
        <v>438</v>
      </c>
    </row>
    <row r="12827" spans="1:4" x14ac:dyDescent="0.25">
      <c r="A12827" t="str">
        <f>T("851290")</f>
        <v>851290</v>
      </c>
      <c r="B12827" t="str">
        <f>T("PARTIES DES APPAREILS ÉLECTRIQUES D'ÉCLAIRAGE, DE SIGNALISATION, ESSUIE-GLACES, DÉGIVREURS ET DISPOSITIFS ANTIBUÉE, DES TYPES UTILISÉS POUR CYCLES ET POUR AUTOMOBILES, N.D.A.")</f>
        <v>PARTIES DES APPAREILS ÉLECTRIQUES D'ÉCLAIRAGE, DE SIGNALISATION, ESSUIE-GLACES, DÉGIVREURS ET DISPOSITIFS ANTIBUÉE, DES TYPES UTILISÉS POUR CYCLES ET POUR AUTOMOBILES, N.D.A.</v>
      </c>
    </row>
    <row r="12828" spans="1:4" x14ac:dyDescent="0.25">
      <c r="A12828" t="str">
        <f>T("   ZZZ_Monde")</f>
        <v xml:space="preserve">   ZZZ_Monde</v>
      </c>
      <c r="B12828" t="str">
        <f>T("   ZZZ_Monde")</f>
        <v xml:space="preserve">   ZZZ_Monde</v>
      </c>
      <c r="C12828">
        <v>2508643</v>
      </c>
      <c r="D12828">
        <v>154.16</v>
      </c>
    </row>
    <row r="12829" spans="1:4" x14ac:dyDescent="0.25">
      <c r="A12829" t="str">
        <f>T("   DE")</f>
        <v xml:space="preserve">   DE</v>
      </c>
      <c r="B12829" t="str">
        <f>T("   Allemagne")</f>
        <v xml:space="preserve">   Allemagne</v>
      </c>
      <c r="C12829">
        <v>2479433</v>
      </c>
      <c r="D12829">
        <v>153.16</v>
      </c>
    </row>
    <row r="12830" spans="1:4" x14ac:dyDescent="0.25">
      <c r="A12830" t="str">
        <f>T("   FR")</f>
        <v xml:space="preserve">   FR</v>
      </c>
      <c r="B12830" t="str">
        <f>T("   France")</f>
        <v xml:space="preserve">   France</v>
      </c>
      <c r="C12830">
        <v>29210</v>
      </c>
      <c r="D12830">
        <v>1</v>
      </c>
    </row>
    <row r="12831" spans="1:4" x14ac:dyDescent="0.25">
      <c r="A12831" t="str">
        <f>T("851310")</f>
        <v>851310</v>
      </c>
      <c r="B12831" t="str">
        <f>T("Lampes électriques portatives, destinées à fonctionner au moyen de leur propre source d'énergie")</f>
        <v>Lampes électriques portatives, destinées à fonctionner au moyen de leur propre source d'énergie</v>
      </c>
    </row>
    <row r="12832" spans="1:4" x14ac:dyDescent="0.25">
      <c r="A12832" t="str">
        <f>T("   ZZZ_Monde")</f>
        <v xml:space="preserve">   ZZZ_Monde</v>
      </c>
      <c r="B12832" t="str">
        <f>T("   ZZZ_Monde")</f>
        <v xml:space="preserve">   ZZZ_Monde</v>
      </c>
      <c r="C12832">
        <v>102300107</v>
      </c>
      <c r="D12832">
        <v>232630</v>
      </c>
    </row>
    <row r="12833" spans="1:4" x14ac:dyDescent="0.25">
      <c r="A12833" t="str">
        <f>T("   BE")</f>
        <v xml:space="preserve">   BE</v>
      </c>
      <c r="B12833" t="str">
        <f>T("   Belgique")</f>
        <v xml:space="preserve">   Belgique</v>
      </c>
      <c r="C12833">
        <v>253107</v>
      </c>
      <c r="D12833">
        <v>420</v>
      </c>
    </row>
    <row r="12834" spans="1:4" x14ac:dyDescent="0.25">
      <c r="A12834" t="str">
        <f>T("   CN")</f>
        <v xml:space="preserve">   CN</v>
      </c>
      <c r="B12834" t="str">
        <f>T("   Chine")</f>
        <v xml:space="preserve">   Chine</v>
      </c>
      <c r="C12834">
        <v>72901229</v>
      </c>
      <c r="D12834">
        <v>163175</v>
      </c>
    </row>
    <row r="12835" spans="1:4" x14ac:dyDescent="0.25">
      <c r="A12835" t="str">
        <f>T("   DE")</f>
        <v xml:space="preserve">   DE</v>
      </c>
      <c r="B12835" t="str">
        <f>T("   Allemagne")</f>
        <v xml:space="preserve">   Allemagne</v>
      </c>
      <c r="C12835">
        <v>1093421</v>
      </c>
      <c r="D12835">
        <v>775</v>
      </c>
    </row>
    <row r="12836" spans="1:4" x14ac:dyDescent="0.25">
      <c r="A12836" t="str">
        <f>T("   FR")</f>
        <v xml:space="preserve">   FR</v>
      </c>
      <c r="B12836" t="str">
        <f>T("   France")</f>
        <v xml:space="preserve">   France</v>
      </c>
      <c r="C12836">
        <v>13426852</v>
      </c>
      <c r="D12836">
        <v>4410</v>
      </c>
    </row>
    <row r="12837" spans="1:4" x14ac:dyDescent="0.25">
      <c r="A12837" t="str">
        <f>T("   GH")</f>
        <v xml:space="preserve">   GH</v>
      </c>
      <c r="B12837" t="str">
        <f>T("   Ghana")</f>
        <v xml:space="preserve">   Ghana</v>
      </c>
      <c r="C12837">
        <v>800000</v>
      </c>
      <c r="D12837">
        <v>4230</v>
      </c>
    </row>
    <row r="12838" spans="1:4" x14ac:dyDescent="0.25">
      <c r="A12838" t="str">
        <f>T("   IN")</f>
        <v xml:space="preserve">   IN</v>
      </c>
      <c r="B12838" t="str">
        <f>T("   Inde")</f>
        <v xml:space="preserve">   Inde</v>
      </c>
      <c r="C12838">
        <v>279855</v>
      </c>
      <c r="D12838">
        <v>215</v>
      </c>
    </row>
    <row r="12839" spans="1:4" x14ac:dyDescent="0.25">
      <c r="A12839" t="str">
        <f>T("   IT")</f>
        <v xml:space="preserve">   IT</v>
      </c>
      <c r="B12839" t="str">
        <f>T("   Italie")</f>
        <v xml:space="preserve">   Italie</v>
      </c>
      <c r="C12839">
        <v>1653758</v>
      </c>
      <c r="D12839">
        <v>2100</v>
      </c>
    </row>
    <row r="12840" spans="1:4" x14ac:dyDescent="0.25">
      <c r="A12840" t="str">
        <f>T("   NG")</f>
        <v xml:space="preserve">   NG</v>
      </c>
      <c r="B12840" t="str">
        <f>T("   Nigéria")</f>
        <v xml:space="preserve">   Nigéria</v>
      </c>
      <c r="C12840">
        <v>51500</v>
      </c>
      <c r="D12840">
        <v>64</v>
      </c>
    </row>
    <row r="12841" spans="1:4" x14ac:dyDescent="0.25">
      <c r="A12841" t="str">
        <f>T("   TG")</f>
        <v xml:space="preserve">   TG</v>
      </c>
      <c r="B12841" t="str">
        <f>T("   Togo")</f>
        <v xml:space="preserve">   Togo</v>
      </c>
      <c r="C12841">
        <v>11840385</v>
      </c>
      <c r="D12841">
        <v>57241</v>
      </c>
    </row>
    <row r="12842" spans="1:4" x14ac:dyDescent="0.25">
      <c r="A12842" t="str">
        <f>T("851390")</f>
        <v>851390</v>
      </c>
      <c r="B12842" t="str">
        <f>T("Parties de lampes électriques portatives, destinées à fonctionner au moyen de leur propre source d'énergie, n.d.a.")</f>
        <v>Parties de lampes électriques portatives, destinées à fonctionner au moyen de leur propre source d'énergie, n.d.a.</v>
      </c>
    </row>
    <row r="12843" spans="1:4" x14ac:dyDescent="0.25">
      <c r="A12843" t="str">
        <f>T("   ZZZ_Monde")</f>
        <v xml:space="preserve">   ZZZ_Monde</v>
      </c>
      <c r="B12843" t="str">
        <f>T("   ZZZ_Monde")</f>
        <v xml:space="preserve">   ZZZ_Monde</v>
      </c>
      <c r="C12843">
        <v>1130000</v>
      </c>
      <c r="D12843">
        <v>10242</v>
      </c>
    </row>
    <row r="12844" spans="1:4" x14ac:dyDescent="0.25">
      <c r="A12844" t="str">
        <f>T("   Z2")</f>
        <v xml:space="preserve">   Z2</v>
      </c>
      <c r="B12844" t="str">
        <f>T("   Pays non défini")</f>
        <v xml:space="preserve">   Pays non défini</v>
      </c>
      <c r="C12844">
        <v>1130000</v>
      </c>
      <c r="D12844">
        <v>10242</v>
      </c>
    </row>
    <row r="12845" spans="1:4" x14ac:dyDescent="0.25">
      <c r="A12845" t="str">
        <f>T("851430")</f>
        <v>851430</v>
      </c>
      <c r="B12845" t="str">
        <f>T("Fours électriques industriels ou de laboratoires (autres que les fours à résistance, à chauffage indirect, les fours fonctionnant par induction ou par perte diélectrique et les étuves)")</f>
        <v>Fours électriques industriels ou de laboratoires (autres que les fours à résistance, à chauffage indirect, les fours fonctionnant par induction ou par perte diélectrique et les étuves)</v>
      </c>
    </row>
    <row r="12846" spans="1:4" x14ac:dyDescent="0.25">
      <c r="A12846" t="str">
        <f>T("   ZZZ_Monde")</f>
        <v xml:space="preserve">   ZZZ_Monde</v>
      </c>
      <c r="B12846" t="str">
        <f>T("   ZZZ_Monde")</f>
        <v xml:space="preserve">   ZZZ_Monde</v>
      </c>
      <c r="C12846">
        <v>14266421</v>
      </c>
      <c r="D12846">
        <v>6323</v>
      </c>
    </row>
    <row r="12847" spans="1:4" x14ac:dyDescent="0.25">
      <c r="A12847" t="str">
        <f>T("   FR")</f>
        <v xml:space="preserve">   FR</v>
      </c>
      <c r="B12847" t="str">
        <f>T("   France")</f>
        <v xml:space="preserve">   France</v>
      </c>
      <c r="C12847">
        <v>10769255</v>
      </c>
      <c r="D12847">
        <v>4543</v>
      </c>
    </row>
    <row r="12848" spans="1:4" x14ac:dyDescent="0.25">
      <c r="A12848" t="str">
        <f>T("   IT")</f>
        <v xml:space="preserve">   IT</v>
      </c>
      <c r="B12848" t="str">
        <f>T("   Italie")</f>
        <v xml:space="preserve">   Italie</v>
      </c>
      <c r="C12848">
        <v>335852</v>
      </c>
      <c r="D12848">
        <v>100</v>
      </c>
    </row>
    <row r="12849" spans="1:4" x14ac:dyDescent="0.25">
      <c r="A12849" t="str">
        <f>T("   SG")</f>
        <v xml:space="preserve">   SG</v>
      </c>
      <c r="B12849" t="str">
        <f>T("   Singapour")</f>
        <v xml:space="preserve">   Singapour</v>
      </c>
      <c r="C12849">
        <v>3161314</v>
      </c>
      <c r="D12849">
        <v>1680</v>
      </c>
    </row>
    <row r="12850" spans="1:4" x14ac:dyDescent="0.25">
      <c r="A12850" t="str">
        <f>T("851511")</f>
        <v>851511</v>
      </c>
      <c r="B12850" t="str">
        <f>T("Fers et pistolets à braser électriques")</f>
        <v>Fers et pistolets à braser électriques</v>
      </c>
    </row>
    <row r="12851" spans="1:4" x14ac:dyDescent="0.25">
      <c r="A12851" t="str">
        <f>T("   ZZZ_Monde")</f>
        <v xml:space="preserve">   ZZZ_Monde</v>
      </c>
      <c r="B12851" t="str">
        <f>T("   ZZZ_Monde")</f>
        <v xml:space="preserve">   ZZZ_Monde</v>
      </c>
      <c r="C12851">
        <v>68188</v>
      </c>
      <c r="D12851">
        <v>8</v>
      </c>
    </row>
    <row r="12852" spans="1:4" x14ac:dyDescent="0.25">
      <c r="A12852" t="str">
        <f>T("   FR")</f>
        <v xml:space="preserve">   FR</v>
      </c>
      <c r="B12852" t="str">
        <f>T("   France")</f>
        <v xml:space="preserve">   France</v>
      </c>
      <c r="C12852">
        <v>68188</v>
      </c>
      <c r="D12852">
        <v>8</v>
      </c>
    </row>
    <row r="12853" spans="1:4" x14ac:dyDescent="0.25">
      <c r="A12853" t="str">
        <f>T("851519")</f>
        <v>851519</v>
      </c>
      <c r="B12853" t="str">
        <f>T("Machines et appareils électriques pour le brasage fort ou tendre (sauf fers et pistolets à braser)")</f>
        <v>Machines et appareils électriques pour le brasage fort ou tendre (sauf fers et pistolets à braser)</v>
      </c>
    </row>
    <row r="12854" spans="1:4" x14ac:dyDescent="0.25">
      <c r="A12854" t="str">
        <f>T("   ZZZ_Monde")</f>
        <v xml:space="preserve">   ZZZ_Monde</v>
      </c>
      <c r="B12854" t="str">
        <f>T("   ZZZ_Monde")</f>
        <v xml:space="preserve">   ZZZ_Monde</v>
      </c>
      <c r="C12854">
        <v>1219481</v>
      </c>
      <c r="D12854">
        <v>19044</v>
      </c>
    </row>
    <row r="12855" spans="1:4" x14ac:dyDescent="0.25">
      <c r="A12855" t="str">
        <f>T("   FR")</f>
        <v xml:space="preserve">   FR</v>
      </c>
      <c r="B12855" t="str">
        <f>T("   France")</f>
        <v xml:space="preserve">   France</v>
      </c>
      <c r="C12855">
        <v>104481</v>
      </c>
      <c r="D12855">
        <v>12</v>
      </c>
    </row>
    <row r="12856" spans="1:4" x14ac:dyDescent="0.25">
      <c r="A12856" t="str">
        <f>T("   Z2")</f>
        <v xml:space="preserve">   Z2</v>
      </c>
      <c r="B12856" t="str">
        <f>T("   Pays non défini")</f>
        <v xml:space="preserve">   Pays non défini</v>
      </c>
      <c r="C12856">
        <v>1115000</v>
      </c>
      <c r="D12856">
        <v>19032</v>
      </c>
    </row>
    <row r="12857" spans="1:4" x14ac:dyDescent="0.25">
      <c r="A12857" t="str">
        <f>T("851529")</f>
        <v>851529</v>
      </c>
      <c r="B12857" t="str">
        <f>T("MACHINES ET APPAREILS POUR LE SOUDAGE DES MÉTAUX PAR RÉSISTANCE, NON-AUTOMATIQUES")</f>
        <v>MACHINES ET APPAREILS POUR LE SOUDAGE DES MÉTAUX PAR RÉSISTANCE, NON-AUTOMATIQUES</v>
      </c>
    </row>
    <row r="12858" spans="1:4" x14ac:dyDescent="0.25">
      <c r="A12858" t="str">
        <f>T("   ZZZ_Monde")</f>
        <v xml:space="preserve">   ZZZ_Monde</v>
      </c>
      <c r="B12858" t="str">
        <f>T("   ZZZ_Monde")</f>
        <v xml:space="preserve">   ZZZ_Monde</v>
      </c>
      <c r="C12858">
        <v>8830033</v>
      </c>
      <c r="D12858">
        <v>16801</v>
      </c>
    </row>
    <row r="12859" spans="1:4" x14ac:dyDescent="0.25">
      <c r="A12859" t="str">
        <f>T("   AT")</f>
        <v xml:space="preserve">   AT</v>
      </c>
      <c r="B12859" t="str">
        <f>T("   Autriche")</f>
        <v xml:space="preserve">   Autriche</v>
      </c>
      <c r="C12859">
        <v>2778647</v>
      </c>
      <c r="D12859">
        <v>163</v>
      </c>
    </row>
    <row r="12860" spans="1:4" x14ac:dyDescent="0.25">
      <c r="A12860" t="str">
        <f>T("   FR")</f>
        <v xml:space="preserve">   FR</v>
      </c>
      <c r="B12860" t="str">
        <f>T("   France")</f>
        <v xml:space="preserve">   France</v>
      </c>
      <c r="C12860">
        <v>621386</v>
      </c>
      <c r="D12860">
        <v>72</v>
      </c>
    </row>
    <row r="12861" spans="1:4" x14ac:dyDescent="0.25">
      <c r="A12861" t="str">
        <f>T("   Z2")</f>
        <v xml:space="preserve">   Z2</v>
      </c>
      <c r="B12861" t="str">
        <f>T("   Pays non défini")</f>
        <v xml:space="preserve">   Pays non défini</v>
      </c>
      <c r="C12861">
        <v>5430000</v>
      </c>
      <c r="D12861">
        <v>16566</v>
      </c>
    </row>
    <row r="12862" spans="1:4" x14ac:dyDescent="0.25">
      <c r="A12862" t="str">
        <f>T("851539")</f>
        <v>851539</v>
      </c>
      <c r="B12862" t="str">
        <f>T("MACHINES ET APPAREILS POUR LE SOUDAGE DES MÉTAUX À L'ARC OU AU JET DE PLASMA, NON-AUTOMATIQUES")</f>
        <v>MACHINES ET APPAREILS POUR LE SOUDAGE DES MÉTAUX À L'ARC OU AU JET DE PLASMA, NON-AUTOMATIQUES</v>
      </c>
    </row>
    <row r="12863" spans="1:4" x14ac:dyDescent="0.25">
      <c r="A12863" t="str">
        <f>T("   ZZZ_Monde")</f>
        <v xml:space="preserve">   ZZZ_Monde</v>
      </c>
      <c r="B12863" t="str">
        <f>T("   ZZZ_Monde")</f>
        <v xml:space="preserve">   ZZZ_Monde</v>
      </c>
      <c r="C12863">
        <v>9972712</v>
      </c>
      <c r="D12863">
        <v>9757</v>
      </c>
    </row>
    <row r="12864" spans="1:4" x14ac:dyDescent="0.25">
      <c r="A12864" t="str">
        <f>T("   BE")</f>
        <v xml:space="preserve">   BE</v>
      </c>
      <c r="B12864" t="str">
        <f>T("   Belgique")</f>
        <v xml:space="preserve">   Belgique</v>
      </c>
      <c r="C12864">
        <v>300430</v>
      </c>
      <c r="D12864">
        <v>2500</v>
      </c>
    </row>
    <row r="12865" spans="1:4" x14ac:dyDescent="0.25">
      <c r="A12865" t="str">
        <f>T("   DE")</f>
        <v xml:space="preserve">   DE</v>
      </c>
      <c r="B12865" t="str">
        <f>T("   Allemagne")</f>
        <v xml:space="preserve">   Allemagne</v>
      </c>
      <c r="C12865">
        <v>235380</v>
      </c>
      <c r="D12865">
        <v>1798</v>
      </c>
    </row>
    <row r="12866" spans="1:4" x14ac:dyDescent="0.25">
      <c r="A12866" t="str">
        <f>T("   FR")</f>
        <v xml:space="preserve">   FR</v>
      </c>
      <c r="B12866" t="str">
        <f>T("   France")</f>
        <v xml:space="preserve">   France</v>
      </c>
      <c r="C12866">
        <v>5504195</v>
      </c>
      <c r="D12866">
        <v>719</v>
      </c>
    </row>
    <row r="12867" spans="1:4" x14ac:dyDescent="0.25">
      <c r="A12867" t="str">
        <f>T("   NG")</f>
        <v xml:space="preserve">   NG</v>
      </c>
      <c r="B12867" t="str">
        <f>T("   Nigéria")</f>
        <v xml:space="preserve">   Nigéria</v>
      </c>
      <c r="C12867">
        <v>256000</v>
      </c>
      <c r="D12867">
        <v>150</v>
      </c>
    </row>
    <row r="12868" spans="1:4" x14ac:dyDescent="0.25">
      <c r="A12868" t="str">
        <f>T("   SA")</f>
        <v xml:space="preserve">   SA</v>
      </c>
      <c r="B12868" t="str">
        <f>T("   Arabie Saoudite")</f>
        <v xml:space="preserve">   Arabie Saoudite</v>
      </c>
      <c r="C12868">
        <v>3676707</v>
      </c>
      <c r="D12868">
        <v>4590</v>
      </c>
    </row>
    <row r="12869" spans="1:4" x14ac:dyDescent="0.25">
      <c r="A12869" t="str">
        <f>T("851580")</f>
        <v>851580</v>
      </c>
      <c r="B12869" t="str">
        <f>T("Machines et appareils électriques pour le soudage, opérant par laser ou autres faisceaux de lumière ou de photons, par ultrasons, par faisceaux d'électrons, par impulsions magnétiques; machines et appareils électriques pour la projection à chaud de métaux")</f>
        <v>Machines et appareils électriques pour le soudage, opérant par laser ou autres faisceaux de lumière ou de photons, par ultrasons, par faisceaux d'électrons, par impulsions magnétiques; machines et appareils électriques pour la projection à chaud de métaux</v>
      </c>
    </row>
    <row r="12870" spans="1:4" x14ac:dyDescent="0.25">
      <c r="A12870" t="str">
        <f>T("   ZZZ_Monde")</f>
        <v xml:space="preserve">   ZZZ_Monde</v>
      </c>
      <c r="B12870" t="str">
        <f>T("   ZZZ_Monde")</f>
        <v xml:space="preserve">   ZZZ_Monde</v>
      </c>
      <c r="C12870">
        <v>17197860</v>
      </c>
      <c r="D12870">
        <v>11398</v>
      </c>
    </row>
    <row r="12871" spans="1:4" x14ac:dyDescent="0.25">
      <c r="A12871" t="str">
        <f>T("   AE")</f>
        <v xml:space="preserve">   AE</v>
      </c>
      <c r="B12871" t="str">
        <f>T("   Emirats Arabes Unis")</f>
        <v xml:space="preserve">   Emirats Arabes Unis</v>
      </c>
      <c r="C12871">
        <v>240318</v>
      </c>
      <c r="D12871">
        <v>120</v>
      </c>
    </row>
    <row r="12872" spans="1:4" x14ac:dyDescent="0.25">
      <c r="A12872" t="str">
        <f>T("   CN")</f>
        <v xml:space="preserve">   CN</v>
      </c>
      <c r="B12872" t="str">
        <f>T("   Chine")</f>
        <v xml:space="preserve">   Chine</v>
      </c>
      <c r="C12872">
        <v>1483446</v>
      </c>
      <c r="D12872">
        <v>8510</v>
      </c>
    </row>
    <row r="12873" spans="1:4" x14ac:dyDescent="0.25">
      <c r="A12873" t="str">
        <f>T("   FR")</f>
        <v xml:space="preserve">   FR</v>
      </c>
      <c r="B12873" t="str">
        <f>T("   France")</f>
        <v xml:space="preserve">   France</v>
      </c>
      <c r="C12873">
        <v>4423794</v>
      </c>
      <c r="D12873">
        <v>1565</v>
      </c>
    </row>
    <row r="12874" spans="1:4" x14ac:dyDescent="0.25">
      <c r="A12874" t="str">
        <f>T("   IT")</f>
        <v xml:space="preserve">   IT</v>
      </c>
      <c r="B12874" t="str">
        <f>T("   Italie")</f>
        <v xml:space="preserve">   Italie</v>
      </c>
      <c r="C12874">
        <v>11050302</v>
      </c>
      <c r="D12874">
        <v>1203</v>
      </c>
    </row>
    <row r="12875" spans="1:4" x14ac:dyDescent="0.25">
      <c r="A12875" t="str">
        <f>T("851590")</f>
        <v>851590</v>
      </c>
      <c r="B12875" t="str">
        <f>T("Parties de machines et appareils électriques pour le brasage, le soudage ou la projection à chaud de métaux, de carbures métalliques frittés ou de cermets, n.d.a.")</f>
        <v>Parties de machines et appareils électriques pour le brasage, le soudage ou la projection à chaud de métaux, de carbures métalliques frittés ou de cermets, n.d.a.</v>
      </c>
    </row>
    <row r="12876" spans="1:4" x14ac:dyDescent="0.25">
      <c r="A12876" t="str">
        <f>T("   ZZZ_Monde")</f>
        <v xml:space="preserve">   ZZZ_Monde</v>
      </c>
      <c r="B12876" t="str">
        <f>T("   ZZZ_Monde")</f>
        <v xml:space="preserve">   ZZZ_Monde</v>
      </c>
      <c r="C12876">
        <v>15788722</v>
      </c>
      <c r="D12876">
        <v>3964</v>
      </c>
    </row>
    <row r="12877" spans="1:4" x14ac:dyDescent="0.25">
      <c r="A12877" t="str">
        <f>T("   BE")</f>
        <v xml:space="preserve">   BE</v>
      </c>
      <c r="B12877" t="str">
        <f>T("   Belgique")</f>
        <v xml:space="preserve">   Belgique</v>
      </c>
      <c r="C12877">
        <v>1332911</v>
      </c>
      <c r="D12877">
        <v>3</v>
      </c>
    </row>
    <row r="12878" spans="1:4" x14ac:dyDescent="0.25">
      <c r="A12878" t="str">
        <f>T("   FR")</f>
        <v xml:space="preserve">   FR</v>
      </c>
      <c r="B12878" t="str">
        <f>T("   France")</f>
        <v xml:space="preserve">   France</v>
      </c>
      <c r="C12878">
        <v>14455811</v>
      </c>
      <c r="D12878">
        <v>3961</v>
      </c>
    </row>
    <row r="12879" spans="1:4" x14ac:dyDescent="0.25">
      <c r="A12879" t="str">
        <f>T("851610")</f>
        <v>851610</v>
      </c>
      <c r="B12879" t="str">
        <f>T("Chauffe-eau et thermoplongeurs électriques")</f>
        <v>Chauffe-eau et thermoplongeurs électriques</v>
      </c>
    </row>
    <row r="12880" spans="1:4" x14ac:dyDescent="0.25">
      <c r="A12880" t="str">
        <f>T("   ZZZ_Monde")</f>
        <v xml:space="preserve">   ZZZ_Monde</v>
      </c>
      <c r="B12880" t="str">
        <f>T("   ZZZ_Monde")</f>
        <v xml:space="preserve">   ZZZ_Monde</v>
      </c>
      <c r="C12880">
        <v>77872087</v>
      </c>
      <c r="D12880">
        <v>51752</v>
      </c>
    </row>
    <row r="12881" spans="1:4" x14ac:dyDescent="0.25">
      <c r="A12881" t="str">
        <f>T("   AE")</f>
        <v xml:space="preserve">   AE</v>
      </c>
      <c r="B12881" t="str">
        <f>T("   Emirats Arabes Unis")</f>
        <v xml:space="preserve">   Emirats Arabes Unis</v>
      </c>
      <c r="C12881">
        <v>827837</v>
      </c>
      <c r="D12881">
        <v>1890</v>
      </c>
    </row>
    <row r="12882" spans="1:4" x14ac:dyDescent="0.25">
      <c r="A12882" t="str">
        <f>T("   CN")</f>
        <v xml:space="preserve">   CN</v>
      </c>
      <c r="B12882" t="str">
        <f>T("   Chine")</f>
        <v xml:space="preserve">   Chine</v>
      </c>
      <c r="C12882">
        <v>7519156</v>
      </c>
      <c r="D12882">
        <v>11200</v>
      </c>
    </row>
    <row r="12883" spans="1:4" x14ac:dyDescent="0.25">
      <c r="A12883" t="str">
        <f>T("   EG")</f>
        <v xml:space="preserve">   EG</v>
      </c>
      <c r="B12883" t="str">
        <f>T("   Egypte")</f>
        <v xml:space="preserve">   Egypte</v>
      </c>
      <c r="C12883">
        <v>2031513</v>
      </c>
      <c r="D12883">
        <v>3657</v>
      </c>
    </row>
    <row r="12884" spans="1:4" x14ac:dyDescent="0.25">
      <c r="A12884" t="str">
        <f>T("   FR")</f>
        <v xml:space="preserve">   FR</v>
      </c>
      <c r="B12884" t="str">
        <f>T("   France")</f>
        <v xml:space="preserve">   France</v>
      </c>
      <c r="C12884">
        <v>59436437</v>
      </c>
      <c r="D12884">
        <v>26772</v>
      </c>
    </row>
    <row r="12885" spans="1:4" x14ac:dyDescent="0.25">
      <c r="A12885" t="str">
        <f>T("   IT")</f>
        <v xml:space="preserve">   IT</v>
      </c>
      <c r="B12885" t="str">
        <f>T("   Italie")</f>
        <v xml:space="preserve">   Italie</v>
      </c>
      <c r="C12885">
        <v>1440397</v>
      </c>
      <c r="D12885">
        <v>940</v>
      </c>
    </row>
    <row r="12886" spans="1:4" x14ac:dyDescent="0.25">
      <c r="A12886" t="str">
        <f>T("   LB")</f>
        <v xml:space="preserve">   LB</v>
      </c>
      <c r="B12886" t="str">
        <f>T("   Liban")</f>
        <v xml:space="preserve">   Liban</v>
      </c>
      <c r="C12886">
        <v>2481496</v>
      </c>
      <c r="D12886">
        <v>3406</v>
      </c>
    </row>
    <row r="12887" spans="1:4" x14ac:dyDescent="0.25">
      <c r="A12887" t="str">
        <f>T("   SA")</f>
        <v xml:space="preserve">   SA</v>
      </c>
      <c r="B12887" t="str">
        <f>T("   Arabie Saoudite")</f>
        <v xml:space="preserve">   Arabie Saoudite</v>
      </c>
      <c r="C12887">
        <v>4124328</v>
      </c>
      <c r="D12887">
        <v>3837</v>
      </c>
    </row>
    <row r="12888" spans="1:4" x14ac:dyDescent="0.25">
      <c r="A12888" t="str">
        <f>T("   TG")</f>
        <v xml:space="preserve">   TG</v>
      </c>
      <c r="B12888" t="str">
        <f>T("   Togo")</f>
        <v xml:space="preserve">   Togo</v>
      </c>
      <c r="C12888">
        <v>10923</v>
      </c>
      <c r="D12888">
        <v>50</v>
      </c>
    </row>
    <row r="12889" spans="1:4" x14ac:dyDescent="0.25">
      <c r="A12889" t="str">
        <f>T("851629")</f>
        <v>851629</v>
      </c>
      <c r="B12889" t="str">
        <f>T("Appareils électriques pour le chauffage des locaux, du sol ou pour usages simil. (sauf radiateurs à accumulation)")</f>
        <v>Appareils électriques pour le chauffage des locaux, du sol ou pour usages simil. (sauf radiateurs à accumulation)</v>
      </c>
    </row>
    <row r="12890" spans="1:4" x14ac:dyDescent="0.25">
      <c r="A12890" t="str">
        <f>T("   ZZZ_Monde")</f>
        <v xml:space="preserve">   ZZZ_Monde</v>
      </c>
      <c r="B12890" t="str">
        <f>T("   ZZZ_Monde")</f>
        <v xml:space="preserve">   ZZZ_Monde</v>
      </c>
      <c r="C12890">
        <v>4305565</v>
      </c>
      <c r="D12890">
        <v>17757</v>
      </c>
    </row>
    <row r="12891" spans="1:4" x14ac:dyDescent="0.25">
      <c r="A12891" t="str">
        <f>T("   BE")</f>
        <v xml:space="preserve">   BE</v>
      </c>
      <c r="B12891" t="str">
        <f>T("   Belgique")</f>
        <v xml:space="preserve">   Belgique</v>
      </c>
      <c r="C12891">
        <v>200000</v>
      </c>
      <c r="D12891">
        <v>100</v>
      </c>
    </row>
    <row r="12892" spans="1:4" x14ac:dyDescent="0.25">
      <c r="A12892" t="str">
        <f>T("   CN")</f>
        <v xml:space="preserve">   CN</v>
      </c>
      <c r="B12892" t="str">
        <f>T("   Chine")</f>
        <v xml:space="preserve">   Chine</v>
      </c>
      <c r="C12892">
        <v>1198375</v>
      </c>
      <c r="D12892">
        <v>590</v>
      </c>
    </row>
    <row r="12893" spans="1:4" x14ac:dyDescent="0.25">
      <c r="A12893" t="str">
        <f>T("   GB")</f>
        <v xml:space="preserve">   GB</v>
      </c>
      <c r="B12893" t="str">
        <f>T("   Royaume-Uni")</f>
        <v xml:space="preserve">   Royaume-Uni</v>
      </c>
      <c r="C12893">
        <v>100000</v>
      </c>
      <c r="D12893">
        <v>500</v>
      </c>
    </row>
    <row r="12894" spans="1:4" x14ac:dyDescent="0.25">
      <c r="A12894" t="str">
        <f>T("   SA")</f>
        <v xml:space="preserve">   SA</v>
      </c>
      <c r="B12894" t="str">
        <f>T("   Arabie Saoudite")</f>
        <v xml:space="preserve">   Arabie Saoudite</v>
      </c>
      <c r="C12894">
        <v>7190</v>
      </c>
      <c r="D12894">
        <v>6</v>
      </c>
    </row>
    <row r="12895" spans="1:4" x14ac:dyDescent="0.25">
      <c r="A12895" t="str">
        <f>T("   US")</f>
        <v xml:space="preserve">   US</v>
      </c>
      <c r="B12895" t="str">
        <f>T("   Etats-Unis")</f>
        <v xml:space="preserve">   Etats-Unis</v>
      </c>
      <c r="C12895">
        <v>300000</v>
      </c>
      <c r="D12895">
        <v>804</v>
      </c>
    </row>
    <row r="12896" spans="1:4" x14ac:dyDescent="0.25">
      <c r="A12896" t="str">
        <f>T("   Z2")</f>
        <v xml:space="preserve">   Z2</v>
      </c>
      <c r="B12896" t="str">
        <f>T("   Pays non défini")</f>
        <v xml:space="preserve">   Pays non défini</v>
      </c>
      <c r="C12896">
        <v>2500000</v>
      </c>
      <c r="D12896">
        <v>15757</v>
      </c>
    </row>
    <row r="12897" spans="1:4" x14ac:dyDescent="0.25">
      <c r="A12897" t="str">
        <f>T("851631")</f>
        <v>851631</v>
      </c>
      <c r="B12897" t="str">
        <f>T("Sèche-cheveux électriques")</f>
        <v>Sèche-cheveux électriques</v>
      </c>
    </row>
    <row r="12898" spans="1:4" x14ac:dyDescent="0.25">
      <c r="A12898" t="str">
        <f>T("   ZZZ_Monde")</f>
        <v xml:space="preserve">   ZZZ_Monde</v>
      </c>
      <c r="B12898" t="str">
        <f>T("   ZZZ_Monde")</f>
        <v xml:space="preserve">   ZZZ_Monde</v>
      </c>
      <c r="C12898">
        <v>2186141</v>
      </c>
      <c r="D12898">
        <v>3834</v>
      </c>
    </row>
    <row r="12899" spans="1:4" x14ac:dyDescent="0.25">
      <c r="A12899" t="str">
        <f>T("   AE")</f>
        <v xml:space="preserve">   AE</v>
      </c>
      <c r="B12899" t="str">
        <f>T("   Emirats Arabes Unis")</f>
        <v xml:space="preserve">   Emirats Arabes Unis</v>
      </c>
      <c r="C12899">
        <v>563188</v>
      </c>
      <c r="D12899">
        <v>1000</v>
      </c>
    </row>
    <row r="12900" spans="1:4" x14ac:dyDescent="0.25">
      <c r="A12900" t="str">
        <f>T("   FR")</f>
        <v xml:space="preserve">   FR</v>
      </c>
      <c r="B12900" t="str">
        <f>T("   France")</f>
        <v xml:space="preserve">   France</v>
      </c>
      <c r="C12900">
        <v>1366365</v>
      </c>
      <c r="D12900">
        <v>274</v>
      </c>
    </row>
    <row r="12901" spans="1:4" x14ac:dyDescent="0.25">
      <c r="A12901" t="str">
        <f>T("   GB")</f>
        <v xml:space="preserve">   GB</v>
      </c>
      <c r="B12901" t="str">
        <f>T("   Royaume-Uni")</f>
        <v xml:space="preserve">   Royaume-Uni</v>
      </c>
      <c r="C12901">
        <v>236588</v>
      </c>
      <c r="D12901">
        <v>2540</v>
      </c>
    </row>
    <row r="12902" spans="1:4" x14ac:dyDescent="0.25">
      <c r="A12902" t="str">
        <f>T("   NG")</f>
        <v xml:space="preserve">   NG</v>
      </c>
      <c r="B12902" t="str">
        <f>T("   Nigéria")</f>
        <v xml:space="preserve">   Nigéria</v>
      </c>
      <c r="C12902">
        <v>20000</v>
      </c>
      <c r="D12902">
        <v>20</v>
      </c>
    </row>
    <row r="12903" spans="1:4" x14ac:dyDescent="0.25">
      <c r="A12903" t="str">
        <f>T("851632")</f>
        <v>851632</v>
      </c>
      <c r="B12903" t="str">
        <f>T("Appareils électrothermiques pour la coiffure (autres que sèche-cheveux)")</f>
        <v>Appareils électrothermiques pour la coiffure (autres que sèche-cheveux)</v>
      </c>
    </row>
    <row r="12904" spans="1:4" x14ac:dyDescent="0.25">
      <c r="A12904" t="str">
        <f>T("   ZZZ_Monde")</f>
        <v xml:space="preserve">   ZZZ_Monde</v>
      </c>
      <c r="B12904" t="str">
        <f>T("   ZZZ_Monde")</f>
        <v xml:space="preserve">   ZZZ_Monde</v>
      </c>
      <c r="C12904">
        <v>4466836</v>
      </c>
      <c r="D12904">
        <v>4382</v>
      </c>
    </row>
    <row r="12905" spans="1:4" x14ac:dyDescent="0.25">
      <c r="A12905" t="str">
        <f>T("   CN")</f>
        <v xml:space="preserve">   CN</v>
      </c>
      <c r="B12905" t="str">
        <f>T("   Chine")</f>
        <v xml:space="preserve">   Chine</v>
      </c>
      <c r="C12905">
        <v>3129334</v>
      </c>
      <c r="D12905">
        <v>4231</v>
      </c>
    </row>
    <row r="12906" spans="1:4" x14ac:dyDescent="0.25">
      <c r="A12906" t="str">
        <f>T("   FR")</f>
        <v xml:space="preserve">   FR</v>
      </c>
      <c r="B12906" t="str">
        <f>T("   France")</f>
        <v xml:space="preserve">   France</v>
      </c>
      <c r="C12906">
        <v>1337502</v>
      </c>
      <c r="D12906">
        <v>151</v>
      </c>
    </row>
    <row r="12907" spans="1:4" x14ac:dyDescent="0.25">
      <c r="A12907" t="str">
        <f>T("851640")</f>
        <v>851640</v>
      </c>
      <c r="B12907" t="str">
        <f>T("Fers à repasser électriques")</f>
        <v>Fers à repasser électriques</v>
      </c>
    </row>
    <row r="12908" spans="1:4" x14ac:dyDescent="0.25">
      <c r="A12908" t="str">
        <f>T("   ZZZ_Monde")</f>
        <v xml:space="preserve">   ZZZ_Monde</v>
      </c>
      <c r="B12908" t="str">
        <f>T("   ZZZ_Monde")</f>
        <v xml:space="preserve">   ZZZ_Monde</v>
      </c>
      <c r="C12908">
        <v>21035036</v>
      </c>
      <c r="D12908">
        <v>22508</v>
      </c>
    </row>
    <row r="12909" spans="1:4" x14ac:dyDescent="0.25">
      <c r="A12909" t="str">
        <f>T("   CN")</f>
        <v xml:space="preserve">   CN</v>
      </c>
      <c r="B12909" t="str">
        <f>T("   Chine")</f>
        <v xml:space="preserve">   Chine</v>
      </c>
      <c r="C12909">
        <v>2591218</v>
      </c>
      <c r="D12909">
        <v>856</v>
      </c>
    </row>
    <row r="12910" spans="1:4" x14ac:dyDescent="0.25">
      <c r="A12910" t="str">
        <f>T("   DE")</f>
        <v xml:space="preserve">   DE</v>
      </c>
      <c r="B12910" t="str">
        <f>T("   Allemagne")</f>
        <v xml:space="preserve">   Allemagne</v>
      </c>
      <c r="C12910">
        <v>459172</v>
      </c>
      <c r="D12910">
        <v>200</v>
      </c>
    </row>
    <row r="12911" spans="1:4" x14ac:dyDescent="0.25">
      <c r="A12911" t="str">
        <f>T("   FR")</f>
        <v xml:space="preserve">   FR</v>
      </c>
      <c r="B12911" t="str">
        <f>T("   France")</f>
        <v xml:space="preserve">   France</v>
      </c>
      <c r="C12911">
        <v>7807620</v>
      </c>
      <c r="D12911">
        <v>3174</v>
      </c>
    </row>
    <row r="12912" spans="1:4" x14ac:dyDescent="0.25">
      <c r="A12912" t="str">
        <f>T("   GB")</f>
        <v xml:space="preserve">   GB</v>
      </c>
      <c r="B12912" t="str">
        <f>T("   Royaume-Uni")</f>
        <v xml:space="preserve">   Royaume-Uni</v>
      </c>
      <c r="C12912">
        <v>5798450</v>
      </c>
      <c r="D12912">
        <v>5384</v>
      </c>
    </row>
    <row r="12913" spans="1:4" x14ac:dyDescent="0.25">
      <c r="A12913" t="str">
        <f>T("   GH")</f>
        <v xml:space="preserve">   GH</v>
      </c>
      <c r="B12913" t="str">
        <f>T("   Ghana")</f>
        <v xml:space="preserve">   Ghana</v>
      </c>
      <c r="C12913">
        <v>1352111</v>
      </c>
      <c r="D12913">
        <v>876</v>
      </c>
    </row>
    <row r="12914" spans="1:4" x14ac:dyDescent="0.25">
      <c r="A12914" t="str">
        <f>T("   LB")</f>
        <v xml:space="preserve">   LB</v>
      </c>
      <c r="B12914" t="str">
        <f>T("   Liban")</f>
        <v xml:space="preserve">   Liban</v>
      </c>
      <c r="C12914">
        <v>122009</v>
      </c>
      <c r="D12914">
        <v>168</v>
      </c>
    </row>
    <row r="12915" spans="1:4" x14ac:dyDescent="0.25">
      <c r="A12915" t="str">
        <f>T("   SG")</f>
        <v xml:space="preserve">   SG</v>
      </c>
      <c r="B12915" t="str">
        <f>T("   Singapour")</f>
        <v xml:space="preserve">   Singapour</v>
      </c>
      <c r="C12915">
        <v>455919</v>
      </c>
      <c r="D12915">
        <v>100</v>
      </c>
    </row>
    <row r="12916" spans="1:4" x14ac:dyDescent="0.25">
      <c r="A12916" t="str">
        <f>T("   TG")</f>
        <v xml:space="preserve">   TG</v>
      </c>
      <c r="B12916" t="str">
        <f>T("   Togo")</f>
        <v xml:space="preserve">   Togo</v>
      </c>
      <c r="C12916">
        <v>2448537</v>
      </c>
      <c r="D12916">
        <v>11750</v>
      </c>
    </row>
    <row r="12917" spans="1:4" x14ac:dyDescent="0.25">
      <c r="A12917" t="str">
        <f>T("851650")</f>
        <v>851650</v>
      </c>
      <c r="B12917" t="str">
        <f>T("Fours à micro-ondes")</f>
        <v>Fours à micro-ondes</v>
      </c>
    </row>
    <row r="12918" spans="1:4" x14ac:dyDescent="0.25">
      <c r="A12918" t="str">
        <f>T("   ZZZ_Monde")</f>
        <v xml:space="preserve">   ZZZ_Monde</v>
      </c>
      <c r="B12918" t="str">
        <f>T("   ZZZ_Monde")</f>
        <v xml:space="preserve">   ZZZ_Monde</v>
      </c>
      <c r="C12918">
        <v>18838688</v>
      </c>
      <c r="D12918">
        <v>25307</v>
      </c>
    </row>
    <row r="12919" spans="1:4" x14ac:dyDescent="0.25">
      <c r="A12919" t="str">
        <f>T("   BE")</f>
        <v xml:space="preserve">   BE</v>
      </c>
      <c r="B12919" t="str">
        <f>T("   Belgique")</f>
        <v xml:space="preserve">   Belgique</v>
      </c>
      <c r="C12919">
        <v>1603823</v>
      </c>
      <c r="D12919">
        <v>2469</v>
      </c>
    </row>
    <row r="12920" spans="1:4" x14ac:dyDescent="0.25">
      <c r="A12920" t="str">
        <f>T("   CN")</f>
        <v xml:space="preserve">   CN</v>
      </c>
      <c r="B12920" t="str">
        <f>T("   Chine")</f>
        <v xml:space="preserve">   Chine</v>
      </c>
      <c r="C12920">
        <v>4929310</v>
      </c>
      <c r="D12920">
        <v>1943</v>
      </c>
    </row>
    <row r="12921" spans="1:4" x14ac:dyDescent="0.25">
      <c r="A12921" t="str">
        <f>T("   FR")</f>
        <v xml:space="preserve">   FR</v>
      </c>
      <c r="B12921" t="str">
        <f>T("   France")</f>
        <v xml:space="preserve">   France</v>
      </c>
      <c r="C12921">
        <v>430966</v>
      </c>
      <c r="D12921">
        <v>1500</v>
      </c>
    </row>
    <row r="12922" spans="1:4" x14ac:dyDescent="0.25">
      <c r="A12922" t="str">
        <f>T("   GB")</f>
        <v xml:space="preserve">   GB</v>
      </c>
      <c r="B12922" t="str">
        <f>T("   Royaume-Uni")</f>
        <v xml:space="preserve">   Royaume-Uni</v>
      </c>
      <c r="C12922">
        <v>4476665</v>
      </c>
      <c r="D12922">
        <v>7331</v>
      </c>
    </row>
    <row r="12923" spans="1:4" x14ac:dyDescent="0.25">
      <c r="A12923" t="str">
        <f>T("   LB")</f>
        <v xml:space="preserve">   LB</v>
      </c>
      <c r="B12923" t="str">
        <f>T("   Liban")</f>
        <v xml:space="preserve">   Liban</v>
      </c>
      <c r="C12923">
        <v>1187511</v>
      </c>
      <c r="D12923">
        <v>1629</v>
      </c>
    </row>
    <row r="12924" spans="1:4" x14ac:dyDescent="0.25">
      <c r="A12924" t="str">
        <f>T("   NG")</f>
        <v xml:space="preserve">   NG</v>
      </c>
      <c r="B12924" t="str">
        <f>T("   Nigéria")</f>
        <v xml:space="preserve">   Nigéria</v>
      </c>
      <c r="C12924">
        <v>40000</v>
      </c>
      <c r="D12924">
        <v>50</v>
      </c>
    </row>
    <row r="12925" spans="1:4" x14ac:dyDescent="0.25">
      <c r="A12925" t="str">
        <f>T("   SG")</f>
        <v xml:space="preserve">   SG</v>
      </c>
      <c r="B12925" t="str">
        <f>T("   Singapour")</f>
        <v xml:space="preserve">   Singapour</v>
      </c>
      <c r="C12925">
        <v>2343095</v>
      </c>
      <c r="D12925">
        <v>1465</v>
      </c>
    </row>
    <row r="12926" spans="1:4" x14ac:dyDescent="0.25">
      <c r="A12926" t="str">
        <f>T("   TG")</f>
        <v xml:space="preserve">   TG</v>
      </c>
      <c r="B12926" t="str">
        <f>T("   Togo")</f>
        <v xml:space="preserve">   Togo</v>
      </c>
      <c r="C12926">
        <v>3827318</v>
      </c>
      <c r="D12926">
        <v>8920</v>
      </c>
    </row>
    <row r="12927" spans="1:4" x14ac:dyDescent="0.25">
      <c r="A12927" t="str">
        <f>T("851660")</f>
        <v>851660</v>
      </c>
      <c r="B12927" t="str">
        <f>T("Fours, cuisinières, réchauds, tables de cuisson, grils et rôtissoires électriques, pour usages domestiques (sauf fours destinés au chauffage des locaux et fours à micro-ondes)")</f>
        <v>Fours, cuisinières, réchauds, tables de cuisson, grils et rôtissoires électriques, pour usages domestiques (sauf fours destinés au chauffage des locaux et fours à micro-ondes)</v>
      </c>
    </row>
    <row r="12928" spans="1:4" x14ac:dyDescent="0.25">
      <c r="A12928" t="str">
        <f>T("   ZZZ_Monde")</f>
        <v xml:space="preserve">   ZZZ_Monde</v>
      </c>
      <c r="B12928" t="str">
        <f>T("   ZZZ_Monde")</f>
        <v xml:space="preserve">   ZZZ_Monde</v>
      </c>
      <c r="C12928">
        <v>109702224</v>
      </c>
      <c r="D12928">
        <v>100800</v>
      </c>
    </row>
    <row r="12929" spans="1:4" x14ac:dyDescent="0.25">
      <c r="A12929" t="str">
        <f>T("   BE")</f>
        <v xml:space="preserve">   BE</v>
      </c>
      <c r="B12929" t="str">
        <f>T("   Belgique")</f>
        <v xml:space="preserve">   Belgique</v>
      </c>
      <c r="C12929">
        <v>107577</v>
      </c>
      <c r="D12929">
        <v>200</v>
      </c>
    </row>
    <row r="12930" spans="1:4" x14ac:dyDescent="0.25">
      <c r="A12930" t="str">
        <f>T("   CN")</f>
        <v xml:space="preserve">   CN</v>
      </c>
      <c r="B12930" t="str">
        <f>T("   Chine")</f>
        <v xml:space="preserve">   Chine</v>
      </c>
      <c r="C12930">
        <v>11166160</v>
      </c>
      <c r="D12930">
        <v>7169</v>
      </c>
    </row>
    <row r="12931" spans="1:4" x14ac:dyDescent="0.25">
      <c r="A12931" t="str">
        <f>T("   EG")</f>
        <v xml:space="preserve">   EG</v>
      </c>
      <c r="B12931" t="str">
        <f>T("   Egypte")</f>
        <v xml:space="preserve">   Egypte</v>
      </c>
      <c r="C12931">
        <v>8453510</v>
      </c>
      <c r="D12931">
        <v>6693</v>
      </c>
    </row>
    <row r="12932" spans="1:4" x14ac:dyDescent="0.25">
      <c r="A12932" t="str">
        <f>T("   ES")</f>
        <v xml:space="preserve">   ES</v>
      </c>
      <c r="B12932" t="str">
        <f>T("   Espagne")</f>
        <v xml:space="preserve">   Espagne</v>
      </c>
      <c r="C12932">
        <v>89263</v>
      </c>
      <c r="D12932">
        <v>100</v>
      </c>
    </row>
    <row r="12933" spans="1:4" x14ac:dyDescent="0.25">
      <c r="A12933" t="str">
        <f>T("   FR")</f>
        <v xml:space="preserve">   FR</v>
      </c>
      <c r="B12933" t="str">
        <f>T("   France")</f>
        <v xml:space="preserve">   France</v>
      </c>
      <c r="C12933">
        <v>7175507</v>
      </c>
      <c r="D12933">
        <v>6744</v>
      </c>
    </row>
    <row r="12934" spans="1:4" x14ac:dyDescent="0.25">
      <c r="A12934" t="str">
        <f>T("   IR")</f>
        <v xml:space="preserve">   IR</v>
      </c>
      <c r="B12934" t="str">
        <f>T("   Iran, République Islqmique d'")</f>
        <v xml:space="preserve">   Iran, République Islqmique d'</v>
      </c>
      <c r="C12934">
        <v>540316</v>
      </c>
      <c r="D12934">
        <v>230</v>
      </c>
    </row>
    <row r="12935" spans="1:4" x14ac:dyDescent="0.25">
      <c r="A12935" t="str">
        <f>T("   IT")</f>
        <v xml:space="preserve">   IT</v>
      </c>
      <c r="B12935" t="str">
        <f>T("   Italie")</f>
        <v xml:space="preserve">   Italie</v>
      </c>
      <c r="C12935">
        <v>30399308</v>
      </c>
      <c r="D12935">
        <v>26178</v>
      </c>
    </row>
    <row r="12936" spans="1:4" x14ac:dyDescent="0.25">
      <c r="A12936" t="str">
        <f>T("   LB")</f>
        <v xml:space="preserve">   LB</v>
      </c>
      <c r="B12936" t="str">
        <f>T("   Liban")</f>
        <v xml:space="preserve">   Liban</v>
      </c>
      <c r="C12936">
        <v>15432771</v>
      </c>
      <c r="D12936">
        <v>15281</v>
      </c>
    </row>
    <row r="12937" spans="1:4" x14ac:dyDescent="0.25">
      <c r="A12937" t="str">
        <f>T("   NG")</f>
        <v xml:space="preserve">   NG</v>
      </c>
      <c r="B12937" t="str">
        <f>T("   Nigéria")</f>
        <v xml:space="preserve">   Nigéria</v>
      </c>
      <c r="C12937">
        <v>256538</v>
      </c>
      <c r="D12937">
        <v>300</v>
      </c>
    </row>
    <row r="12938" spans="1:4" x14ac:dyDescent="0.25">
      <c r="A12938" t="str">
        <f>T("   SG")</f>
        <v xml:space="preserve">   SG</v>
      </c>
      <c r="B12938" t="str">
        <f>T("   Singapour")</f>
        <v xml:space="preserve">   Singapour</v>
      </c>
      <c r="C12938">
        <v>333628</v>
      </c>
      <c r="D12938">
        <v>96</v>
      </c>
    </row>
    <row r="12939" spans="1:4" x14ac:dyDescent="0.25">
      <c r="A12939" t="str">
        <f>T("   TG")</f>
        <v xml:space="preserve">   TG</v>
      </c>
      <c r="B12939" t="str">
        <f>T("   Togo")</f>
        <v xml:space="preserve">   Togo</v>
      </c>
      <c r="C12939">
        <v>28372</v>
      </c>
      <c r="D12939">
        <v>136</v>
      </c>
    </row>
    <row r="12940" spans="1:4" x14ac:dyDescent="0.25">
      <c r="A12940" t="str">
        <f>T("   TR")</f>
        <v xml:space="preserve">   TR</v>
      </c>
      <c r="B12940" t="str">
        <f>T("   Turquie")</f>
        <v xml:space="preserve">   Turquie</v>
      </c>
      <c r="C12940">
        <v>35218912</v>
      </c>
      <c r="D12940">
        <v>30123</v>
      </c>
    </row>
    <row r="12941" spans="1:4" x14ac:dyDescent="0.25">
      <c r="A12941" t="str">
        <f>T("   US")</f>
        <v xml:space="preserve">   US</v>
      </c>
      <c r="B12941" t="str">
        <f>T("   Etats-Unis")</f>
        <v xml:space="preserve">   Etats-Unis</v>
      </c>
      <c r="C12941">
        <v>500362</v>
      </c>
      <c r="D12941">
        <v>7550</v>
      </c>
    </row>
    <row r="12942" spans="1:4" x14ac:dyDescent="0.25">
      <c r="A12942" t="str">
        <f>T("851671")</f>
        <v>851671</v>
      </c>
      <c r="B12942" t="str">
        <f>T("Appareils électriques pour la préparation du café ou du thé, pour usages domestiques")</f>
        <v>Appareils électriques pour la préparation du café ou du thé, pour usages domestiques</v>
      </c>
    </row>
    <row r="12943" spans="1:4" x14ac:dyDescent="0.25">
      <c r="A12943" t="str">
        <f>T("   ZZZ_Monde")</f>
        <v xml:space="preserve">   ZZZ_Monde</v>
      </c>
      <c r="B12943" t="str">
        <f>T("   ZZZ_Monde")</f>
        <v xml:space="preserve">   ZZZ_Monde</v>
      </c>
      <c r="C12943">
        <v>38754053</v>
      </c>
      <c r="D12943">
        <v>11693</v>
      </c>
    </row>
    <row r="12944" spans="1:4" x14ac:dyDescent="0.25">
      <c r="A12944" t="str">
        <f>T("   CN")</f>
        <v xml:space="preserve">   CN</v>
      </c>
      <c r="B12944" t="str">
        <f>T("   Chine")</f>
        <v xml:space="preserve">   Chine</v>
      </c>
      <c r="C12944">
        <v>3567677</v>
      </c>
      <c r="D12944">
        <v>892</v>
      </c>
    </row>
    <row r="12945" spans="1:4" x14ac:dyDescent="0.25">
      <c r="A12945" t="str">
        <f>T("   FR")</f>
        <v xml:space="preserve">   FR</v>
      </c>
      <c r="B12945" t="str">
        <f>T("   France")</f>
        <v xml:space="preserve">   France</v>
      </c>
      <c r="C12945">
        <v>34232515</v>
      </c>
      <c r="D12945">
        <v>9748</v>
      </c>
    </row>
    <row r="12946" spans="1:4" x14ac:dyDescent="0.25">
      <c r="A12946" t="str">
        <f>T("   GH")</f>
        <v xml:space="preserve">   GH</v>
      </c>
      <c r="B12946" t="str">
        <f>T("   Ghana")</f>
        <v xml:space="preserve">   Ghana</v>
      </c>
      <c r="C12946">
        <v>166523</v>
      </c>
      <c r="D12946">
        <v>93</v>
      </c>
    </row>
    <row r="12947" spans="1:4" x14ac:dyDescent="0.25">
      <c r="A12947" t="str">
        <f>T("   LB")</f>
        <v xml:space="preserve">   LB</v>
      </c>
      <c r="B12947" t="str">
        <f>T("   Liban")</f>
        <v xml:space="preserve">   Liban</v>
      </c>
      <c r="C12947">
        <v>498045</v>
      </c>
      <c r="D12947">
        <v>768</v>
      </c>
    </row>
    <row r="12948" spans="1:4" x14ac:dyDescent="0.25">
      <c r="A12948" t="str">
        <f>T("   SG")</f>
        <v xml:space="preserve">   SG</v>
      </c>
      <c r="B12948" t="str">
        <f>T("   Singapour")</f>
        <v xml:space="preserve">   Singapour</v>
      </c>
      <c r="C12948">
        <v>289293</v>
      </c>
      <c r="D12948">
        <v>192</v>
      </c>
    </row>
    <row r="12949" spans="1:4" x14ac:dyDescent="0.25">
      <c r="A12949" t="str">
        <f>T("851679")</f>
        <v>851679</v>
      </c>
      <c r="B12949" t="str">
        <f>T("Appareils électrothermiques, pour usages domestiques (autres que pour la coiffure ou pour sécher les mains, pour le chauffage des locaux, du sol ou pour usages simil.; autres que chauffe-eau, thermoplongeurs, fers à repasser, fours à micro-ondes, fours et")</f>
        <v>Appareils électrothermiques, pour usages domestiques (autres que pour la coiffure ou pour sécher les mains, pour le chauffage des locaux, du sol ou pour usages simil.; autres que chauffe-eau, thermoplongeurs, fers à repasser, fours à micro-ondes, fours et</v>
      </c>
    </row>
    <row r="12950" spans="1:4" x14ac:dyDescent="0.25">
      <c r="A12950" t="str">
        <f>T("   ZZZ_Monde")</f>
        <v xml:space="preserve">   ZZZ_Monde</v>
      </c>
      <c r="B12950" t="str">
        <f>T("   ZZZ_Monde")</f>
        <v xml:space="preserve">   ZZZ_Monde</v>
      </c>
      <c r="C12950">
        <v>31255635</v>
      </c>
      <c r="D12950">
        <v>53545</v>
      </c>
    </row>
    <row r="12951" spans="1:4" x14ac:dyDescent="0.25">
      <c r="A12951" t="str">
        <f>T("   BE")</f>
        <v xml:space="preserve">   BE</v>
      </c>
      <c r="B12951" t="str">
        <f>T("   Belgique")</f>
        <v xml:space="preserve">   Belgique</v>
      </c>
      <c r="C12951">
        <v>1500181</v>
      </c>
      <c r="D12951">
        <v>18650</v>
      </c>
    </row>
    <row r="12952" spans="1:4" x14ac:dyDescent="0.25">
      <c r="A12952" t="str">
        <f>T("   CN")</f>
        <v xml:space="preserve">   CN</v>
      </c>
      <c r="B12952" t="str">
        <f>T("   Chine")</f>
        <v xml:space="preserve">   Chine</v>
      </c>
      <c r="C12952">
        <v>11232633</v>
      </c>
      <c r="D12952">
        <v>9216</v>
      </c>
    </row>
    <row r="12953" spans="1:4" x14ac:dyDescent="0.25">
      <c r="A12953" t="str">
        <f>T("   FR")</f>
        <v xml:space="preserve">   FR</v>
      </c>
      <c r="B12953" t="str">
        <f>T("   France")</f>
        <v xml:space="preserve">   France</v>
      </c>
      <c r="C12953">
        <v>9059190</v>
      </c>
      <c r="D12953">
        <v>3741</v>
      </c>
    </row>
    <row r="12954" spans="1:4" x14ac:dyDescent="0.25">
      <c r="A12954" t="str">
        <f>T("   GH")</f>
        <v xml:space="preserve">   GH</v>
      </c>
      <c r="B12954" t="str">
        <f>T("   Ghana")</f>
        <v xml:space="preserve">   Ghana</v>
      </c>
      <c r="C12954">
        <v>585192</v>
      </c>
      <c r="D12954">
        <v>326</v>
      </c>
    </row>
    <row r="12955" spans="1:4" x14ac:dyDescent="0.25">
      <c r="A12955" t="str">
        <f>T("   IT")</f>
        <v xml:space="preserve">   IT</v>
      </c>
      <c r="B12955" t="str">
        <f>T("   Italie")</f>
        <v xml:space="preserve">   Italie</v>
      </c>
      <c r="C12955">
        <v>1550430</v>
      </c>
      <c r="D12955">
        <v>8510</v>
      </c>
    </row>
    <row r="12956" spans="1:4" x14ac:dyDescent="0.25">
      <c r="A12956" t="str">
        <f>T("   LB")</f>
        <v xml:space="preserve">   LB</v>
      </c>
      <c r="B12956" t="str">
        <f>T("   Liban")</f>
        <v xml:space="preserve">   Liban</v>
      </c>
      <c r="C12956">
        <v>789120</v>
      </c>
      <c r="D12956">
        <v>819</v>
      </c>
    </row>
    <row r="12957" spans="1:4" x14ac:dyDescent="0.25">
      <c r="A12957" t="str">
        <f>T("   SG")</f>
        <v xml:space="preserve">   SG</v>
      </c>
      <c r="B12957" t="str">
        <f>T("   Singapour")</f>
        <v xml:space="preserve">   Singapour</v>
      </c>
      <c r="C12957">
        <v>709025</v>
      </c>
      <c r="D12957">
        <v>1000</v>
      </c>
    </row>
    <row r="12958" spans="1:4" x14ac:dyDescent="0.25">
      <c r="A12958" t="str">
        <f>T("   US")</f>
        <v xml:space="preserve">   US</v>
      </c>
      <c r="B12958" t="str">
        <f>T("   Etats-Unis")</f>
        <v xml:space="preserve">   Etats-Unis</v>
      </c>
      <c r="C12958">
        <v>5829864</v>
      </c>
      <c r="D12958">
        <v>11283</v>
      </c>
    </row>
    <row r="12959" spans="1:4" x14ac:dyDescent="0.25">
      <c r="A12959" t="str">
        <f>T("851680")</f>
        <v>851680</v>
      </c>
      <c r="B12959" t="str">
        <f>T("Résistances chauffantes (autres qu'en charbon aggloméré ou graphite)")</f>
        <v>Résistances chauffantes (autres qu'en charbon aggloméré ou graphite)</v>
      </c>
    </row>
    <row r="12960" spans="1:4" x14ac:dyDescent="0.25">
      <c r="A12960" t="str">
        <f>T("   ZZZ_Monde")</f>
        <v xml:space="preserve">   ZZZ_Monde</v>
      </c>
      <c r="B12960" t="str">
        <f>T("   ZZZ_Monde")</f>
        <v xml:space="preserve">   ZZZ_Monde</v>
      </c>
      <c r="C12960">
        <v>1147253</v>
      </c>
      <c r="D12960">
        <v>22</v>
      </c>
    </row>
    <row r="12961" spans="1:4" x14ac:dyDescent="0.25">
      <c r="A12961" t="str">
        <f>T("   FR")</f>
        <v xml:space="preserve">   FR</v>
      </c>
      <c r="B12961" t="str">
        <f>T("   France")</f>
        <v xml:space="preserve">   France</v>
      </c>
      <c r="C12961">
        <v>1147253</v>
      </c>
      <c r="D12961">
        <v>22</v>
      </c>
    </row>
    <row r="12962" spans="1:4" x14ac:dyDescent="0.25">
      <c r="A12962" t="str">
        <f>T("851690")</f>
        <v>851690</v>
      </c>
      <c r="B12962" t="str">
        <f>T("Parties des chauffe-eau, appareils de chauffage des locaux, appareils électriques pour la coiffure ou pour sécher les mains, appareils électrothermiques pour usages domestiques et résistances chauffantes, n.d.a.")</f>
        <v>Parties des chauffe-eau, appareils de chauffage des locaux, appareils électriques pour la coiffure ou pour sécher les mains, appareils électrothermiques pour usages domestiques et résistances chauffantes, n.d.a.</v>
      </c>
    </row>
    <row r="12963" spans="1:4" x14ac:dyDescent="0.25">
      <c r="A12963" t="str">
        <f>T("   ZZZ_Monde")</f>
        <v xml:space="preserve">   ZZZ_Monde</v>
      </c>
      <c r="B12963" t="str">
        <f>T("   ZZZ_Monde")</f>
        <v xml:space="preserve">   ZZZ_Monde</v>
      </c>
      <c r="C12963">
        <v>51203034</v>
      </c>
      <c r="D12963">
        <v>7607</v>
      </c>
    </row>
    <row r="12964" spans="1:4" x14ac:dyDescent="0.25">
      <c r="A12964" t="str">
        <f>T("   CN")</f>
        <v xml:space="preserve">   CN</v>
      </c>
      <c r="B12964" t="str">
        <f>T("   Chine")</f>
        <v xml:space="preserve">   Chine</v>
      </c>
      <c r="C12964">
        <v>9840</v>
      </c>
      <c r="D12964">
        <v>15</v>
      </c>
    </row>
    <row r="12965" spans="1:4" x14ac:dyDescent="0.25">
      <c r="A12965" t="str">
        <f>T("   EG")</f>
        <v xml:space="preserve">   EG</v>
      </c>
      <c r="B12965" t="str">
        <f>T("   Egypte")</f>
        <v xml:space="preserve">   Egypte</v>
      </c>
      <c r="C12965">
        <v>3006</v>
      </c>
      <c r="D12965">
        <v>53</v>
      </c>
    </row>
    <row r="12966" spans="1:4" x14ac:dyDescent="0.25">
      <c r="A12966" t="str">
        <f>T("   FR")</f>
        <v xml:space="preserve">   FR</v>
      </c>
      <c r="B12966" t="str">
        <f>T("   France")</f>
        <v xml:space="preserve">   France</v>
      </c>
      <c r="C12966">
        <v>3297057</v>
      </c>
      <c r="D12966">
        <v>129</v>
      </c>
    </row>
    <row r="12967" spans="1:4" x14ac:dyDescent="0.25">
      <c r="A12967" t="str">
        <f>T("   LB")</f>
        <v xml:space="preserve">   LB</v>
      </c>
      <c r="B12967" t="str">
        <f>T("   Liban")</f>
        <v xml:space="preserve">   Liban</v>
      </c>
      <c r="C12967">
        <v>152839</v>
      </c>
      <c r="D12967">
        <v>210</v>
      </c>
    </row>
    <row r="12968" spans="1:4" x14ac:dyDescent="0.25">
      <c r="A12968" t="str">
        <f>T("   NG")</f>
        <v xml:space="preserve">   NG</v>
      </c>
      <c r="B12968" t="str">
        <f>T("   Nigéria")</f>
        <v xml:space="preserve">   Nigéria</v>
      </c>
      <c r="C12968">
        <v>47740292</v>
      </c>
      <c r="D12968">
        <v>7200</v>
      </c>
    </row>
    <row r="12969" spans="1:4" x14ac:dyDescent="0.25">
      <c r="A12969" t="str">
        <f>T("851711")</f>
        <v>851711</v>
      </c>
      <c r="B12969" t="str">
        <f>T("Postes téléphoniques d'usagers pour la téléphonie par fil à combinés sans fil")</f>
        <v>Postes téléphoniques d'usagers pour la téléphonie par fil à combinés sans fil</v>
      </c>
    </row>
    <row r="12970" spans="1:4" x14ac:dyDescent="0.25">
      <c r="A12970" t="str">
        <f>T("   ZZZ_Monde")</f>
        <v xml:space="preserve">   ZZZ_Monde</v>
      </c>
      <c r="B12970" t="str">
        <f>T("   ZZZ_Monde")</f>
        <v xml:space="preserve">   ZZZ_Monde</v>
      </c>
      <c r="C12970">
        <v>5653263178</v>
      </c>
      <c r="D12970">
        <v>319313</v>
      </c>
    </row>
    <row r="12971" spans="1:4" x14ac:dyDescent="0.25">
      <c r="A12971" t="str">
        <f>T("   CN")</f>
        <v xml:space="preserve">   CN</v>
      </c>
      <c r="B12971" t="str">
        <f>T("   Chine")</f>
        <v xml:space="preserve">   Chine</v>
      </c>
      <c r="C12971">
        <v>1466533</v>
      </c>
      <c r="D12971">
        <v>400</v>
      </c>
    </row>
    <row r="12972" spans="1:4" x14ac:dyDescent="0.25">
      <c r="A12972" t="str">
        <f>T("   NG")</f>
        <v xml:space="preserve">   NG</v>
      </c>
      <c r="B12972" t="str">
        <f>T("   Nigéria")</f>
        <v xml:space="preserve">   Nigéria</v>
      </c>
      <c r="C12972">
        <v>18792000</v>
      </c>
      <c r="D12972">
        <v>42000</v>
      </c>
    </row>
    <row r="12973" spans="1:4" x14ac:dyDescent="0.25">
      <c r="A12973" t="str">
        <f>T("   PK")</f>
        <v xml:space="preserve">   PK</v>
      </c>
      <c r="B12973" t="str">
        <f>T("   Pakistan")</f>
        <v xml:space="preserve">   Pakistan</v>
      </c>
      <c r="C12973">
        <v>26794664</v>
      </c>
      <c r="D12973">
        <v>429</v>
      </c>
    </row>
    <row r="12974" spans="1:4" x14ac:dyDescent="0.25">
      <c r="A12974" t="str">
        <f>T("   SE")</f>
        <v xml:space="preserve">   SE</v>
      </c>
      <c r="B12974" t="str">
        <f>T("   Suède")</f>
        <v xml:space="preserve">   Suède</v>
      </c>
      <c r="C12974">
        <v>5601536265</v>
      </c>
      <c r="D12974">
        <v>273277</v>
      </c>
    </row>
    <row r="12975" spans="1:4" x14ac:dyDescent="0.25">
      <c r="A12975" t="str">
        <f>T("   SG")</f>
        <v xml:space="preserve">   SG</v>
      </c>
      <c r="B12975" t="str">
        <f>T("   Singapour")</f>
        <v xml:space="preserve">   Singapour</v>
      </c>
      <c r="C12975">
        <v>37869</v>
      </c>
      <c r="D12975">
        <v>7</v>
      </c>
    </row>
    <row r="12976" spans="1:4" x14ac:dyDescent="0.25">
      <c r="A12976" t="str">
        <f>T("   ZA")</f>
        <v xml:space="preserve">   ZA</v>
      </c>
      <c r="B12976" t="str">
        <f>T("   Afrique du Sud")</f>
        <v xml:space="preserve">   Afrique du Sud</v>
      </c>
      <c r="C12976">
        <v>4635847</v>
      </c>
      <c r="D12976">
        <v>3200</v>
      </c>
    </row>
    <row r="12977" spans="1:4" x14ac:dyDescent="0.25">
      <c r="A12977" t="str">
        <f>T("851719")</f>
        <v>851719</v>
      </c>
      <c r="B12977" t="str">
        <f>T("Postes téléphoniques d'usagers pour la téléphonie par fil; visiophones (sauf postes téléphoniques d'usagers par fil à combinés sans fil et parlophones)")</f>
        <v>Postes téléphoniques d'usagers pour la téléphonie par fil; visiophones (sauf postes téléphoniques d'usagers par fil à combinés sans fil et parlophones)</v>
      </c>
    </row>
    <row r="12978" spans="1:4" x14ac:dyDescent="0.25">
      <c r="A12978" t="str">
        <f>T("   ZZZ_Monde")</f>
        <v xml:space="preserve">   ZZZ_Monde</v>
      </c>
      <c r="B12978" t="str">
        <f>T("   ZZZ_Monde")</f>
        <v xml:space="preserve">   ZZZ_Monde</v>
      </c>
      <c r="C12978">
        <v>46012158</v>
      </c>
      <c r="D12978">
        <v>12123.75</v>
      </c>
    </row>
    <row r="12979" spans="1:4" x14ac:dyDescent="0.25">
      <c r="A12979" t="str">
        <f>T("   AE")</f>
        <v xml:space="preserve">   AE</v>
      </c>
      <c r="B12979" t="str">
        <f>T("   Emirats Arabes Unis")</f>
        <v xml:space="preserve">   Emirats Arabes Unis</v>
      </c>
      <c r="C12979">
        <v>525424</v>
      </c>
      <c r="D12979">
        <v>163</v>
      </c>
    </row>
    <row r="12980" spans="1:4" x14ac:dyDescent="0.25">
      <c r="A12980" t="str">
        <f>T("   CH")</f>
        <v xml:space="preserve">   CH</v>
      </c>
      <c r="B12980" t="str">
        <f>T("   Suisse")</f>
        <v xml:space="preserve">   Suisse</v>
      </c>
      <c r="C12980">
        <v>2927508</v>
      </c>
      <c r="D12980">
        <v>928</v>
      </c>
    </row>
    <row r="12981" spans="1:4" x14ac:dyDescent="0.25">
      <c r="A12981" t="str">
        <f>T("   CN")</f>
        <v xml:space="preserve">   CN</v>
      </c>
      <c r="B12981" t="str">
        <f>T("   Chine")</f>
        <v xml:space="preserve">   Chine</v>
      </c>
      <c r="C12981">
        <v>3471485</v>
      </c>
      <c r="D12981">
        <v>4127</v>
      </c>
    </row>
    <row r="12982" spans="1:4" x14ac:dyDescent="0.25">
      <c r="A12982" t="str">
        <f>T("   DE")</f>
        <v xml:space="preserve">   DE</v>
      </c>
      <c r="B12982" t="str">
        <f>T("   Allemagne")</f>
        <v xml:space="preserve">   Allemagne</v>
      </c>
      <c r="C12982">
        <v>721044</v>
      </c>
      <c r="D12982">
        <v>45.75</v>
      </c>
    </row>
    <row r="12983" spans="1:4" x14ac:dyDescent="0.25">
      <c r="A12983" t="str">
        <f>T("   DZ")</f>
        <v xml:space="preserve">   DZ</v>
      </c>
      <c r="B12983" t="str">
        <f>T("   Algérie")</f>
        <v xml:space="preserve">   Algérie</v>
      </c>
      <c r="C12983">
        <v>1118250</v>
      </c>
      <c r="D12983">
        <v>350</v>
      </c>
    </row>
    <row r="12984" spans="1:4" x14ac:dyDescent="0.25">
      <c r="A12984" t="str">
        <f>T("   FR")</f>
        <v xml:space="preserve">   FR</v>
      </c>
      <c r="B12984" t="str">
        <f>T("   France")</f>
        <v xml:space="preserve">   France</v>
      </c>
      <c r="C12984">
        <v>20502296</v>
      </c>
      <c r="D12984">
        <v>1145</v>
      </c>
    </row>
    <row r="12985" spans="1:4" x14ac:dyDescent="0.25">
      <c r="A12985" t="str">
        <f>T("   GB")</f>
        <v xml:space="preserve">   GB</v>
      </c>
      <c r="B12985" t="str">
        <f>T("   Royaume-Uni")</f>
        <v xml:space="preserve">   Royaume-Uni</v>
      </c>
      <c r="C12985">
        <v>454079</v>
      </c>
      <c r="D12985">
        <v>200</v>
      </c>
    </row>
    <row r="12986" spans="1:4" x14ac:dyDescent="0.25">
      <c r="A12986" t="str">
        <f>T("   IN")</f>
        <v xml:space="preserve">   IN</v>
      </c>
      <c r="B12986" t="str">
        <f>T("   Inde")</f>
        <v xml:space="preserve">   Inde</v>
      </c>
      <c r="C12986">
        <v>14018841</v>
      </c>
      <c r="D12986">
        <v>4321</v>
      </c>
    </row>
    <row r="12987" spans="1:4" x14ac:dyDescent="0.25">
      <c r="A12987" t="str">
        <f>T("   SG")</f>
        <v xml:space="preserve">   SG</v>
      </c>
      <c r="B12987" t="str">
        <f>T("   Singapour")</f>
        <v xml:space="preserve">   Singapour</v>
      </c>
      <c r="C12987">
        <v>810432</v>
      </c>
      <c r="D12987">
        <v>508</v>
      </c>
    </row>
    <row r="12988" spans="1:4" x14ac:dyDescent="0.25">
      <c r="A12988" t="str">
        <f>T("   TG")</f>
        <v xml:space="preserve">   TG</v>
      </c>
      <c r="B12988" t="str">
        <f>T("   Togo")</f>
        <v xml:space="preserve">   Togo</v>
      </c>
      <c r="C12988">
        <v>442799</v>
      </c>
      <c r="D12988">
        <v>335</v>
      </c>
    </row>
    <row r="12989" spans="1:4" x14ac:dyDescent="0.25">
      <c r="A12989" t="str">
        <f>T("   ZA")</f>
        <v xml:space="preserve">   ZA</v>
      </c>
      <c r="B12989" t="str">
        <f>T("   Afrique du Sud")</f>
        <v xml:space="preserve">   Afrique du Sud</v>
      </c>
      <c r="C12989">
        <v>1020000</v>
      </c>
      <c r="D12989">
        <v>1</v>
      </c>
    </row>
    <row r="12990" spans="1:4" x14ac:dyDescent="0.25">
      <c r="A12990" t="str">
        <f>T("851721")</f>
        <v>851721</v>
      </c>
      <c r="B12990" t="str">
        <f>T("Télécopieurs pour la téléphonie par fil")</f>
        <v>Télécopieurs pour la téléphonie par fil</v>
      </c>
    </row>
    <row r="12991" spans="1:4" x14ac:dyDescent="0.25">
      <c r="A12991" t="str">
        <f>T("   ZZZ_Monde")</f>
        <v xml:space="preserve">   ZZZ_Monde</v>
      </c>
      <c r="B12991" t="str">
        <f>T("   ZZZ_Monde")</f>
        <v xml:space="preserve">   ZZZ_Monde</v>
      </c>
      <c r="C12991">
        <v>2329314</v>
      </c>
      <c r="D12991">
        <v>181</v>
      </c>
    </row>
    <row r="12992" spans="1:4" x14ac:dyDescent="0.25">
      <c r="A12992" t="str">
        <f>T("   FR")</f>
        <v xml:space="preserve">   FR</v>
      </c>
      <c r="B12992" t="str">
        <f>T("   France")</f>
        <v xml:space="preserve">   France</v>
      </c>
      <c r="C12992">
        <v>2090881</v>
      </c>
      <c r="D12992">
        <v>79</v>
      </c>
    </row>
    <row r="12993" spans="1:4" x14ac:dyDescent="0.25">
      <c r="A12993" t="str">
        <f>T("   GB")</f>
        <v xml:space="preserve">   GB</v>
      </c>
      <c r="B12993" t="str">
        <f>T("   Royaume-Uni")</f>
        <v xml:space="preserve">   Royaume-Uni</v>
      </c>
      <c r="C12993">
        <v>238433</v>
      </c>
      <c r="D12993">
        <v>102</v>
      </c>
    </row>
    <row r="12994" spans="1:4" x14ac:dyDescent="0.25">
      <c r="A12994" t="str">
        <f>T("851730")</f>
        <v>851730</v>
      </c>
      <c r="B12994" t="str">
        <f>T("Appareils de commutation pour la téléphonie ou la télégraphie par fil")</f>
        <v>Appareils de commutation pour la téléphonie ou la télégraphie par fil</v>
      </c>
    </row>
    <row r="12995" spans="1:4" x14ac:dyDescent="0.25">
      <c r="A12995" t="str">
        <f>T("   ZZZ_Monde")</f>
        <v xml:space="preserve">   ZZZ_Monde</v>
      </c>
      <c r="B12995" t="str">
        <f>T("   ZZZ_Monde")</f>
        <v xml:space="preserve">   ZZZ_Monde</v>
      </c>
      <c r="C12995">
        <v>400000</v>
      </c>
      <c r="D12995">
        <v>31</v>
      </c>
    </row>
    <row r="12996" spans="1:4" x14ac:dyDescent="0.25">
      <c r="A12996" t="str">
        <f>T("   IN")</f>
        <v xml:space="preserve">   IN</v>
      </c>
      <c r="B12996" t="str">
        <f>T("   Inde")</f>
        <v xml:space="preserve">   Inde</v>
      </c>
      <c r="C12996">
        <v>400000</v>
      </c>
      <c r="D12996">
        <v>31</v>
      </c>
    </row>
    <row r="12997" spans="1:4" x14ac:dyDescent="0.25">
      <c r="A12997" t="str">
        <f>T("851750")</f>
        <v>851750</v>
      </c>
      <c r="B12997" t="str">
        <f>T("ÉMETTEURS-RÉCEPTEURS POUR LA TÉLÉCOMMUNICATION PAR COURANT PORTEUR OU POUR LA TÉLÉCOMMUNICATION NUMÉRIQUE, POUR LA TÉLÉPHONIE OU LA TÉLÉGRAPHIE PAR FIL (À L'EXCL. DES POSTES TÉLÉPHONIQUES D'USAGERS, DES VISIOPHONES, DES TÉLÉCOPIEURS, DES TÉLÉSCRIPTEURS ET")</f>
        <v>ÉMETTEURS-RÉCEPTEURS POUR LA TÉLÉCOMMUNICATION PAR COURANT PORTEUR OU POUR LA TÉLÉCOMMUNICATION NUMÉRIQUE, POUR LA TÉLÉPHONIE OU LA TÉLÉGRAPHIE PAR FIL (À L'EXCL. DES POSTES TÉLÉPHONIQUES D'USAGERS, DES VISIOPHONES, DES TÉLÉCOPIEURS, DES TÉLÉSCRIPTEURS ET</v>
      </c>
    </row>
    <row r="12998" spans="1:4" x14ac:dyDescent="0.25">
      <c r="A12998" t="str">
        <f>T("   ZZZ_Monde")</f>
        <v xml:space="preserve">   ZZZ_Monde</v>
      </c>
      <c r="B12998" t="str">
        <f>T("   ZZZ_Monde")</f>
        <v xml:space="preserve">   ZZZ_Monde</v>
      </c>
      <c r="C12998">
        <v>15228649</v>
      </c>
      <c r="D12998">
        <v>623.77</v>
      </c>
    </row>
    <row r="12999" spans="1:4" x14ac:dyDescent="0.25">
      <c r="A12999" t="str">
        <f>T("   CI")</f>
        <v xml:space="preserve">   CI</v>
      </c>
      <c r="B12999" t="str">
        <f>T("   Côte d'Ivoire")</f>
        <v xml:space="preserve">   Côte d'Ivoire</v>
      </c>
      <c r="C12999">
        <v>1030769</v>
      </c>
      <c r="D12999">
        <v>13</v>
      </c>
    </row>
    <row r="13000" spans="1:4" x14ac:dyDescent="0.25">
      <c r="A13000" t="str">
        <f>T("   FR")</f>
        <v xml:space="preserve">   FR</v>
      </c>
      <c r="B13000" t="str">
        <f>T("   France")</f>
        <v xml:space="preserve">   France</v>
      </c>
      <c r="C13000">
        <v>8944338</v>
      </c>
      <c r="D13000">
        <v>312.77</v>
      </c>
    </row>
    <row r="13001" spans="1:4" x14ac:dyDescent="0.25">
      <c r="A13001" t="str">
        <f>T("   GB")</f>
        <v xml:space="preserve">   GB</v>
      </c>
      <c r="B13001" t="str">
        <f>T("   Royaume-Uni")</f>
        <v xml:space="preserve">   Royaume-Uni</v>
      </c>
      <c r="C13001">
        <v>50509</v>
      </c>
      <c r="D13001">
        <v>25</v>
      </c>
    </row>
    <row r="13002" spans="1:4" x14ac:dyDescent="0.25">
      <c r="A13002" t="str">
        <f>T("   GH")</f>
        <v xml:space="preserve">   GH</v>
      </c>
      <c r="B13002" t="str">
        <f>T("   Ghana")</f>
        <v xml:space="preserve">   Ghana</v>
      </c>
      <c r="C13002">
        <v>642137</v>
      </c>
      <c r="D13002">
        <v>190</v>
      </c>
    </row>
    <row r="13003" spans="1:4" x14ac:dyDescent="0.25">
      <c r="A13003" t="str">
        <f>T("   HK")</f>
        <v xml:space="preserve">   HK</v>
      </c>
      <c r="B13003" t="str">
        <f>T("   Hong-Kong")</f>
        <v xml:space="preserve">   Hong-Kong</v>
      </c>
      <c r="C13003">
        <v>277786</v>
      </c>
      <c r="D13003">
        <v>2</v>
      </c>
    </row>
    <row r="13004" spans="1:4" x14ac:dyDescent="0.25">
      <c r="A13004" t="str">
        <f>T("   NG")</f>
        <v xml:space="preserve">   NG</v>
      </c>
      <c r="B13004" t="str">
        <f>T("   Nigéria")</f>
        <v xml:space="preserve">   Nigéria</v>
      </c>
      <c r="C13004">
        <v>45000</v>
      </c>
      <c r="D13004">
        <v>50</v>
      </c>
    </row>
    <row r="13005" spans="1:4" x14ac:dyDescent="0.25">
      <c r="A13005" t="str">
        <f>T("   US")</f>
        <v xml:space="preserve">   US</v>
      </c>
      <c r="B13005" t="str">
        <f>T("   Etats-Unis")</f>
        <v xml:space="preserve">   Etats-Unis</v>
      </c>
      <c r="C13005">
        <v>4238110</v>
      </c>
      <c r="D13005">
        <v>31</v>
      </c>
    </row>
    <row r="13006" spans="1:4" x14ac:dyDescent="0.25">
      <c r="A13006" t="str">
        <f>T("851780")</f>
        <v>851780</v>
      </c>
      <c r="B13006" t="str">
        <f>T("Appareils électriques pour la téléphonie ou la télégraphie par fil (autres que postes téléphoniques d'usagers, visiophones, télécopieurs, téléscripteurs, appareils de commutation et émetteur-récepteur pour la télécommunication par courant porteur ou numér")</f>
        <v>Appareils électriques pour la téléphonie ou la télégraphie par fil (autres que postes téléphoniques d'usagers, visiophones, télécopieurs, téléscripteurs, appareils de commutation et émetteur-récepteur pour la télécommunication par courant porteur ou numér</v>
      </c>
    </row>
    <row r="13007" spans="1:4" x14ac:dyDescent="0.25">
      <c r="A13007" t="str">
        <f>T("   ZZZ_Monde")</f>
        <v xml:space="preserve">   ZZZ_Monde</v>
      </c>
      <c r="B13007" t="str">
        <f>T("   ZZZ_Monde")</f>
        <v xml:space="preserve">   ZZZ_Monde</v>
      </c>
      <c r="C13007">
        <v>1575636641</v>
      </c>
      <c r="D13007">
        <v>80739.600000000006</v>
      </c>
    </row>
    <row r="13008" spans="1:4" x14ac:dyDescent="0.25">
      <c r="A13008" t="str">
        <f>T("   AE")</f>
        <v xml:space="preserve">   AE</v>
      </c>
      <c r="B13008" t="str">
        <f>T("   Emirats Arabes Unis")</f>
        <v xml:space="preserve">   Emirats Arabes Unis</v>
      </c>
      <c r="C13008">
        <v>5904816</v>
      </c>
      <c r="D13008">
        <v>945</v>
      </c>
    </row>
    <row r="13009" spans="1:4" x14ac:dyDescent="0.25">
      <c r="A13009" t="str">
        <f>T("   AF")</f>
        <v xml:space="preserve">   AF</v>
      </c>
      <c r="B13009" t="str">
        <f>T("   Afghanistan")</f>
        <v xml:space="preserve">   Afghanistan</v>
      </c>
      <c r="C13009">
        <v>10113197</v>
      </c>
      <c r="D13009">
        <v>269.89999999999998</v>
      </c>
    </row>
    <row r="13010" spans="1:4" x14ac:dyDescent="0.25">
      <c r="A13010" t="str">
        <f>T("   BE")</f>
        <v xml:space="preserve">   BE</v>
      </c>
      <c r="B13010" t="str">
        <f>T("   Belgique")</f>
        <v xml:space="preserve">   Belgique</v>
      </c>
      <c r="C13010">
        <v>301349</v>
      </c>
      <c r="D13010">
        <v>29</v>
      </c>
    </row>
    <row r="13011" spans="1:4" x14ac:dyDescent="0.25">
      <c r="A13011" t="str">
        <f>T("   CA")</f>
        <v xml:space="preserve">   CA</v>
      </c>
      <c r="B13011" t="str">
        <f>T("   Canada")</f>
        <v xml:space="preserve">   Canada</v>
      </c>
      <c r="C13011">
        <v>5275247</v>
      </c>
      <c r="D13011">
        <v>55</v>
      </c>
    </row>
    <row r="13012" spans="1:4" x14ac:dyDescent="0.25">
      <c r="A13012" t="str">
        <f>T("   CH")</f>
        <v xml:space="preserve">   CH</v>
      </c>
      <c r="B13012" t="str">
        <f>T("   Suisse")</f>
        <v xml:space="preserve">   Suisse</v>
      </c>
      <c r="C13012">
        <v>257367</v>
      </c>
      <c r="D13012">
        <v>9</v>
      </c>
    </row>
    <row r="13013" spans="1:4" x14ac:dyDescent="0.25">
      <c r="A13013" t="str">
        <f>T("   CI")</f>
        <v xml:space="preserve">   CI</v>
      </c>
      <c r="B13013" t="str">
        <f>T("   Côte d'Ivoire")</f>
        <v xml:space="preserve">   Côte d'Ivoire</v>
      </c>
      <c r="C13013">
        <v>4043324</v>
      </c>
      <c r="D13013">
        <v>116</v>
      </c>
    </row>
    <row r="13014" spans="1:4" x14ac:dyDescent="0.25">
      <c r="A13014" t="str">
        <f>T("   CN")</f>
        <v xml:space="preserve">   CN</v>
      </c>
      <c r="B13014" t="str">
        <f>T("   Chine")</f>
        <v xml:space="preserve">   Chine</v>
      </c>
      <c r="C13014">
        <v>427848169</v>
      </c>
      <c r="D13014">
        <v>18184</v>
      </c>
    </row>
    <row r="13015" spans="1:4" x14ac:dyDescent="0.25">
      <c r="A13015" t="str">
        <f>T("   DE")</f>
        <v xml:space="preserve">   DE</v>
      </c>
      <c r="B13015" t="str">
        <f>T("   Allemagne")</f>
        <v xml:space="preserve">   Allemagne</v>
      </c>
      <c r="C13015">
        <v>60348</v>
      </c>
      <c r="D13015">
        <v>3</v>
      </c>
    </row>
    <row r="13016" spans="1:4" x14ac:dyDescent="0.25">
      <c r="A13016" t="str">
        <f>T("   ES")</f>
        <v xml:space="preserve">   ES</v>
      </c>
      <c r="B13016" t="str">
        <f>T("   Espagne")</f>
        <v xml:space="preserve">   Espagne</v>
      </c>
      <c r="C13016">
        <v>3786865</v>
      </c>
      <c r="D13016">
        <v>100</v>
      </c>
    </row>
    <row r="13017" spans="1:4" x14ac:dyDescent="0.25">
      <c r="A13017" t="str">
        <f>T("   FR")</f>
        <v xml:space="preserve">   FR</v>
      </c>
      <c r="B13017" t="str">
        <f>T("   France")</f>
        <v xml:space="preserve">   France</v>
      </c>
      <c r="C13017">
        <v>104555727</v>
      </c>
      <c r="D13017">
        <v>5573</v>
      </c>
    </row>
    <row r="13018" spans="1:4" x14ac:dyDescent="0.25">
      <c r="A13018" t="str">
        <f>T("   GB")</f>
        <v xml:space="preserve">   GB</v>
      </c>
      <c r="B13018" t="str">
        <f>T("   Royaume-Uni")</f>
        <v xml:space="preserve">   Royaume-Uni</v>
      </c>
      <c r="C13018">
        <v>3580746</v>
      </c>
      <c r="D13018">
        <v>57.3</v>
      </c>
    </row>
    <row r="13019" spans="1:4" x14ac:dyDescent="0.25">
      <c r="A13019" t="str">
        <f>T("   GH")</f>
        <v xml:space="preserve">   GH</v>
      </c>
      <c r="B13019" t="str">
        <f>T("   Ghana")</f>
        <v xml:space="preserve">   Ghana</v>
      </c>
      <c r="C13019">
        <v>535350</v>
      </c>
      <c r="D13019">
        <v>12</v>
      </c>
    </row>
    <row r="13020" spans="1:4" x14ac:dyDescent="0.25">
      <c r="A13020" t="str">
        <f>T("   HK")</f>
        <v xml:space="preserve">   HK</v>
      </c>
      <c r="B13020" t="str">
        <f>T("   Hong-Kong")</f>
        <v xml:space="preserve">   Hong-Kong</v>
      </c>
      <c r="C13020">
        <v>2352979</v>
      </c>
      <c r="D13020">
        <v>692</v>
      </c>
    </row>
    <row r="13021" spans="1:4" x14ac:dyDescent="0.25">
      <c r="A13021" t="str">
        <f>T("   IN")</f>
        <v xml:space="preserve">   IN</v>
      </c>
      <c r="B13021" t="str">
        <f>T("   Inde")</f>
        <v xml:space="preserve">   Inde</v>
      </c>
      <c r="C13021">
        <v>12034812</v>
      </c>
      <c r="D13021">
        <v>3890</v>
      </c>
    </row>
    <row r="13022" spans="1:4" x14ac:dyDescent="0.25">
      <c r="A13022" t="str">
        <f>T("   IS")</f>
        <v xml:space="preserve">   IS</v>
      </c>
      <c r="B13022" t="str">
        <f>T("   Islande")</f>
        <v xml:space="preserve">   Islande</v>
      </c>
      <c r="C13022">
        <v>293338</v>
      </c>
      <c r="D13022">
        <v>1</v>
      </c>
    </row>
    <row r="13023" spans="1:4" x14ac:dyDescent="0.25">
      <c r="A13023" t="str">
        <f>T("   KN")</f>
        <v xml:space="preserve">   KN</v>
      </c>
      <c r="B13023" t="str">
        <f>T("   Saint Kitts et Nevis")</f>
        <v xml:space="preserve">   Saint Kitts et Nevis</v>
      </c>
      <c r="C13023">
        <v>187942</v>
      </c>
      <c r="D13023">
        <v>3</v>
      </c>
    </row>
    <row r="13024" spans="1:4" x14ac:dyDescent="0.25">
      <c r="A13024" t="str">
        <f>T("   LB")</f>
        <v xml:space="preserve">   LB</v>
      </c>
      <c r="B13024" t="str">
        <f>T("   Liban")</f>
        <v xml:space="preserve">   Liban</v>
      </c>
      <c r="C13024">
        <v>143871</v>
      </c>
      <c r="D13024">
        <v>100</v>
      </c>
    </row>
    <row r="13025" spans="1:4" x14ac:dyDescent="0.25">
      <c r="A13025" t="str">
        <f>T("   MA")</f>
        <v xml:space="preserve">   MA</v>
      </c>
      <c r="B13025" t="str">
        <f>T("   Maroc")</f>
        <v xml:space="preserve">   Maroc</v>
      </c>
      <c r="C13025">
        <v>89210</v>
      </c>
      <c r="D13025">
        <v>86</v>
      </c>
    </row>
    <row r="13026" spans="1:4" x14ac:dyDescent="0.25">
      <c r="A13026" t="str">
        <f>T("   NE")</f>
        <v xml:space="preserve">   NE</v>
      </c>
      <c r="B13026" t="str">
        <f>T("   Niger")</f>
        <v xml:space="preserve">   Niger</v>
      </c>
      <c r="C13026">
        <v>1052816</v>
      </c>
      <c r="D13026">
        <v>22</v>
      </c>
    </row>
    <row r="13027" spans="1:4" x14ac:dyDescent="0.25">
      <c r="A13027" t="str">
        <f>T("   NL")</f>
        <v xml:space="preserve">   NL</v>
      </c>
      <c r="B13027" t="str">
        <f>T("   Pays-bas")</f>
        <v xml:space="preserve">   Pays-bas</v>
      </c>
      <c r="C13027">
        <v>7618078</v>
      </c>
      <c r="D13027">
        <v>210</v>
      </c>
    </row>
    <row r="13028" spans="1:4" x14ac:dyDescent="0.25">
      <c r="A13028" t="str">
        <f>T("   NR")</f>
        <v xml:space="preserve">   NR</v>
      </c>
      <c r="B13028" t="str">
        <f>T("   Nauru")</f>
        <v xml:space="preserve">   Nauru</v>
      </c>
      <c r="C13028">
        <v>12007411</v>
      </c>
      <c r="D13028">
        <v>90</v>
      </c>
    </row>
    <row r="13029" spans="1:4" x14ac:dyDescent="0.25">
      <c r="A13029" t="str">
        <f>T("   PH")</f>
        <v xml:space="preserve">   PH</v>
      </c>
      <c r="B13029" t="str">
        <f>T("   Philippines")</f>
        <v xml:space="preserve">   Philippines</v>
      </c>
      <c r="C13029">
        <v>3036203</v>
      </c>
      <c r="D13029">
        <v>35</v>
      </c>
    </row>
    <row r="13030" spans="1:4" x14ac:dyDescent="0.25">
      <c r="A13030" t="str">
        <f>T("   RU")</f>
        <v xml:space="preserve">   RU</v>
      </c>
      <c r="B13030" t="str">
        <f>T("   Russie, Fédération de")</f>
        <v xml:space="preserve">   Russie, Fédération de</v>
      </c>
      <c r="C13030">
        <v>3354252</v>
      </c>
      <c r="D13030">
        <v>21</v>
      </c>
    </row>
    <row r="13031" spans="1:4" x14ac:dyDescent="0.25">
      <c r="A13031" t="str">
        <f>T("   SE")</f>
        <v xml:space="preserve">   SE</v>
      </c>
      <c r="B13031" t="str">
        <f>T("   Suède")</f>
        <v xml:space="preserve">   Suède</v>
      </c>
      <c r="C13031">
        <v>906490171</v>
      </c>
      <c r="D13031">
        <v>49709.2</v>
      </c>
    </row>
    <row r="13032" spans="1:4" x14ac:dyDescent="0.25">
      <c r="A13032" t="str">
        <f>T("   SI")</f>
        <v xml:space="preserve">   SI</v>
      </c>
      <c r="B13032" t="str">
        <f>T("   Slovénie")</f>
        <v xml:space="preserve">   Slovénie</v>
      </c>
      <c r="C13032">
        <v>609230</v>
      </c>
      <c r="D13032">
        <v>1</v>
      </c>
    </row>
    <row r="13033" spans="1:4" x14ac:dyDescent="0.25">
      <c r="A13033" t="str">
        <f>T("   SN")</f>
        <v xml:space="preserve">   SN</v>
      </c>
      <c r="B13033" t="str">
        <f>T("   Sénégal")</f>
        <v xml:space="preserve">   Sénégal</v>
      </c>
      <c r="C13033">
        <v>3016658</v>
      </c>
      <c r="D13033">
        <v>62</v>
      </c>
    </row>
    <row r="13034" spans="1:4" x14ac:dyDescent="0.25">
      <c r="A13034" t="str">
        <f>T("   TV")</f>
        <v xml:space="preserve">   TV</v>
      </c>
      <c r="B13034" t="str">
        <f>T("   Tuvalu")</f>
        <v xml:space="preserve">   Tuvalu</v>
      </c>
      <c r="C13034">
        <v>11304962</v>
      </c>
      <c r="D13034">
        <v>63</v>
      </c>
    </row>
    <row r="13035" spans="1:4" x14ac:dyDescent="0.25">
      <c r="A13035" t="str">
        <f>T("   UA")</f>
        <v xml:space="preserve">   UA</v>
      </c>
      <c r="B13035" t="str">
        <f>T("   Ukraine")</f>
        <v xml:space="preserve">   Ukraine</v>
      </c>
      <c r="C13035">
        <v>529279</v>
      </c>
      <c r="D13035">
        <v>4</v>
      </c>
    </row>
    <row r="13036" spans="1:4" x14ac:dyDescent="0.25">
      <c r="A13036" t="str">
        <f>T("   US")</f>
        <v xml:space="preserve">   US</v>
      </c>
      <c r="B13036" t="str">
        <f>T("   Etats-Unis")</f>
        <v xml:space="preserve">   Etats-Unis</v>
      </c>
      <c r="C13036">
        <v>35502406</v>
      </c>
      <c r="D13036">
        <v>392.2</v>
      </c>
    </row>
    <row r="13037" spans="1:4" x14ac:dyDescent="0.25">
      <c r="A13037" t="str">
        <f>T("   ZA")</f>
        <v xml:space="preserve">   ZA</v>
      </c>
      <c r="B13037" t="str">
        <f>T("   Afrique du Sud")</f>
        <v xml:space="preserve">   Afrique du Sud</v>
      </c>
      <c r="C13037">
        <v>9750518</v>
      </c>
      <c r="D13037">
        <v>5</v>
      </c>
    </row>
    <row r="13038" spans="1:4" x14ac:dyDescent="0.25">
      <c r="A13038" t="str">
        <f>T("851781")</f>
        <v>851781</v>
      </c>
      <c r="B13038" t="str">
        <f>T("APPAREILS ÉLECTRIQUES POUR LA TELEPHONIE PAR FIL (AUTRES QUE POSTES TELEPHONIQUES D'USAGERS, APPAREILS DE COMMUTATION ET EMETTEUR-RÉCEPTEUR POUR LA TELECOMMUNICATION PAR COURANT PORTEUR)")</f>
        <v>APPAREILS ÉLECTRIQUES POUR LA TELEPHONIE PAR FIL (AUTRES QUE POSTES TELEPHONIQUES D'USAGERS, APPAREILS DE COMMUTATION ET EMETTEUR-RÉCEPTEUR POUR LA TELECOMMUNICATION PAR COURANT PORTEUR)</v>
      </c>
    </row>
    <row r="13039" spans="1:4" x14ac:dyDescent="0.25">
      <c r="A13039" t="str">
        <f>T("   ZZZ_Monde")</f>
        <v xml:space="preserve">   ZZZ_Monde</v>
      </c>
      <c r="B13039" t="str">
        <f>T("   ZZZ_Monde")</f>
        <v xml:space="preserve">   ZZZ_Monde</v>
      </c>
      <c r="C13039">
        <v>177600</v>
      </c>
      <c r="D13039">
        <v>100</v>
      </c>
    </row>
    <row r="13040" spans="1:4" x14ac:dyDescent="0.25">
      <c r="A13040" t="str">
        <f>T("   NG")</f>
        <v xml:space="preserve">   NG</v>
      </c>
      <c r="B13040" t="str">
        <f>T("   Nigéria")</f>
        <v xml:space="preserve">   Nigéria</v>
      </c>
      <c r="C13040">
        <v>177600</v>
      </c>
      <c r="D13040">
        <v>100</v>
      </c>
    </row>
    <row r="13041" spans="1:4" x14ac:dyDescent="0.25">
      <c r="A13041" t="str">
        <f>T("851790")</f>
        <v>851790</v>
      </c>
      <c r="B13041" t="str">
        <f>T("Parties d'appareils électriques pour la téléphonie ou la télégraphie par fil, y.c. les postes téléphoniques d'usagers par fil à combinés sans fil et les appareils pour la télécommunication par courant porteur ou pour la télécommunication numérique et des")</f>
        <v>Parties d'appareils électriques pour la téléphonie ou la télégraphie par fil, y.c. les postes téléphoniques d'usagers par fil à combinés sans fil et les appareils pour la télécommunication par courant porteur ou pour la télécommunication numérique et des</v>
      </c>
    </row>
    <row r="13042" spans="1:4" x14ac:dyDescent="0.25">
      <c r="A13042" t="str">
        <f>T("   ZZZ_Monde")</f>
        <v xml:space="preserve">   ZZZ_Monde</v>
      </c>
      <c r="B13042" t="str">
        <f>T("   ZZZ_Monde")</f>
        <v xml:space="preserve">   ZZZ_Monde</v>
      </c>
      <c r="C13042">
        <v>1892022031</v>
      </c>
      <c r="D13042">
        <v>33734.97</v>
      </c>
    </row>
    <row r="13043" spans="1:4" x14ac:dyDescent="0.25">
      <c r="A13043" t="str">
        <f>T("   AE")</f>
        <v xml:space="preserve">   AE</v>
      </c>
      <c r="B13043" t="str">
        <f>T("   Emirats Arabes Unis")</f>
        <v xml:space="preserve">   Emirats Arabes Unis</v>
      </c>
      <c r="C13043">
        <v>1181385</v>
      </c>
      <c r="D13043">
        <v>353</v>
      </c>
    </row>
    <row r="13044" spans="1:4" x14ac:dyDescent="0.25">
      <c r="A13044" t="str">
        <f>T("   AF")</f>
        <v xml:space="preserve">   AF</v>
      </c>
      <c r="B13044" t="str">
        <f>T("   Afghanistan")</f>
        <v xml:space="preserve">   Afghanistan</v>
      </c>
      <c r="C13044">
        <v>706437</v>
      </c>
      <c r="D13044">
        <v>18</v>
      </c>
    </row>
    <row r="13045" spans="1:4" x14ac:dyDescent="0.25">
      <c r="A13045" t="str">
        <f>T("   CH")</f>
        <v xml:space="preserve">   CH</v>
      </c>
      <c r="B13045" t="str">
        <f>T("   Suisse")</f>
        <v xml:space="preserve">   Suisse</v>
      </c>
      <c r="C13045">
        <v>2612683</v>
      </c>
      <c r="D13045">
        <v>815</v>
      </c>
    </row>
    <row r="13046" spans="1:4" x14ac:dyDescent="0.25">
      <c r="A13046" t="str">
        <f>T("   CN")</f>
        <v xml:space="preserve">   CN</v>
      </c>
      <c r="B13046" t="str">
        <f>T("   Chine")</f>
        <v xml:space="preserve">   Chine</v>
      </c>
      <c r="C13046">
        <v>31966430</v>
      </c>
      <c r="D13046">
        <v>2306</v>
      </c>
    </row>
    <row r="13047" spans="1:4" x14ac:dyDescent="0.25">
      <c r="A13047" t="str">
        <f>T("   FR")</f>
        <v xml:space="preserve">   FR</v>
      </c>
      <c r="B13047" t="str">
        <f>T("   France")</f>
        <v xml:space="preserve">   France</v>
      </c>
      <c r="C13047">
        <v>25544353</v>
      </c>
      <c r="D13047">
        <v>477.8</v>
      </c>
    </row>
    <row r="13048" spans="1:4" x14ac:dyDescent="0.25">
      <c r="A13048" t="str">
        <f>T("   GB")</f>
        <v xml:space="preserve">   GB</v>
      </c>
      <c r="B13048" t="str">
        <f>T("   Royaume-Uni")</f>
        <v xml:space="preserve">   Royaume-Uni</v>
      </c>
      <c r="C13048">
        <v>2030852</v>
      </c>
      <c r="D13048">
        <v>10</v>
      </c>
    </row>
    <row r="13049" spans="1:4" x14ac:dyDescent="0.25">
      <c r="A13049" t="str">
        <f>T("   HK")</f>
        <v xml:space="preserve">   HK</v>
      </c>
      <c r="B13049" t="str">
        <f>T("   Hong-Kong")</f>
        <v xml:space="preserve">   Hong-Kong</v>
      </c>
      <c r="C13049">
        <v>28372458</v>
      </c>
      <c r="D13049">
        <v>1477.7</v>
      </c>
    </row>
    <row r="13050" spans="1:4" x14ac:dyDescent="0.25">
      <c r="A13050" t="str">
        <f>T("   HU")</f>
        <v xml:space="preserve">   HU</v>
      </c>
      <c r="B13050" t="str">
        <f>T("   Hongrie")</f>
        <v xml:space="preserve">   Hongrie</v>
      </c>
      <c r="C13050">
        <v>1449016</v>
      </c>
      <c r="D13050">
        <v>397.67</v>
      </c>
    </row>
    <row r="13051" spans="1:4" x14ac:dyDescent="0.25">
      <c r="A13051" t="str">
        <f>T("   IN")</f>
        <v xml:space="preserve">   IN</v>
      </c>
      <c r="B13051" t="str">
        <f>T("   Inde")</f>
        <v xml:space="preserve">   Inde</v>
      </c>
      <c r="C13051">
        <v>20674609</v>
      </c>
      <c r="D13051">
        <v>6653</v>
      </c>
    </row>
    <row r="13052" spans="1:4" x14ac:dyDescent="0.25">
      <c r="A13052" t="str">
        <f>T("   LB")</f>
        <v xml:space="preserve">   LB</v>
      </c>
      <c r="B13052" t="str">
        <f>T("   Liban")</f>
        <v xml:space="preserve">   Liban</v>
      </c>
      <c r="C13052">
        <v>2661255</v>
      </c>
      <c r="D13052">
        <v>12</v>
      </c>
    </row>
    <row r="13053" spans="1:4" x14ac:dyDescent="0.25">
      <c r="A13053" t="str">
        <f>T("   LI")</f>
        <v xml:space="preserve">   LI</v>
      </c>
      <c r="B13053" t="str">
        <f>T("   Liechtenstein")</f>
        <v xml:space="preserve">   Liechtenstein</v>
      </c>
      <c r="C13053">
        <v>812612</v>
      </c>
      <c r="D13053">
        <v>197</v>
      </c>
    </row>
    <row r="13054" spans="1:4" x14ac:dyDescent="0.25">
      <c r="A13054" t="str">
        <f>T("   LU")</f>
        <v xml:space="preserve">   LU</v>
      </c>
      <c r="B13054" t="str">
        <f>T("   Luxembourg")</f>
        <v xml:space="preserve">   Luxembourg</v>
      </c>
      <c r="C13054">
        <v>1325882</v>
      </c>
      <c r="D13054">
        <v>2</v>
      </c>
    </row>
    <row r="13055" spans="1:4" x14ac:dyDescent="0.25">
      <c r="A13055" t="str">
        <f>T("   NL")</f>
        <v xml:space="preserve">   NL</v>
      </c>
      <c r="B13055" t="str">
        <f>T("   Pays-bas")</f>
        <v xml:space="preserve">   Pays-bas</v>
      </c>
      <c r="C13055">
        <v>43085550</v>
      </c>
      <c r="D13055">
        <v>161</v>
      </c>
    </row>
    <row r="13056" spans="1:4" x14ac:dyDescent="0.25">
      <c r="A13056" t="str">
        <f>T("   NR")</f>
        <v xml:space="preserve">   NR</v>
      </c>
      <c r="B13056" t="str">
        <f>T("   Nauru")</f>
        <v xml:space="preserve">   Nauru</v>
      </c>
      <c r="C13056">
        <v>1665132</v>
      </c>
      <c r="D13056">
        <v>50</v>
      </c>
    </row>
    <row r="13057" spans="1:4" x14ac:dyDescent="0.25">
      <c r="A13057" t="str">
        <f>T("   RU")</f>
        <v xml:space="preserve">   RU</v>
      </c>
      <c r="B13057" t="str">
        <f>T("   Russie, Fédération de")</f>
        <v xml:space="preserve">   Russie, Fédération de</v>
      </c>
      <c r="C13057">
        <v>813457</v>
      </c>
      <c r="D13057">
        <v>17.8</v>
      </c>
    </row>
    <row r="13058" spans="1:4" x14ac:dyDescent="0.25">
      <c r="A13058" t="str">
        <f>T("   SG")</f>
        <v xml:space="preserve">   SG</v>
      </c>
      <c r="B13058" t="str">
        <f>T("   Singapour")</f>
        <v xml:space="preserve">   Singapour</v>
      </c>
      <c r="C13058">
        <v>1725080466</v>
      </c>
      <c r="D13058">
        <v>19893</v>
      </c>
    </row>
    <row r="13059" spans="1:4" x14ac:dyDescent="0.25">
      <c r="A13059" t="str">
        <f>T("   SN")</f>
        <v xml:space="preserve">   SN</v>
      </c>
      <c r="B13059" t="str">
        <f>T("   Sénégal")</f>
        <v xml:space="preserve">   Sénégal</v>
      </c>
      <c r="C13059">
        <v>50100</v>
      </c>
      <c r="D13059">
        <v>1</v>
      </c>
    </row>
    <row r="13060" spans="1:4" x14ac:dyDescent="0.25">
      <c r="A13060" t="str">
        <f>T("   TG")</f>
        <v xml:space="preserve">   TG</v>
      </c>
      <c r="B13060" t="str">
        <f>T("   Togo")</f>
        <v xml:space="preserve">   Togo</v>
      </c>
      <c r="C13060">
        <v>1324975</v>
      </c>
      <c r="D13060">
        <v>680</v>
      </c>
    </row>
    <row r="13061" spans="1:4" x14ac:dyDescent="0.25">
      <c r="A13061" t="str">
        <f>T("   US")</f>
        <v xml:space="preserve">   US</v>
      </c>
      <c r="B13061" t="str">
        <f>T("   Etats-Unis")</f>
        <v xml:space="preserve">   Etats-Unis</v>
      </c>
      <c r="C13061">
        <v>35951</v>
      </c>
      <c r="D13061">
        <v>190</v>
      </c>
    </row>
    <row r="13062" spans="1:4" x14ac:dyDescent="0.25">
      <c r="A13062" t="str">
        <f>T("   ZA")</f>
        <v xml:space="preserve">   ZA</v>
      </c>
      <c r="B13062" t="str">
        <f>T("   Afrique du Sud")</f>
        <v xml:space="preserve">   Afrique du Sud</v>
      </c>
      <c r="C13062">
        <v>628428</v>
      </c>
      <c r="D13062">
        <v>23</v>
      </c>
    </row>
    <row r="13063" spans="1:4" x14ac:dyDescent="0.25">
      <c r="A13063" t="str">
        <f>T("851810")</f>
        <v>851810</v>
      </c>
      <c r="B13063" t="str">
        <f>T("Microphones et leurs supports (autres que sans fil, avec émetteur incorporé)")</f>
        <v>Microphones et leurs supports (autres que sans fil, avec émetteur incorporé)</v>
      </c>
    </row>
    <row r="13064" spans="1:4" x14ac:dyDescent="0.25">
      <c r="A13064" t="str">
        <f>T("   ZZZ_Monde")</f>
        <v xml:space="preserve">   ZZZ_Monde</v>
      </c>
      <c r="B13064" t="str">
        <f>T("   ZZZ_Monde")</f>
        <v xml:space="preserve">   ZZZ_Monde</v>
      </c>
      <c r="C13064">
        <v>260349</v>
      </c>
      <c r="D13064">
        <v>185</v>
      </c>
    </row>
    <row r="13065" spans="1:4" x14ac:dyDescent="0.25">
      <c r="A13065" t="str">
        <f>T("   HK")</f>
        <v xml:space="preserve">   HK</v>
      </c>
      <c r="B13065" t="str">
        <f>T("   Hong-Kong")</f>
        <v xml:space="preserve">   Hong-Kong</v>
      </c>
      <c r="C13065">
        <v>200000</v>
      </c>
      <c r="D13065">
        <v>150</v>
      </c>
    </row>
    <row r="13066" spans="1:4" x14ac:dyDescent="0.25">
      <c r="A13066" t="str">
        <f>T("   US")</f>
        <v xml:space="preserve">   US</v>
      </c>
      <c r="B13066" t="str">
        <f>T("   Etats-Unis")</f>
        <v xml:space="preserve">   Etats-Unis</v>
      </c>
      <c r="C13066">
        <v>60349</v>
      </c>
      <c r="D13066">
        <v>35</v>
      </c>
    </row>
    <row r="13067" spans="1:4" x14ac:dyDescent="0.25">
      <c r="A13067" t="str">
        <f>T("851821")</f>
        <v>851821</v>
      </c>
      <c r="B13067" t="str">
        <f>T("Haut-parleur unique monté dans son enceinte")</f>
        <v>Haut-parleur unique monté dans son enceinte</v>
      </c>
    </row>
    <row r="13068" spans="1:4" x14ac:dyDescent="0.25">
      <c r="A13068" t="str">
        <f>T("   ZZZ_Monde")</f>
        <v xml:space="preserve">   ZZZ_Monde</v>
      </c>
      <c r="B13068" t="str">
        <f>T("   ZZZ_Monde")</f>
        <v xml:space="preserve">   ZZZ_Monde</v>
      </c>
      <c r="C13068">
        <v>220000</v>
      </c>
      <c r="D13068">
        <v>400</v>
      </c>
    </row>
    <row r="13069" spans="1:4" x14ac:dyDescent="0.25">
      <c r="A13069" t="str">
        <f>T("   NG")</f>
        <v xml:space="preserve">   NG</v>
      </c>
      <c r="B13069" t="str">
        <f>T("   Nigéria")</f>
        <v xml:space="preserve">   Nigéria</v>
      </c>
      <c r="C13069">
        <v>220000</v>
      </c>
      <c r="D13069">
        <v>400</v>
      </c>
    </row>
    <row r="13070" spans="1:4" x14ac:dyDescent="0.25">
      <c r="A13070" t="str">
        <f>T("851822")</f>
        <v>851822</v>
      </c>
      <c r="B13070" t="str">
        <f>T("Haut-parleurs multiples montés dans la même enceinte")</f>
        <v>Haut-parleurs multiples montés dans la même enceinte</v>
      </c>
    </row>
    <row r="13071" spans="1:4" x14ac:dyDescent="0.25">
      <c r="A13071" t="str">
        <f>T("   ZZZ_Monde")</f>
        <v xml:space="preserve">   ZZZ_Monde</v>
      </c>
      <c r="B13071" t="str">
        <f>T("   ZZZ_Monde")</f>
        <v xml:space="preserve">   ZZZ_Monde</v>
      </c>
      <c r="C13071">
        <v>3948924</v>
      </c>
      <c r="D13071">
        <v>9485</v>
      </c>
    </row>
    <row r="13072" spans="1:4" x14ac:dyDescent="0.25">
      <c r="A13072" t="str">
        <f>T("   CN")</f>
        <v xml:space="preserve">   CN</v>
      </c>
      <c r="B13072" t="str">
        <f>T("   Chine")</f>
        <v xml:space="preserve">   Chine</v>
      </c>
      <c r="C13072">
        <v>2698695</v>
      </c>
      <c r="D13072">
        <v>7838</v>
      </c>
    </row>
    <row r="13073" spans="1:4" x14ac:dyDescent="0.25">
      <c r="A13073" t="str">
        <f>T("   FR")</f>
        <v xml:space="preserve">   FR</v>
      </c>
      <c r="B13073" t="str">
        <f>T("   France")</f>
        <v xml:space="preserve">   France</v>
      </c>
      <c r="C13073">
        <v>755429</v>
      </c>
      <c r="D13073">
        <v>597</v>
      </c>
    </row>
    <row r="13074" spans="1:4" x14ac:dyDescent="0.25">
      <c r="A13074" t="str">
        <f>T("   NG")</f>
        <v xml:space="preserve">   NG</v>
      </c>
      <c r="B13074" t="str">
        <f>T("   Nigéria")</f>
        <v xml:space="preserve">   Nigéria</v>
      </c>
      <c r="C13074">
        <v>494800</v>
      </c>
      <c r="D13074">
        <v>1050</v>
      </c>
    </row>
    <row r="13075" spans="1:4" x14ac:dyDescent="0.25">
      <c r="A13075" t="str">
        <f>T("851829")</f>
        <v>851829</v>
      </c>
      <c r="B13075" t="str">
        <f>T("Haut-parleurs sans enceinte")</f>
        <v>Haut-parleurs sans enceinte</v>
      </c>
    </row>
    <row r="13076" spans="1:4" x14ac:dyDescent="0.25">
      <c r="A13076" t="str">
        <f>T("   ZZZ_Monde")</f>
        <v xml:space="preserve">   ZZZ_Monde</v>
      </c>
      <c r="B13076" t="str">
        <f>T("   ZZZ_Monde")</f>
        <v xml:space="preserve">   ZZZ_Monde</v>
      </c>
      <c r="C13076">
        <v>207365767</v>
      </c>
      <c r="D13076">
        <v>246378</v>
      </c>
    </row>
    <row r="13077" spans="1:4" x14ac:dyDescent="0.25">
      <c r="A13077" t="str">
        <f>T("   AE")</f>
        <v xml:space="preserve">   AE</v>
      </c>
      <c r="B13077" t="str">
        <f>T("   Emirats Arabes Unis")</f>
        <v xml:space="preserve">   Emirats Arabes Unis</v>
      </c>
      <c r="C13077">
        <v>1861304</v>
      </c>
      <c r="D13077">
        <v>1773</v>
      </c>
    </row>
    <row r="13078" spans="1:4" x14ac:dyDescent="0.25">
      <c r="A13078" t="str">
        <f>T("   CA")</f>
        <v xml:space="preserve">   CA</v>
      </c>
      <c r="B13078" t="str">
        <f>T("   Canada")</f>
        <v xml:space="preserve">   Canada</v>
      </c>
      <c r="C13078">
        <v>347529</v>
      </c>
      <c r="D13078">
        <v>2167</v>
      </c>
    </row>
    <row r="13079" spans="1:4" x14ac:dyDescent="0.25">
      <c r="A13079" t="str">
        <f>T("   CH")</f>
        <v xml:space="preserve">   CH</v>
      </c>
      <c r="B13079" t="str">
        <f>T("   Suisse")</f>
        <v xml:space="preserve">   Suisse</v>
      </c>
      <c r="C13079">
        <v>60000</v>
      </c>
      <c r="D13079">
        <v>215</v>
      </c>
    </row>
    <row r="13080" spans="1:4" x14ac:dyDescent="0.25">
      <c r="A13080" t="str">
        <f>T("   CN")</f>
        <v xml:space="preserve">   CN</v>
      </c>
      <c r="B13080" t="str">
        <f>T("   Chine")</f>
        <v xml:space="preserve">   Chine</v>
      </c>
      <c r="C13080">
        <v>117017295</v>
      </c>
      <c r="D13080">
        <v>164152</v>
      </c>
    </row>
    <row r="13081" spans="1:4" x14ac:dyDescent="0.25">
      <c r="A13081" t="str">
        <f>T("   FR")</f>
        <v xml:space="preserve">   FR</v>
      </c>
      <c r="B13081" t="str">
        <f>T("   France")</f>
        <v xml:space="preserve">   France</v>
      </c>
      <c r="C13081">
        <v>20596433</v>
      </c>
      <c r="D13081">
        <v>5147</v>
      </c>
    </row>
    <row r="13082" spans="1:4" x14ac:dyDescent="0.25">
      <c r="A13082" t="str">
        <f>T("   GB")</f>
        <v xml:space="preserve">   GB</v>
      </c>
      <c r="B13082" t="str">
        <f>T("   Royaume-Uni")</f>
        <v xml:space="preserve">   Royaume-Uni</v>
      </c>
      <c r="C13082">
        <v>1124136</v>
      </c>
      <c r="D13082">
        <v>1575</v>
      </c>
    </row>
    <row r="13083" spans="1:4" x14ac:dyDescent="0.25">
      <c r="A13083" t="str">
        <f>T("   ID")</f>
        <v xml:space="preserve">   ID</v>
      </c>
      <c r="B13083" t="str">
        <f>T("   Indonésie")</f>
        <v xml:space="preserve">   Indonésie</v>
      </c>
      <c r="C13083">
        <v>9922550</v>
      </c>
      <c r="D13083">
        <v>2643</v>
      </c>
    </row>
    <row r="13084" spans="1:4" x14ac:dyDescent="0.25">
      <c r="A13084" t="str">
        <f>T("   MA")</f>
        <v xml:space="preserve">   MA</v>
      </c>
      <c r="B13084" t="str">
        <f>T("   Maroc")</f>
        <v xml:space="preserve">   Maroc</v>
      </c>
      <c r="C13084">
        <v>123450</v>
      </c>
      <c r="D13084">
        <v>20</v>
      </c>
    </row>
    <row r="13085" spans="1:4" x14ac:dyDescent="0.25">
      <c r="A13085" t="str">
        <f>T("   SA")</f>
        <v xml:space="preserve">   SA</v>
      </c>
      <c r="B13085" t="str">
        <f>T("   Arabie Saoudite")</f>
        <v xml:space="preserve">   Arabie Saoudite</v>
      </c>
      <c r="C13085">
        <v>1000000</v>
      </c>
      <c r="D13085">
        <v>2000</v>
      </c>
    </row>
    <row r="13086" spans="1:4" x14ac:dyDescent="0.25">
      <c r="A13086" t="str">
        <f>T("   SG")</f>
        <v xml:space="preserve">   SG</v>
      </c>
      <c r="B13086" t="str">
        <f>T("   Singapour")</f>
        <v xml:space="preserve">   Singapour</v>
      </c>
      <c r="C13086">
        <v>48379187</v>
      </c>
      <c r="D13086">
        <v>51246</v>
      </c>
    </row>
    <row r="13087" spans="1:4" x14ac:dyDescent="0.25">
      <c r="A13087" t="str">
        <f>T("   TG")</f>
        <v xml:space="preserve">   TG</v>
      </c>
      <c r="B13087" t="str">
        <f>T("   Togo")</f>
        <v xml:space="preserve">   Togo</v>
      </c>
      <c r="C13087">
        <v>2190871</v>
      </c>
      <c r="D13087">
        <v>6340</v>
      </c>
    </row>
    <row r="13088" spans="1:4" x14ac:dyDescent="0.25">
      <c r="A13088" t="str">
        <f>T("   TH")</f>
        <v xml:space="preserve">   TH</v>
      </c>
      <c r="B13088" t="str">
        <f>T("   Thaïlande")</f>
        <v xml:space="preserve">   Thaïlande</v>
      </c>
      <c r="C13088">
        <v>4126391</v>
      </c>
      <c r="D13088">
        <v>7000</v>
      </c>
    </row>
    <row r="13089" spans="1:4" x14ac:dyDescent="0.25">
      <c r="A13089" t="str">
        <f>T("   US")</f>
        <v xml:space="preserve">   US</v>
      </c>
      <c r="B13089" t="str">
        <f>T("   Etats-Unis")</f>
        <v xml:space="preserve">   Etats-Unis</v>
      </c>
      <c r="C13089">
        <v>616621</v>
      </c>
      <c r="D13089">
        <v>2100</v>
      </c>
    </row>
    <row r="13090" spans="1:4" x14ac:dyDescent="0.25">
      <c r="A13090" t="str">
        <f>T("851830")</f>
        <v>851830</v>
      </c>
      <c r="B13090" t="str">
        <f>T("Casques d'écoute et écouteurs électro-acoustiques, même combinés avec un microphone, et ensembles ou assortiments constitués par un microphone et un ou plusieurs haut-parleurs (autres qu'appareils téléphoniques, prothèses auditives et casques avec écouteu")</f>
        <v>Casques d'écoute et écouteurs électro-acoustiques, même combinés avec un microphone, et ensembles ou assortiments constitués par un microphone et un ou plusieurs haut-parleurs (autres qu'appareils téléphoniques, prothèses auditives et casques avec écouteu</v>
      </c>
    </row>
    <row r="13091" spans="1:4" x14ac:dyDescent="0.25">
      <c r="A13091" t="str">
        <f>T("   ZZZ_Monde")</f>
        <v xml:space="preserve">   ZZZ_Monde</v>
      </c>
      <c r="B13091" t="str">
        <f>T("   ZZZ_Monde")</f>
        <v xml:space="preserve">   ZZZ_Monde</v>
      </c>
      <c r="C13091">
        <v>7158641</v>
      </c>
      <c r="D13091">
        <v>23113</v>
      </c>
    </row>
    <row r="13092" spans="1:4" x14ac:dyDescent="0.25">
      <c r="A13092" t="str">
        <f>T("   AT")</f>
        <v xml:space="preserve">   AT</v>
      </c>
      <c r="B13092" t="str">
        <f>T("   Autriche")</f>
        <v xml:space="preserve">   Autriche</v>
      </c>
      <c r="C13092">
        <v>105662</v>
      </c>
      <c r="D13092">
        <v>4</v>
      </c>
    </row>
    <row r="13093" spans="1:4" x14ac:dyDescent="0.25">
      <c r="A13093" t="str">
        <f>T("   CN")</f>
        <v xml:space="preserve">   CN</v>
      </c>
      <c r="B13093" t="str">
        <f>T("   Chine")</f>
        <v xml:space="preserve">   Chine</v>
      </c>
      <c r="C13093">
        <v>3950197</v>
      </c>
      <c r="D13093">
        <v>13957</v>
      </c>
    </row>
    <row r="13094" spans="1:4" x14ac:dyDescent="0.25">
      <c r="A13094" t="str">
        <f>T("   FR")</f>
        <v xml:space="preserve">   FR</v>
      </c>
      <c r="B13094" t="str">
        <f>T("   France")</f>
        <v xml:space="preserve">   France</v>
      </c>
      <c r="C13094">
        <v>2146440</v>
      </c>
      <c r="D13094">
        <v>72</v>
      </c>
    </row>
    <row r="13095" spans="1:4" x14ac:dyDescent="0.25">
      <c r="A13095" t="str">
        <f>T("   TG")</f>
        <v xml:space="preserve">   TG</v>
      </c>
      <c r="B13095" t="str">
        <f>T("   Togo")</f>
        <v xml:space="preserve">   Togo</v>
      </c>
      <c r="C13095">
        <v>956342</v>
      </c>
      <c r="D13095">
        <v>9080</v>
      </c>
    </row>
    <row r="13096" spans="1:4" x14ac:dyDescent="0.25">
      <c r="A13096" t="str">
        <f>T("851840")</f>
        <v>851840</v>
      </c>
      <c r="B13096" t="str">
        <f>T("Amplificateurs électriques d'audiofréquence")</f>
        <v>Amplificateurs électriques d'audiofréquence</v>
      </c>
    </row>
    <row r="13097" spans="1:4" x14ac:dyDescent="0.25">
      <c r="A13097" t="str">
        <f>T("   ZZZ_Monde")</f>
        <v xml:space="preserve">   ZZZ_Monde</v>
      </c>
      <c r="B13097" t="str">
        <f>T("   ZZZ_Monde")</f>
        <v xml:space="preserve">   ZZZ_Monde</v>
      </c>
      <c r="C13097">
        <v>2369185</v>
      </c>
      <c r="D13097">
        <v>2160</v>
      </c>
    </row>
    <row r="13098" spans="1:4" x14ac:dyDescent="0.25">
      <c r="A13098" t="str">
        <f>T("   CN")</f>
        <v xml:space="preserve">   CN</v>
      </c>
      <c r="B13098" t="str">
        <f>T("   Chine")</f>
        <v xml:space="preserve">   Chine</v>
      </c>
      <c r="C13098">
        <v>215031</v>
      </c>
      <c r="D13098">
        <v>600</v>
      </c>
    </row>
    <row r="13099" spans="1:4" x14ac:dyDescent="0.25">
      <c r="A13099" t="str">
        <f>T("   FR")</f>
        <v xml:space="preserve">   FR</v>
      </c>
      <c r="B13099" t="str">
        <f>T("   France")</f>
        <v xml:space="preserve">   France</v>
      </c>
      <c r="C13099">
        <v>1421893</v>
      </c>
      <c r="D13099">
        <v>495</v>
      </c>
    </row>
    <row r="13100" spans="1:4" x14ac:dyDescent="0.25">
      <c r="A13100" t="str">
        <f>T("   NG")</f>
        <v xml:space="preserve">   NG</v>
      </c>
      <c r="B13100" t="str">
        <f>T("   Nigéria")</f>
        <v xml:space="preserve">   Nigéria</v>
      </c>
      <c r="C13100">
        <v>670000</v>
      </c>
      <c r="D13100">
        <v>1050</v>
      </c>
    </row>
    <row r="13101" spans="1:4" x14ac:dyDescent="0.25">
      <c r="A13101" t="str">
        <f>T("   TG")</f>
        <v xml:space="preserve">   TG</v>
      </c>
      <c r="B13101" t="str">
        <f>T("   Togo")</f>
        <v xml:space="preserve">   Togo</v>
      </c>
      <c r="C13101">
        <v>62261</v>
      </c>
      <c r="D13101">
        <v>15</v>
      </c>
    </row>
    <row r="13102" spans="1:4" x14ac:dyDescent="0.25">
      <c r="A13102" t="str">
        <f>T("851850")</f>
        <v>851850</v>
      </c>
      <c r="B13102" t="str">
        <f>T("Appareils électriques d'amplification du son")</f>
        <v>Appareils électriques d'amplification du son</v>
      </c>
    </row>
    <row r="13103" spans="1:4" x14ac:dyDescent="0.25">
      <c r="A13103" t="str">
        <f>T("   ZZZ_Monde")</f>
        <v xml:space="preserve">   ZZZ_Monde</v>
      </c>
      <c r="B13103" t="str">
        <f>T("   ZZZ_Monde")</f>
        <v xml:space="preserve">   ZZZ_Monde</v>
      </c>
      <c r="C13103">
        <v>1042473</v>
      </c>
      <c r="D13103">
        <v>394</v>
      </c>
    </row>
    <row r="13104" spans="1:4" x14ac:dyDescent="0.25">
      <c r="A13104" t="str">
        <f>T("   FR")</f>
        <v xml:space="preserve">   FR</v>
      </c>
      <c r="B13104" t="str">
        <f>T("   France")</f>
        <v xml:space="preserve">   France</v>
      </c>
      <c r="C13104">
        <v>141031</v>
      </c>
      <c r="D13104">
        <v>50</v>
      </c>
    </row>
    <row r="13105" spans="1:4" x14ac:dyDescent="0.25">
      <c r="A13105" t="str">
        <f>T("   NG")</f>
        <v xml:space="preserve">   NG</v>
      </c>
      <c r="B13105" t="str">
        <f>T("   Nigéria")</f>
        <v xml:space="preserve">   Nigéria</v>
      </c>
      <c r="C13105">
        <v>260000</v>
      </c>
      <c r="D13105">
        <v>250</v>
      </c>
    </row>
    <row r="13106" spans="1:4" x14ac:dyDescent="0.25">
      <c r="A13106" t="str">
        <f>T("   TG")</f>
        <v xml:space="preserve">   TG</v>
      </c>
      <c r="B13106" t="str">
        <f>T("   Togo")</f>
        <v xml:space="preserve">   Togo</v>
      </c>
      <c r="C13106">
        <v>43692</v>
      </c>
      <c r="D13106">
        <v>75</v>
      </c>
    </row>
    <row r="13107" spans="1:4" x14ac:dyDescent="0.25">
      <c r="A13107" t="str">
        <f>T("   US")</f>
        <v xml:space="preserve">   US</v>
      </c>
      <c r="B13107" t="str">
        <f>T("   Etats-Unis")</f>
        <v xml:space="preserve">   Etats-Unis</v>
      </c>
      <c r="C13107">
        <v>597750</v>
      </c>
      <c r="D13107">
        <v>19</v>
      </c>
    </row>
    <row r="13108" spans="1:4" x14ac:dyDescent="0.25">
      <c r="A13108" t="str">
        <f>T("851890")</f>
        <v>851890</v>
      </c>
      <c r="B13108" t="str">
        <f>T("Parties de microphones, haut-parleurs, casques d'écoute et écouteurs électro-acoustiques, amplificateurs électriques d'audiofréquence ou appareils électriques d'amplification du son, n.d.a.")</f>
        <v>Parties de microphones, haut-parleurs, casques d'écoute et écouteurs électro-acoustiques, amplificateurs électriques d'audiofréquence ou appareils électriques d'amplification du son, n.d.a.</v>
      </c>
    </row>
    <row r="13109" spans="1:4" x14ac:dyDescent="0.25">
      <c r="A13109" t="str">
        <f>T("   ZZZ_Monde")</f>
        <v xml:space="preserve">   ZZZ_Monde</v>
      </c>
      <c r="B13109" t="str">
        <f>T("   ZZZ_Monde")</f>
        <v xml:space="preserve">   ZZZ_Monde</v>
      </c>
      <c r="C13109">
        <v>2982276</v>
      </c>
      <c r="D13109">
        <v>4175</v>
      </c>
    </row>
    <row r="13110" spans="1:4" x14ac:dyDescent="0.25">
      <c r="A13110" t="str">
        <f>T("   AE")</f>
        <v xml:space="preserve">   AE</v>
      </c>
      <c r="B13110" t="str">
        <f>T("   Emirats Arabes Unis")</f>
        <v xml:space="preserve">   Emirats Arabes Unis</v>
      </c>
      <c r="C13110">
        <v>1500523</v>
      </c>
      <c r="D13110">
        <v>2185</v>
      </c>
    </row>
    <row r="13111" spans="1:4" x14ac:dyDescent="0.25">
      <c r="A13111" t="str">
        <f>T("   CN")</f>
        <v xml:space="preserve">   CN</v>
      </c>
      <c r="B13111" t="str">
        <f>T("   Chine")</f>
        <v xml:space="preserve">   Chine</v>
      </c>
      <c r="C13111">
        <v>19117</v>
      </c>
      <c r="D13111">
        <v>29</v>
      </c>
    </row>
    <row r="13112" spans="1:4" x14ac:dyDescent="0.25">
      <c r="A13112" t="str">
        <f>T("   FR")</f>
        <v xml:space="preserve">   FR</v>
      </c>
      <c r="B13112" t="str">
        <f>T("   France")</f>
        <v xml:space="preserve">   France</v>
      </c>
      <c r="C13112">
        <v>707289</v>
      </c>
      <c r="D13112">
        <v>709</v>
      </c>
    </row>
    <row r="13113" spans="1:4" x14ac:dyDescent="0.25">
      <c r="A13113" t="str">
        <f>T("   GB")</f>
        <v xml:space="preserve">   GB</v>
      </c>
      <c r="B13113" t="str">
        <f>T("   Royaume-Uni")</f>
        <v xml:space="preserve">   Royaume-Uni</v>
      </c>
      <c r="C13113">
        <v>341297</v>
      </c>
      <c r="D13113">
        <v>612</v>
      </c>
    </row>
    <row r="13114" spans="1:4" x14ac:dyDescent="0.25">
      <c r="A13114" t="str">
        <f>T("   NG")</f>
        <v xml:space="preserve">   NG</v>
      </c>
      <c r="B13114" t="str">
        <f>T("   Nigéria")</f>
        <v xml:space="preserve">   Nigéria</v>
      </c>
      <c r="C13114">
        <v>414050</v>
      </c>
      <c r="D13114">
        <v>640</v>
      </c>
    </row>
    <row r="13115" spans="1:4" x14ac:dyDescent="0.25">
      <c r="A13115" t="str">
        <f>T("851993")</f>
        <v>851993</v>
      </c>
      <c r="B13115" t="s">
        <v>30</v>
      </c>
    </row>
    <row r="13116" spans="1:4" x14ac:dyDescent="0.25">
      <c r="A13116" t="str">
        <f>T("   ZZZ_Monde")</f>
        <v xml:space="preserve">   ZZZ_Monde</v>
      </c>
      <c r="B13116" t="str">
        <f>T("   ZZZ_Monde")</f>
        <v xml:space="preserve">   ZZZ_Monde</v>
      </c>
      <c r="C13116">
        <v>134697</v>
      </c>
      <c r="D13116">
        <v>142</v>
      </c>
    </row>
    <row r="13117" spans="1:4" x14ac:dyDescent="0.25">
      <c r="A13117" t="str">
        <f>T("   TZ")</f>
        <v xml:space="preserve">   TZ</v>
      </c>
      <c r="B13117" t="str">
        <f>T("   Tanzanie")</f>
        <v xml:space="preserve">   Tanzanie</v>
      </c>
      <c r="C13117">
        <v>134697</v>
      </c>
      <c r="D13117">
        <v>142</v>
      </c>
    </row>
    <row r="13118" spans="1:4" x14ac:dyDescent="0.25">
      <c r="A13118" t="str">
        <f>T("851999")</f>
        <v>851999</v>
      </c>
      <c r="B13118" t="str">
        <f>T("Appareils de reproduction du son, n'incorporant pas de dispositif d'enregistrement du son (autres que tourne-disques, électrophones commandés par l'introduction d'une pièce de monnaie ou d'un jeton, machines à dicter et lecteurs de cassettes)")</f>
        <v>Appareils de reproduction du son, n'incorporant pas de dispositif d'enregistrement du son (autres que tourne-disques, électrophones commandés par l'introduction d'une pièce de monnaie ou d'un jeton, machines à dicter et lecteurs de cassettes)</v>
      </c>
    </row>
    <row r="13119" spans="1:4" x14ac:dyDescent="0.25">
      <c r="A13119" t="str">
        <f>T("   ZZZ_Monde")</f>
        <v xml:space="preserve">   ZZZ_Monde</v>
      </c>
      <c r="B13119" t="str">
        <f>T("   ZZZ_Monde")</f>
        <v xml:space="preserve">   ZZZ_Monde</v>
      </c>
      <c r="C13119">
        <v>14530045</v>
      </c>
      <c r="D13119">
        <v>18637</v>
      </c>
    </row>
    <row r="13120" spans="1:4" x14ac:dyDescent="0.25">
      <c r="A13120" t="str">
        <f>T("   AE")</f>
        <v xml:space="preserve">   AE</v>
      </c>
      <c r="B13120" t="str">
        <f>T("   Emirats Arabes Unis")</f>
        <v xml:space="preserve">   Emirats Arabes Unis</v>
      </c>
      <c r="C13120">
        <v>1603896</v>
      </c>
      <c r="D13120">
        <v>1758</v>
      </c>
    </row>
    <row r="13121" spans="1:4" x14ac:dyDescent="0.25">
      <c r="A13121" t="str">
        <f>T("   CN")</f>
        <v xml:space="preserve">   CN</v>
      </c>
      <c r="B13121" t="str">
        <f>T("   Chine")</f>
        <v xml:space="preserve">   Chine</v>
      </c>
      <c r="C13121">
        <v>1092456</v>
      </c>
      <c r="D13121">
        <v>2207</v>
      </c>
    </row>
    <row r="13122" spans="1:4" x14ac:dyDescent="0.25">
      <c r="A13122" t="str">
        <f>T("   FR")</f>
        <v xml:space="preserve">   FR</v>
      </c>
      <c r="B13122" t="str">
        <f>T("   France")</f>
        <v xml:space="preserve">   France</v>
      </c>
      <c r="C13122">
        <v>1263902</v>
      </c>
      <c r="D13122">
        <v>313</v>
      </c>
    </row>
    <row r="13123" spans="1:4" x14ac:dyDescent="0.25">
      <c r="A13123" t="str">
        <f>T("   GB")</f>
        <v xml:space="preserve">   GB</v>
      </c>
      <c r="B13123" t="str">
        <f>T("   Royaume-Uni")</f>
        <v xml:space="preserve">   Royaume-Uni</v>
      </c>
      <c r="C13123">
        <v>281407</v>
      </c>
      <c r="D13123">
        <v>150</v>
      </c>
    </row>
    <row r="13124" spans="1:4" x14ac:dyDescent="0.25">
      <c r="A13124" t="str">
        <f>T("   IN")</f>
        <v xml:space="preserve">   IN</v>
      </c>
      <c r="B13124" t="str">
        <f>T("   Inde")</f>
        <v xml:space="preserve">   Inde</v>
      </c>
      <c r="C13124">
        <v>2000000</v>
      </c>
      <c r="D13124">
        <v>3000</v>
      </c>
    </row>
    <row r="13125" spans="1:4" x14ac:dyDescent="0.25">
      <c r="A13125" t="str">
        <f>T("   NL")</f>
        <v xml:space="preserve">   NL</v>
      </c>
      <c r="B13125" t="str">
        <f>T("   Pays-bas")</f>
        <v xml:space="preserve">   Pays-bas</v>
      </c>
      <c r="C13125">
        <v>250000</v>
      </c>
      <c r="D13125">
        <v>150</v>
      </c>
    </row>
    <row r="13126" spans="1:4" x14ac:dyDescent="0.25">
      <c r="A13126" t="str">
        <f>T("   SG")</f>
        <v xml:space="preserve">   SG</v>
      </c>
      <c r="B13126" t="str">
        <f>T("   Singapour")</f>
        <v xml:space="preserve">   Singapour</v>
      </c>
      <c r="C13126">
        <v>7738384</v>
      </c>
      <c r="D13126">
        <v>9859</v>
      </c>
    </row>
    <row r="13127" spans="1:4" x14ac:dyDescent="0.25">
      <c r="A13127" t="str">
        <f>T("   TG")</f>
        <v xml:space="preserve">   TG</v>
      </c>
      <c r="B13127" t="str">
        <f>T("   Togo")</f>
        <v xml:space="preserve">   Togo</v>
      </c>
      <c r="C13127">
        <v>300000</v>
      </c>
      <c r="D13127">
        <v>1200</v>
      </c>
    </row>
    <row r="13128" spans="1:4" x14ac:dyDescent="0.25">
      <c r="A13128" t="str">
        <f>T("852033")</f>
        <v>852033</v>
      </c>
      <c r="B13128" t="str">
        <f>T("Appareils d'enregistrement et de reproduction du son, à cassettes (autres que numériques)")</f>
        <v>Appareils d'enregistrement et de reproduction du son, à cassettes (autres que numériques)</v>
      </c>
    </row>
    <row r="13129" spans="1:4" x14ac:dyDescent="0.25">
      <c r="A13129" t="str">
        <f>T("   ZZZ_Monde")</f>
        <v xml:space="preserve">   ZZZ_Monde</v>
      </c>
      <c r="B13129" t="str">
        <f>T("   ZZZ_Monde")</f>
        <v xml:space="preserve">   ZZZ_Monde</v>
      </c>
      <c r="C13129">
        <v>1767167</v>
      </c>
      <c r="D13129">
        <v>3260</v>
      </c>
    </row>
    <row r="13130" spans="1:4" x14ac:dyDescent="0.25">
      <c r="A13130" t="str">
        <f>T("   BW")</f>
        <v xml:space="preserve">   BW</v>
      </c>
      <c r="B13130" t="str">
        <f>T("   Botswana")</f>
        <v xml:space="preserve">   Botswana</v>
      </c>
      <c r="C13130">
        <v>500000</v>
      </c>
      <c r="D13130">
        <v>50</v>
      </c>
    </row>
    <row r="13131" spans="1:4" x14ac:dyDescent="0.25">
      <c r="A13131" t="str">
        <f>T("   CN")</f>
        <v xml:space="preserve">   CN</v>
      </c>
      <c r="B13131" t="str">
        <f>T("   Chine")</f>
        <v xml:space="preserve">   Chine</v>
      </c>
      <c r="C13131">
        <v>878147</v>
      </c>
      <c r="D13131">
        <v>1748</v>
      </c>
    </row>
    <row r="13132" spans="1:4" x14ac:dyDescent="0.25">
      <c r="A13132" t="str">
        <f>T("   FR")</f>
        <v xml:space="preserve">   FR</v>
      </c>
      <c r="B13132" t="str">
        <f>T("   France")</f>
        <v xml:space="preserve">   France</v>
      </c>
      <c r="C13132">
        <v>389020</v>
      </c>
      <c r="D13132">
        <v>1462</v>
      </c>
    </row>
    <row r="13133" spans="1:4" x14ac:dyDescent="0.25">
      <c r="A13133" t="str">
        <f>T("852090")</f>
        <v>852090</v>
      </c>
      <c r="B13133" t="str">
        <f>T("Appareils d'enregistrement du son, incorporant également un dispositif de reproduction du son (autres qu'appareils d'enregistrement et de reproduction du son utilisant des bandes magnétiques sur bobines)")</f>
        <v>Appareils d'enregistrement du son, incorporant également un dispositif de reproduction du son (autres qu'appareils d'enregistrement et de reproduction du son utilisant des bandes magnétiques sur bobines)</v>
      </c>
    </row>
    <row r="13134" spans="1:4" x14ac:dyDescent="0.25">
      <c r="A13134" t="str">
        <f>T("   ZZZ_Monde")</f>
        <v xml:space="preserve">   ZZZ_Monde</v>
      </c>
      <c r="B13134" t="str">
        <f>T("   ZZZ_Monde")</f>
        <v xml:space="preserve">   ZZZ_Monde</v>
      </c>
      <c r="C13134">
        <v>4174243</v>
      </c>
      <c r="D13134">
        <v>881</v>
      </c>
    </row>
    <row r="13135" spans="1:4" x14ac:dyDescent="0.25">
      <c r="A13135" t="str">
        <f>T("   DK")</f>
        <v xml:space="preserve">   DK</v>
      </c>
      <c r="B13135" t="str">
        <f>T("   Danemark")</f>
        <v xml:space="preserve">   Danemark</v>
      </c>
      <c r="C13135">
        <v>3386608</v>
      </c>
      <c r="D13135">
        <v>56</v>
      </c>
    </row>
    <row r="13136" spans="1:4" x14ac:dyDescent="0.25">
      <c r="A13136" t="str">
        <f>T("   ES")</f>
        <v xml:space="preserve">   ES</v>
      </c>
      <c r="B13136" t="str">
        <f>T("   Espagne")</f>
        <v xml:space="preserve">   Espagne</v>
      </c>
      <c r="C13136">
        <v>98394</v>
      </c>
      <c r="D13136">
        <v>90</v>
      </c>
    </row>
    <row r="13137" spans="1:4" x14ac:dyDescent="0.25">
      <c r="A13137" t="str">
        <f>T("   TG")</f>
        <v xml:space="preserve">   TG</v>
      </c>
      <c r="B13137" t="str">
        <f>T("   Togo")</f>
        <v xml:space="preserve">   Togo</v>
      </c>
      <c r="C13137">
        <v>689241</v>
      </c>
      <c r="D13137">
        <v>735</v>
      </c>
    </row>
    <row r="13138" spans="1:4" x14ac:dyDescent="0.25">
      <c r="A13138" t="str">
        <f>T("852110")</f>
        <v>852110</v>
      </c>
      <c r="B13138" t="str">
        <f>T("APPAREILS D'ENREGISTREMENT OU DE REPRODUCTION VIDÉOPHONIQUES À BANDES MAGNÉTIQUES, INCORPORANT ÉGALEMENT UN RÉCEPTEUR DE SIGNAUX VIDÉOPHONIQUES (À L'EXCL. DES CAMÉSCOPES) [01/01/1988-31/12/1991: APPAREILS D'ENREGISTREMENT OU DE REPRODUCTION VIDEOPHONIQUES")</f>
        <v>APPAREILS D'ENREGISTREMENT OU DE REPRODUCTION VIDÉOPHONIQUES À BANDES MAGNÉTIQUES, INCORPORANT ÉGALEMENT UN RÉCEPTEUR DE SIGNAUX VIDÉOPHONIQUES (À L'EXCL. DES CAMÉSCOPES) [01/01/1988-31/12/1991: APPAREILS D'ENREGISTREMENT OU DE REPRODUCTION VIDEOPHONIQUES</v>
      </c>
    </row>
    <row r="13139" spans="1:4" x14ac:dyDescent="0.25">
      <c r="A13139" t="str">
        <f>T("   ZZZ_Monde")</f>
        <v xml:space="preserve">   ZZZ_Monde</v>
      </c>
      <c r="B13139" t="str">
        <f>T("   ZZZ_Monde")</f>
        <v xml:space="preserve">   ZZZ_Monde</v>
      </c>
      <c r="C13139">
        <v>4731687</v>
      </c>
      <c r="D13139">
        <v>5640</v>
      </c>
    </row>
    <row r="13140" spans="1:4" x14ac:dyDescent="0.25">
      <c r="A13140" t="str">
        <f>T("   CN")</f>
        <v xml:space="preserve">   CN</v>
      </c>
      <c r="B13140" t="str">
        <f>T("   Chine")</f>
        <v xml:space="preserve">   Chine</v>
      </c>
      <c r="C13140">
        <v>4687995</v>
      </c>
      <c r="D13140">
        <v>5610</v>
      </c>
    </row>
    <row r="13141" spans="1:4" x14ac:dyDescent="0.25">
      <c r="A13141" t="str">
        <f>T("   TG")</f>
        <v xml:space="preserve">   TG</v>
      </c>
      <c r="B13141" t="str">
        <f>T("   Togo")</f>
        <v xml:space="preserve">   Togo</v>
      </c>
      <c r="C13141">
        <v>43692</v>
      </c>
      <c r="D13141">
        <v>30</v>
      </c>
    </row>
    <row r="13142" spans="1:4" x14ac:dyDescent="0.25">
      <c r="A13142" t="str">
        <f>T("852190")</f>
        <v>852190</v>
      </c>
      <c r="B13142" t="str">
        <f>T("APPAREILS D'ENREGISTREMENT OU DE REPRODUCTION VIDÉOPHONIQUES, INCORPORANT ÉGALEMENT UN RÉCEPTEUR DE SIGNAUX VIDÉOPHONIQUES (AUTRES QU'À BANDES MAGNÉTIQUES ET À L'EXCL. DES CAMÉSCOPES) [01/01/1988-31/12/1991: APPAREILS D'ENREGISTREMENT OU DE REPRODUCTION V")</f>
        <v>APPAREILS D'ENREGISTREMENT OU DE REPRODUCTION VIDÉOPHONIQUES, INCORPORANT ÉGALEMENT UN RÉCEPTEUR DE SIGNAUX VIDÉOPHONIQUES (AUTRES QU'À BANDES MAGNÉTIQUES ET À L'EXCL. DES CAMÉSCOPES) [01/01/1988-31/12/1991: APPAREILS D'ENREGISTREMENT OU DE REPRODUCTION V</v>
      </c>
    </row>
    <row r="13143" spans="1:4" x14ac:dyDescent="0.25">
      <c r="A13143" t="str">
        <f>T("   ZZZ_Monde")</f>
        <v xml:space="preserve">   ZZZ_Monde</v>
      </c>
      <c r="B13143" t="str">
        <f>T("   ZZZ_Monde")</f>
        <v xml:space="preserve">   ZZZ_Monde</v>
      </c>
      <c r="C13143">
        <v>150565385</v>
      </c>
      <c r="D13143">
        <v>285252</v>
      </c>
    </row>
    <row r="13144" spans="1:4" x14ac:dyDescent="0.25">
      <c r="A13144" t="str">
        <f>T("   AE")</f>
        <v xml:space="preserve">   AE</v>
      </c>
      <c r="B13144" t="str">
        <f>T("   Emirats Arabes Unis")</f>
        <v xml:space="preserve">   Emirats Arabes Unis</v>
      </c>
      <c r="C13144">
        <v>10899707</v>
      </c>
      <c r="D13144">
        <v>9510</v>
      </c>
    </row>
    <row r="13145" spans="1:4" x14ac:dyDescent="0.25">
      <c r="A13145" t="str">
        <f>T("   BE")</f>
        <v xml:space="preserve">   BE</v>
      </c>
      <c r="B13145" t="str">
        <f>T("   Belgique")</f>
        <v xml:space="preserve">   Belgique</v>
      </c>
      <c r="C13145">
        <v>376521</v>
      </c>
      <c r="D13145">
        <v>280</v>
      </c>
    </row>
    <row r="13146" spans="1:4" x14ac:dyDescent="0.25">
      <c r="A13146" t="str">
        <f>T("   CN")</f>
        <v xml:space="preserve">   CN</v>
      </c>
      <c r="B13146" t="str">
        <f>T("   Chine")</f>
        <v xml:space="preserve">   Chine</v>
      </c>
      <c r="C13146">
        <v>82908155</v>
      </c>
      <c r="D13146">
        <v>105472</v>
      </c>
    </row>
    <row r="13147" spans="1:4" x14ac:dyDescent="0.25">
      <c r="A13147" t="str">
        <f>T("   DE")</f>
        <v xml:space="preserve">   DE</v>
      </c>
      <c r="B13147" t="str">
        <f>T("   Allemagne")</f>
        <v xml:space="preserve">   Allemagne</v>
      </c>
      <c r="C13147">
        <v>44999</v>
      </c>
      <c r="D13147">
        <v>5</v>
      </c>
    </row>
    <row r="13148" spans="1:4" x14ac:dyDescent="0.25">
      <c r="A13148" t="str">
        <f>T("   FR")</f>
        <v xml:space="preserve">   FR</v>
      </c>
      <c r="B13148" t="str">
        <f>T("   France")</f>
        <v xml:space="preserve">   France</v>
      </c>
      <c r="C13148">
        <v>1025610</v>
      </c>
      <c r="D13148">
        <v>2565</v>
      </c>
    </row>
    <row r="13149" spans="1:4" x14ac:dyDescent="0.25">
      <c r="A13149" t="str">
        <f>T("   GB")</f>
        <v xml:space="preserve">   GB</v>
      </c>
      <c r="B13149" t="str">
        <f>T("   Royaume-Uni")</f>
        <v xml:space="preserve">   Royaume-Uni</v>
      </c>
      <c r="C13149">
        <v>270439</v>
      </c>
      <c r="D13149">
        <v>115</v>
      </c>
    </row>
    <row r="13150" spans="1:4" x14ac:dyDescent="0.25">
      <c r="A13150" t="str">
        <f>T("   GH")</f>
        <v xml:space="preserve">   GH</v>
      </c>
      <c r="B13150" t="str">
        <f>T("   Ghana")</f>
        <v xml:space="preserve">   Ghana</v>
      </c>
      <c r="C13150">
        <v>500000</v>
      </c>
      <c r="D13150">
        <v>750</v>
      </c>
    </row>
    <row r="13151" spans="1:4" x14ac:dyDescent="0.25">
      <c r="A13151" t="str">
        <f>T("   ID")</f>
        <v xml:space="preserve">   ID</v>
      </c>
      <c r="B13151" t="str">
        <f>T("   Indonésie")</f>
        <v xml:space="preserve">   Indonésie</v>
      </c>
      <c r="C13151">
        <v>19839391</v>
      </c>
      <c r="D13151">
        <v>11083</v>
      </c>
    </row>
    <row r="13152" spans="1:4" x14ac:dyDescent="0.25">
      <c r="A13152" t="str">
        <f>T("   IE")</f>
        <v xml:space="preserve">   IE</v>
      </c>
      <c r="B13152" t="str">
        <f>T("   Irlande")</f>
        <v xml:space="preserve">   Irlande</v>
      </c>
      <c r="C13152">
        <v>193720</v>
      </c>
      <c r="D13152">
        <v>1610</v>
      </c>
    </row>
    <row r="13153" spans="1:4" x14ac:dyDescent="0.25">
      <c r="A13153" t="str">
        <f>T("   IR")</f>
        <v xml:space="preserve">   IR</v>
      </c>
      <c r="B13153" t="str">
        <f>T("   Iran, République Islqmique d'")</f>
        <v xml:space="preserve">   Iran, République Islqmique d'</v>
      </c>
      <c r="C13153">
        <v>426286</v>
      </c>
      <c r="D13153">
        <v>115</v>
      </c>
    </row>
    <row r="13154" spans="1:4" x14ac:dyDescent="0.25">
      <c r="A13154" t="str">
        <f>T("   KR")</f>
        <v xml:space="preserve">   KR</v>
      </c>
      <c r="B13154" t="str">
        <f>T("   Corée, République de")</f>
        <v xml:space="preserve">   Corée, République de</v>
      </c>
      <c r="C13154">
        <v>3277000</v>
      </c>
      <c r="D13154">
        <v>10000</v>
      </c>
    </row>
    <row r="13155" spans="1:4" x14ac:dyDescent="0.25">
      <c r="A13155" t="str">
        <f>T("   NG")</f>
        <v xml:space="preserve">   NG</v>
      </c>
      <c r="B13155" t="str">
        <f>T("   Nigéria")</f>
        <v xml:space="preserve">   Nigéria</v>
      </c>
      <c r="C13155">
        <v>524880</v>
      </c>
      <c r="D13155">
        <v>500</v>
      </c>
    </row>
    <row r="13156" spans="1:4" x14ac:dyDescent="0.25">
      <c r="A13156" t="str">
        <f>T("   SG")</f>
        <v xml:space="preserve">   SG</v>
      </c>
      <c r="B13156" t="str">
        <f>T("   Singapour")</f>
        <v xml:space="preserve">   Singapour</v>
      </c>
      <c r="C13156">
        <v>11136529</v>
      </c>
      <c r="D13156">
        <v>12687</v>
      </c>
    </row>
    <row r="13157" spans="1:4" x14ac:dyDescent="0.25">
      <c r="A13157" t="str">
        <f>T("   TG")</f>
        <v xml:space="preserve">   TG</v>
      </c>
      <c r="B13157" t="str">
        <f>T("   Togo")</f>
        <v xml:space="preserve">   Togo</v>
      </c>
      <c r="C13157">
        <v>16729954</v>
      </c>
      <c r="D13157">
        <v>125560</v>
      </c>
    </row>
    <row r="13158" spans="1:4" x14ac:dyDescent="0.25">
      <c r="A13158" t="str">
        <f>T("   TH")</f>
        <v xml:space="preserve">   TH</v>
      </c>
      <c r="B13158" t="str">
        <f>T("   Thaïlande")</f>
        <v xml:space="preserve">   Thaïlande</v>
      </c>
      <c r="C13158">
        <v>2412194</v>
      </c>
      <c r="D13158">
        <v>5000</v>
      </c>
    </row>
    <row r="13159" spans="1:4" x14ac:dyDescent="0.25">
      <c r="A13159" t="str">
        <f>T("852290")</f>
        <v>852290</v>
      </c>
      <c r="B13159" t="str">
        <f>T("Parties et accessoires reconnaissables comme étant exclusivement ou principalement destinés aux appareils d'enregistrement et de reproduction du son et aux appareils d'enregistrement et de reproduction vidéophoniques (à l'excl. des lecteurs de microsillon")</f>
        <v>Parties et accessoires reconnaissables comme étant exclusivement ou principalement destinés aux appareils d'enregistrement et de reproduction du son et aux appareils d'enregistrement et de reproduction vidéophoniques (à l'excl. des lecteurs de microsillon</v>
      </c>
    </row>
    <row r="13160" spans="1:4" x14ac:dyDescent="0.25">
      <c r="A13160" t="str">
        <f>T("   ZZZ_Monde")</f>
        <v xml:space="preserve">   ZZZ_Monde</v>
      </c>
      <c r="B13160" t="str">
        <f>T("   ZZZ_Monde")</f>
        <v xml:space="preserve">   ZZZ_Monde</v>
      </c>
      <c r="C13160">
        <v>497886809</v>
      </c>
      <c r="D13160">
        <v>13122</v>
      </c>
    </row>
    <row r="13161" spans="1:4" x14ac:dyDescent="0.25">
      <c r="A13161" t="str">
        <f>T("   CH")</f>
        <v xml:space="preserve">   CH</v>
      </c>
      <c r="B13161" t="str">
        <f>T("   Suisse")</f>
        <v xml:space="preserve">   Suisse</v>
      </c>
      <c r="C13161">
        <v>152437</v>
      </c>
      <c r="D13161">
        <v>10</v>
      </c>
    </row>
    <row r="13162" spans="1:4" x14ac:dyDescent="0.25">
      <c r="A13162" t="str">
        <f>T("   CN")</f>
        <v xml:space="preserve">   CN</v>
      </c>
      <c r="B13162" t="str">
        <f>T("   Chine")</f>
        <v xml:space="preserve">   Chine</v>
      </c>
      <c r="C13162">
        <v>490688910</v>
      </c>
      <c r="D13162">
        <v>5500</v>
      </c>
    </row>
    <row r="13163" spans="1:4" x14ac:dyDescent="0.25">
      <c r="A13163" t="str">
        <f>T("   DE")</f>
        <v xml:space="preserve">   DE</v>
      </c>
      <c r="B13163" t="str">
        <f>T("   Allemagne")</f>
        <v xml:space="preserve">   Allemagne</v>
      </c>
      <c r="C13163">
        <v>1217462</v>
      </c>
      <c r="D13163">
        <v>2</v>
      </c>
    </row>
    <row r="13164" spans="1:4" x14ac:dyDescent="0.25">
      <c r="A13164" t="str">
        <f>T("   FR")</f>
        <v xml:space="preserve">   FR</v>
      </c>
      <c r="B13164" t="str">
        <f>T("   France")</f>
        <v xml:space="preserve">   France</v>
      </c>
      <c r="C13164">
        <v>300000</v>
      </c>
      <c r="D13164">
        <v>10</v>
      </c>
    </row>
    <row r="13165" spans="1:4" x14ac:dyDescent="0.25">
      <c r="A13165" t="str">
        <f>T("   NG")</f>
        <v xml:space="preserve">   NG</v>
      </c>
      <c r="B13165" t="str">
        <f>T("   Nigéria")</f>
        <v xml:space="preserve">   Nigéria</v>
      </c>
      <c r="C13165">
        <v>5528000</v>
      </c>
      <c r="D13165">
        <v>7600</v>
      </c>
    </row>
    <row r="13166" spans="1:4" x14ac:dyDescent="0.25">
      <c r="A13166" t="str">
        <f>T("852320")</f>
        <v>852320</v>
      </c>
      <c r="B13166" t="str">
        <f>T("DISQUES MAGNÉTIQUES NON-ENREGISTRÉS")</f>
        <v>DISQUES MAGNÉTIQUES NON-ENREGISTRÉS</v>
      </c>
    </row>
    <row r="13167" spans="1:4" x14ac:dyDescent="0.25">
      <c r="A13167" t="str">
        <f>T("   ZZZ_Monde")</f>
        <v xml:space="preserve">   ZZZ_Monde</v>
      </c>
      <c r="B13167" t="str">
        <f>T("   ZZZ_Monde")</f>
        <v xml:space="preserve">   ZZZ_Monde</v>
      </c>
      <c r="C13167">
        <v>4067123</v>
      </c>
      <c r="D13167">
        <v>8249</v>
      </c>
    </row>
    <row r="13168" spans="1:4" x14ac:dyDescent="0.25">
      <c r="A13168" t="str">
        <f>T("   CN")</f>
        <v xml:space="preserve">   CN</v>
      </c>
      <c r="B13168" t="str">
        <f>T("   Chine")</f>
        <v xml:space="preserve">   Chine</v>
      </c>
      <c r="C13168">
        <v>2925837</v>
      </c>
      <c r="D13168">
        <v>8189</v>
      </c>
    </row>
    <row r="13169" spans="1:4" x14ac:dyDescent="0.25">
      <c r="A13169" t="str">
        <f>T("   FR")</f>
        <v xml:space="preserve">   FR</v>
      </c>
      <c r="B13169" t="str">
        <f>T("   France")</f>
        <v xml:space="preserve">   France</v>
      </c>
      <c r="C13169">
        <v>1131268</v>
      </c>
      <c r="D13169">
        <v>56</v>
      </c>
    </row>
    <row r="13170" spans="1:4" x14ac:dyDescent="0.25">
      <c r="A13170" t="str">
        <f>T("   US")</f>
        <v xml:space="preserve">   US</v>
      </c>
      <c r="B13170" t="str">
        <f>T("   Etats-Unis")</f>
        <v xml:space="preserve">   Etats-Unis</v>
      </c>
      <c r="C13170">
        <v>10018</v>
      </c>
      <c r="D13170">
        <v>4</v>
      </c>
    </row>
    <row r="13171" spans="1:4" x14ac:dyDescent="0.25">
      <c r="A13171" t="str">
        <f>T("852330")</f>
        <v>852330</v>
      </c>
      <c r="B13171" t="str">
        <f>T("Cartes munies d'une piste magnétique non enregistrée")</f>
        <v>Cartes munies d'une piste magnétique non enregistrée</v>
      </c>
    </row>
    <row r="13172" spans="1:4" x14ac:dyDescent="0.25">
      <c r="A13172" t="str">
        <f>T("   ZZZ_Monde")</f>
        <v xml:space="preserve">   ZZZ_Monde</v>
      </c>
      <c r="B13172" t="str">
        <f>T("   ZZZ_Monde")</f>
        <v xml:space="preserve">   ZZZ_Monde</v>
      </c>
      <c r="C13172">
        <v>342943968</v>
      </c>
      <c r="D13172">
        <v>4521.5</v>
      </c>
    </row>
    <row r="13173" spans="1:4" x14ac:dyDescent="0.25">
      <c r="A13173" t="str">
        <f>T("   FR")</f>
        <v xml:space="preserve">   FR</v>
      </c>
      <c r="B13173" t="str">
        <f>T("   France")</f>
        <v xml:space="preserve">   France</v>
      </c>
      <c r="C13173">
        <v>315460541</v>
      </c>
      <c r="D13173">
        <v>3571.5</v>
      </c>
    </row>
    <row r="13174" spans="1:4" x14ac:dyDescent="0.25">
      <c r="A13174" t="str">
        <f>T("   UA")</f>
        <v xml:space="preserve">   UA</v>
      </c>
      <c r="B13174" t="str">
        <f>T("   Ukraine")</f>
        <v xml:space="preserve">   Ukraine</v>
      </c>
      <c r="C13174">
        <v>27483427</v>
      </c>
      <c r="D13174">
        <v>950</v>
      </c>
    </row>
    <row r="13175" spans="1:4" x14ac:dyDescent="0.25">
      <c r="A13175" t="str">
        <f>T("852390")</f>
        <v>852390</v>
      </c>
      <c r="B13175" t="str">
        <f>T("SUPPORTS PRÉPARÉS POUR L'ENREGISTREMENT DU SON OU POUR ENREGISTREMENTS ANALOGUES, NON-ENREGISTRÉS (AUTRES QUE BANDES ET DISQUES MAGNÉTIQUES, CARTES MUNIES D'UNE PISTE MAGNÉTIQUE ET PRODUITS DU CHAPITRE 37)")</f>
        <v>SUPPORTS PRÉPARÉS POUR L'ENREGISTREMENT DU SON OU POUR ENREGISTREMENTS ANALOGUES, NON-ENREGISTRÉS (AUTRES QUE BANDES ET DISQUES MAGNÉTIQUES, CARTES MUNIES D'UNE PISTE MAGNÉTIQUE ET PRODUITS DU CHAPITRE 37)</v>
      </c>
    </row>
    <row r="13176" spans="1:4" x14ac:dyDescent="0.25">
      <c r="A13176" t="str">
        <f>T("   ZZZ_Monde")</f>
        <v xml:space="preserve">   ZZZ_Monde</v>
      </c>
      <c r="B13176" t="str">
        <f>T("   ZZZ_Monde")</f>
        <v xml:space="preserve">   ZZZ_Monde</v>
      </c>
      <c r="C13176">
        <v>40267454</v>
      </c>
      <c r="D13176">
        <v>20012</v>
      </c>
    </row>
    <row r="13177" spans="1:4" x14ac:dyDescent="0.25">
      <c r="A13177" t="str">
        <f>T("   CN")</f>
        <v xml:space="preserve">   CN</v>
      </c>
      <c r="B13177" t="str">
        <f>T("   Chine")</f>
        <v xml:space="preserve">   Chine</v>
      </c>
      <c r="C13177">
        <v>4663388</v>
      </c>
      <c r="D13177">
        <v>6969</v>
      </c>
    </row>
    <row r="13178" spans="1:4" x14ac:dyDescent="0.25">
      <c r="A13178" t="str">
        <f>T("   FR")</f>
        <v xml:space="preserve">   FR</v>
      </c>
      <c r="B13178" t="str">
        <f>T("   France")</f>
        <v xml:space="preserve">   France</v>
      </c>
      <c r="C13178">
        <v>35387844</v>
      </c>
      <c r="D13178">
        <v>13007.5</v>
      </c>
    </row>
    <row r="13179" spans="1:4" x14ac:dyDescent="0.25">
      <c r="A13179" t="str">
        <f>T("   GB")</f>
        <v xml:space="preserve">   GB</v>
      </c>
      <c r="B13179" t="str">
        <f>T("   Royaume-Uni")</f>
        <v xml:space="preserve">   Royaume-Uni</v>
      </c>
      <c r="C13179">
        <v>9059</v>
      </c>
      <c r="D13179">
        <v>15</v>
      </c>
    </row>
    <row r="13180" spans="1:4" x14ac:dyDescent="0.25">
      <c r="A13180" t="str">
        <f>T("   IN")</f>
        <v xml:space="preserve">   IN</v>
      </c>
      <c r="B13180" t="str">
        <f>T("   Inde")</f>
        <v xml:space="preserve">   Inde</v>
      </c>
      <c r="C13180">
        <v>3280</v>
      </c>
      <c r="D13180">
        <v>0.5</v>
      </c>
    </row>
    <row r="13181" spans="1:4" x14ac:dyDescent="0.25">
      <c r="A13181" t="str">
        <f>T("   IT")</f>
        <v xml:space="preserve">   IT</v>
      </c>
      <c r="B13181" t="str">
        <f>T("   Italie")</f>
        <v xml:space="preserve">   Italie</v>
      </c>
      <c r="C13181">
        <v>203883</v>
      </c>
      <c r="D13181">
        <v>20</v>
      </c>
    </row>
    <row r="13182" spans="1:4" x14ac:dyDescent="0.25">
      <c r="A13182" t="str">
        <f>T("852410")</f>
        <v>852410</v>
      </c>
      <c r="B13182" t="str">
        <f>T("Disques pour électrophones")</f>
        <v>Disques pour électrophones</v>
      </c>
    </row>
    <row r="13183" spans="1:4" x14ac:dyDescent="0.25">
      <c r="A13183" t="str">
        <f>T("   ZZZ_Monde")</f>
        <v xml:space="preserve">   ZZZ_Monde</v>
      </c>
      <c r="B13183" t="str">
        <f>T("   ZZZ_Monde")</f>
        <v xml:space="preserve">   ZZZ_Monde</v>
      </c>
      <c r="C13183">
        <v>69875</v>
      </c>
      <c r="D13183">
        <v>1</v>
      </c>
    </row>
    <row r="13184" spans="1:4" x14ac:dyDescent="0.25">
      <c r="A13184" t="str">
        <f>T("   AF")</f>
        <v xml:space="preserve">   AF</v>
      </c>
      <c r="B13184" t="str">
        <f>T("   Afghanistan")</f>
        <v xml:space="preserve">   Afghanistan</v>
      </c>
      <c r="C13184">
        <v>69875</v>
      </c>
      <c r="D13184">
        <v>1</v>
      </c>
    </row>
    <row r="13185" spans="1:4" x14ac:dyDescent="0.25">
      <c r="A13185" t="str">
        <f>T("852431")</f>
        <v>852431</v>
      </c>
      <c r="B13185" t="str">
        <f>T("Disques enregistrés pour systèmes de lecture optique par faisceau laser, pour la reproduction des phénomènes autres que le son ou l'image")</f>
        <v>Disques enregistrés pour systèmes de lecture optique par faisceau laser, pour la reproduction des phénomènes autres que le son ou l'image</v>
      </c>
    </row>
    <row r="13186" spans="1:4" x14ac:dyDescent="0.25">
      <c r="A13186" t="str">
        <f>T("   ZZZ_Monde")</f>
        <v xml:space="preserve">   ZZZ_Monde</v>
      </c>
      <c r="B13186" t="str">
        <f>T("   ZZZ_Monde")</f>
        <v xml:space="preserve">   ZZZ_Monde</v>
      </c>
      <c r="C13186">
        <v>30678400</v>
      </c>
      <c r="D13186">
        <v>135</v>
      </c>
    </row>
    <row r="13187" spans="1:4" x14ac:dyDescent="0.25">
      <c r="A13187" t="str">
        <f>T("   SE")</f>
        <v xml:space="preserve">   SE</v>
      </c>
      <c r="B13187" t="str">
        <f>T("   Suède")</f>
        <v xml:space="preserve">   Suède</v>
      </c>
      <c r="C13187">
        <v>30678400</v>
      </c>
      <c r="D13187">
        <v>135</v>
      </c>
    </row>
    <row r="13188" spans="1:4" x14ac:dyDescent="0.25">
      <c r="A13188" t="str">
        <f>T("852432")</f>
        <v>852432</v>
      </c>
      <c r="B13188" t="str">
        <f>T("Disques enregistrés pour systèmes de lecture optique par faisceau laser, pour la reproduction du son uniquement")</f>
        <v>Disques enregistrés pour systèmes de lecture optique par faisceau laser, pour la reproduction du son uniquement</v>
      </c>
    </row>
    <row r="13189" spans="1:4" x14ac:dyDescent="0.25">
      <c r="A13189" t="str">
        <f>T("   ZZZ_Monde")</f>
        <v xml:space="preserve">   ZZZ_Monde</v>
      </c>
      <c r="B13189" t="str">
        <f>T("   ZZZ_Monde")</f>
        <v xml:space="preserve">   ZZZ_Monde</v>
      </c>
      <c r="C13189">
        <v>288768</v>
      </c>
      <c r="D13189">
        <v>358</v>
      </c>
    </row>
    <row r="13190" spans="1:4" x14ac:dyDescent="0.25">
      <c r="A13190" t="str">
        <f>T("   NG")</f>
        <v xml:space="preserve">   NG</v>
      </c>
      <c r="B13190" t="str">
        <f>T("   Nigéria")</f>
        <v xml:space="preserve">   Nigéria</v>
      </c>
      <c r="C13190">
        <v>114000</v>
      </c>
      <c r="D13190">
        <v>228</v>
      </c>
    </row>
    <row r="13191" spans="1:4" x14ac:dyDescent="0.25">
      <c r="A13191" t="str">
        <f>T("   TG")</f>
        <v xml:space="preserve">   TG</v>
      </c>
      <c r="B13191" t="str">
        <f>T("   Togo")</f>
        <v xml:space="preserve">   Togo</v>
      </c>
      <c r="C13191">
        <v>174768</v>
      </c>
      <c r="D13191">
        <v>130</v>
      </c>
    </row>
    <row r="13192" spans="1:4" x14ac:dyDescent="0.25">
      <c r="A13192" t="str">
        <f>T("852439")</f>
        <v>852439</v>
      </c>
      <c r="B13192" t="str">
        <f>T("Disques enregistrés pour systèmes de lecture optique par faisceau laser, pour la reproduction du son et de l'image ou de l'image uniquement")</f>
        <v>Disques enregistrés pour systèmes de lecture optique par faisceau laser, pour la reproduction du son et de l'image ou de l'image uniquement</v>
      </c>
    </row>
    <row r="13193" spans="1:4" x14ac:dyDescent="0.25">
      <c r="A13193" t="str">
        <f>T("   ZZZ_Monde")</f>
        <v xml:space="preserve">   ZZZ_Monde</v>
      </c>
      <c r="B13193" t="str">
        <f>T("   ZZZ_Monde")</f>
        <v xml:space="preserve">   ZZZ_Monde</v>
      </c>
      <c r="C13193">
        <v>7003469</v>
      </c>
      <c r="D13193">
        <v>4807</v>
      </c>
    </row>
    <row r="13194" spans="1:4" x14ac:dyDescent="0.25">
      <c r="A13194" t="str">
        <f>T("   CN")</f>
        <v xml:space="preserve">   CN</v>
      </c>
      <c r="B13194" t="str">
        <f>T("   Chine")</f>
        <v xml:space="preserve">   Chine</v>
      </c>
      <c r="C13194">
        <v>513721</v>
      </c>
      <c r="D13194">
        <v>2000</v>
      </c>
    </row>
    <row r="13195" spans="1:4" x14ac:dyDescent="0.25">
      <c r="A13195" t="str">
        <f>T("   FR")</f>
        <v xml:space="preserve">   FR</v>
      </c>
      <c r="B13195" t="str">
        <f>T("   France")</f>
        <v xml:space="preserve">   France</v>
      </c>
      <c r="C13195">
        <v>4208325</v>
      </c>
      <c r="D13195">
        <v>2298</v>
      </c>
    </row>
    <row r="13196" spans="1:4" x14ac:dyDescent="0.25">
      <c r="A13196" t="str">
        <f>T("   GB")</f>
        <v xml:space="preserve">   GB</v>
      </c>
      <c r="B13196" t="str">
        <f>T("   Royaume-Uni")</f>
        <v xml:space="preserve">   Royaume-Uni</v>
      </c>
      <c r="C13196">
        <v>1000250</v>
      </c>
      <c r="D13196">
        <v>100</v>
      </c>
    </row>
    <row r="13197" spans="1:4" x14ac:dyDescent="0.25">
      <c r="A13197" t="str">
        <f>T("   IT")</f>
        <v xml:space="preserve">   IT</v>
      </c>
      <c r="B13197" t="str">
        <f>T("   Italie")</f>
        <v xml:space="preserve">   Italie</v>
      </c>
      <c r="C13197">
        <v>1050000</v>
      </c>
      <c r="D13197">
        <v>400</v>
      </c>
    </row>
    <row r="13198" spans="1:4" x14ac:dyDescent="0.25">
      <c r="A13198" t="str">
        <f>T("   JP")</f>
        <v xml:space="preserve">   JP</v>
      </c>
      <c r="B13198" t="str">
        <f>T("   Japon")</f>
        <v xml:space="preserve">   Japon</v>
      </c>
      <c r="C13198">
        <v>231173</v>
      </c>
      <c r="D13198">
        <v>9</v>
      </c>
    </row>
    <row r="13199" spans="1:4" x14ac:dyDescent="0.25">
      <c r="A13199" t="str">
        <f>T("852460")</f>
        <v>852460</v>
      </c>
      <c r="B13199" t="str">
        <f>T("Cartes munies d'une piste magnétique enregistrée")</f>
        <v>Cartes munies d'une piste magnétique enregistrée</v>
      </c>
    </row>
    <row r="13200" spans="1:4" x14ac:dyDescent="0.25">
      <c r="A13200" t="str">
        <f>T("   ZZZ_Monde")</f>
        <v xml:space="preserve">   ZZZ_Monde</v>
      </c>
      <c r="B13200" t="str">
        <f>T("   ZZZ_Monde")</f>
        <v xml:space="preserve">   ZZZ_Monde</v>
      </c>
      <c r="C13200">
        <v>28320639</v>
      </c>
      <c r="D13200">
        <v>542.20000000000005</v>
      </c>
    </row>
    <row r="13201" spans="1:4" x14ac:dyDescent="0.25">
      <c r="A13201" t="str">
        <f>T("   CI")</f>
        <v xml:space="preserve">   CI</v>
      </c>
      <c r="B13201" t="str">
        <f>T("   Côte d'Ivoire")</f>
        <v xml:space="preserve">   Côte d'Ivoire</v>
      </c>
      <c r="C13201">
        <v>1204575</v>
      </c>
      <c r="D13201">
        <v>1</v>
      </c>
    </row>
    <row r="13202" spans="1:4" x14ac:dyDescent="0.25">
      <c r="A13202" t="str">
        <f>T("   FR")</f>
        <v xml:space="preserve">   FR</v>
      </c>
      <c r="B13202" t="str">
        <f>T("   France")</f>
        <v xml:space="preserve">   France</v>
      </c>
      <c r="C13202">
        <v>15765776</v>
      </c>
      <c r="D13202">
        <v>92.2</v>
      </c>
    </row>
    <row r="13203" spans="1:4" x14ac:dyDescent="0.25">
      <c r="A13203" t="str">
        <f>T("   GH")</f>
        <v xml:space="preserve">   GH</v>
      </c>
      <c r="B13203" t="str">
        <f>T("   Ghana")</f>
        <v xml:space="preserve">   Ghana</v>
      </c>
      <c r="C13203">
        <v>236841</v>
      </c>
      <c r="D13203">
        <v>24</v>
      </c>
    </row>
    <row r="13204" spans="1:4" x14ac:dyDescent="0.25">
      <c r="A13204" t="str">
        <f>T("   GN")</f>
        <v xml:space="preserve">   GN</v>
      </c>
      <c r="B13204" t="str">
        <f>T("   Guinée")</f>
        <v xml:space="preserve">   Guinée</v>
      </c>
      <c r="C13204">
        <v>83753</v>
      </c>
      <c r="D13204">
        <v>1</v>
      </c>
    </row>
    <row r="13205" spans="1:4" x14ac:dyDescent="0.25">
      <c r="A13205" t="str">
        <f>T("   NG")</f>
        <v xml:space="preserve">   NG</v>
      </c>
      <c r="B13205" t="str">
        <f>T("   Nigéria")</f>
        <v xml:space="preserve">   Nigéria</v>
      </c>
      <c r="C13205">
        <v>129807</v>
      </c>
      <c r="D13205">
        <v>4</v>
      </c>
    </row>
    <row r="13206" spans="1:4" x14ac:dyDescent="0.25">
      <c r="A13206" t="str">
        <f>T("   UA")</f>
        <v xml:space="preserve">   UA</v>
      </c>
      <c r="B13206" t="str">
        <f>T("   Ukraine")</f>
        <v xml:space="preserve">   Ukraine</v>
      </c>
      <c r="C13206">
        <v>10899887</v>
      </c>
      <c r="D13206">
        <v>420</v>
      </c>
    </row>
    <row r="13207" spans="1:4" x14ac:dyDescent="0.25">
      <c r="A13207" t="str">
        <f>T("852491")</f>
        <v>852491</v>
      </c>
      <c r="B13207" t="str">
        <f>T("Supports d'enregistrement pour la reproduction des phénomènes autres que le son ou l'image (à l'excl. des disques pour systèmes de lecture par faisceau laser, des bandes magnétiques et des cartes munies d'une piste magnétique ainsi que des produits du cha")</f>
        <v>Supports d'enregistrement pour la reproduction des phénomènes autres que le son ou l'image (à l'excl. des disques pour systèmes de lecture par faisceau laser, des bandes magnétiques et des cartes munies d'une piste magnétique ainsi que des produits du cha</v>
      </c>
    </row>
    <row r="13208" spans="1:4" x14ac:dyDescent="0.25">
      <c r="A13208" t="str">
        <f>T("   ZZZ_Monde")</f>
        <v xml:space="preserve">   ZZZ_Monde</v>
      </c>
      <c r="B13208" t="str">
        <f>T("   ZZZ_Monde")</f>
        <v xml:space="preserve">   ZZZ_Monde</v>
      </c>
      <c r="C13208">
        <v>18696783</v>
      </c>
      <c r="D13208">
        <v>6200</v>
      </c>
    </row>
    <row r="13209" spans="1:4" x14ac:dyDescent="0.25">
      <c r="A13209" t="str">
        <f>T("   CN")</f>
        <v xml:space="preserve">   CN</v>
      </c>
      <c r="B13209" t="str">
        <f>T("   Chine")</f>
        <v xml:space="preserve">   Chine</v>
      </c>
      <c r="C13209">
        <v>6735300</v>
      </c>
      <c r="D13209">
        <v>5383</v>
      </c>
    </row>
    <row r="13210" spans="1:4" x14ac:dyDescent="0.25">
      <c r="A13210" t="str">
        <f>T("   FR")</f>
        <v xml:space="preserve">   FR</v>
      </c>
      <c r="B13210" t="str">
        <f>T("   France")</f>
        <v xml:space="preserve">   France</v>
      </c>
      <c r="C13210">
        <v>3831069</v>
      </c>
      <c r="D13210">
        <v>747</v>
      </c>
    </row>
    <row r="13211" spans="1:4" x14ac:dyDescent="0.25">
      <c r="A13211" t="str">
        <f>T("   NO")</f>
        <v xml:space="preserve">   NO</v>
      </c>
      <c r="B13211" t="str">
        <f>T("   Norvège")</f>
        <v xml:space="preserve">   Norvège</v>
      </c>
      <c r="C13211">
        <v>8130414</v>
      </c>
      <c r="D13211">
        <v>70</v>
      </c>
    </row>
    <row r="13212" spans="1:4" x14ac:dyDescent="0.25">
      <c r="A13212" t="str">
        <f>T("852499")</f>
        <v>852499</v>
      </c>
      <c r="B13212" t="str">
        <f>T("Supports enregistrés pour la reproduction du son ou de l'image, y.c. les matrices et moules galvaniques pour la fabrication des disques (à l'excl. des disques pour électrophones, des disques pour systèmes de lecture par faisceau laser, des bandes magnétiq")</f>
        <v>Supports enregistrés pour la reproduction du son ou de l'image, y.c. les matrices et moules galvaniques pour la fabrication des disques (à l'excl. des disques pour électrophones, des disques pour systèmes de lecture par faisceau laser, des bandes magnétiq</v>
      </c>
    </row>
    <row r="13213" spans="1:4" x14ac:dyDescent="0.25">
      <c r="A13213" t="str">
        <f>T("   ZZZ_Monde")</f>
        <v xml:space="preserve">   ZZZ_Monde</v>
      </c>
      <c r="B13213" t="str">
        <f>T("   ZZZ_Monde")</f>
        <v xml:space="preserve">   ZZZ_Monde</v>
      </c>
      <c r="C13213">
        <v>25673016</v>
      </c>
      <c r="D13213">
        <v>2742</v>
      </c>
    </row>
    <row r="13214" spans="1:4" x14ac:dyDescent="0.25">
      <c r="A13214" t="str">
        <f>T("   FR")</f>
        <v xml:space="preserve">   FR</v>
      </c>
      <c r="B13214" t="str">
        <f>T("   France")</f>
        <v xml:space="preserve">   France</v>
      </c>
      <c r="C13214">
        <v>25173016</v>
      </c>
      <c r="D13214">
        <v>708</v>
      </c>
    </row>
    <row r="13215" spans="1:4" x14ac:dyDescent="0.25">
      <c r="A13215" t="str">
        <f>T("   GH")</f>
        <v xml:space="preserve">   GH</v>
      </c>
      <c r="B13215" t="str">
        <f>T("   Ghana")</f>
        <v xml:space="preserve">   Ghana</v>
      </c>
      <c r="C13215">
        <v>500000</v>
      </c>
      <c r="D13215">
        <v>2034</v>
      </c>
    </row>
    <row r="13216" spans="1:4" x14ac:dyDescent="0.25">
      <c r="A13216" t="str">
        <f>T("852510")</f>
        <v>852510</v>
      </c>
      <c r="B13216" t="str">
        <f>T("Appareils d'émission, pour la radiotéléphonie, la radiotélégraphie, la radiodiffusion ou la télévision")</f>
        <v>Appareils d'émission, pour la radiotéléphonie, la radiotélégraphie, la radiodiffusion ou la télévision</v>
      </c>
    </row>
    <row r="13217" spans="1:4" x14ac:dyDescent="0.25">
      <c r="A13217" t="str">
        <f>T("   ZZZ_Monde")</f>
        <v xml:space="preserve">   ZZZ_Monde</v>
      </c>
      <c r="B13217" t="str">
        <f>T("   ZZZ_Monde")</f>
        <v xml:space="preserve">   ZZZ_Monde</v>
      </c>
      <c r="C13217">
        <v>5004089</v>
      </c>
      <c r="D13217">
        <v>4137</v>
      </c>
    </row>
    <row r="13218" spans="1:4" x14ac:dyDescent="0.25">
      <c r="A13218" t="str">
        <f>T("   CN")</f>
        <v xml:space="preserve">   CN</v>
      </c>
      <c r="B13218" t="str">
        <f>T("   Chine")</f>
        <v xml:space="preserve">   Chine</v>
      </c>
      <c r="C13218">
        <v>2664280</v>
      </c>
      <c r="D13218">
        <v>3110</v>
      </c>
    </row>
    <row r="13219" spans="1:4" x14ac:dyDescent="0.25">
      <c r="A13219" t="str">
        <f>T("   FR")</f>
        <v xml:space="preserve">   FR</v>
      </c>
      <c r="B13219" t="str">
        <f>T("   France")</f>
        <v xml:space="preserve">   France</v>
      </c>
      <c r="C13219">
        <v>32798</v>
      </c>
      <c r="D13219">
        <v>2</v>
      </c>
    </row>
    <row r="13220" spans="1:4" x14ac:dyDescent="0.25">
      <c r="A13220" t="str">
        <f>T("   IT")</f>
        <v xml:space="preserve">   IT</v>
      </c>
      <c r="B13220" t="str">
        <f>T("   Italie")</f>
        <v xml:space="preserve">   Italie</v>
      </c>
      <c r="C13220">
        <v>2307011</v>
      </c>
      <c r="D13220">
        <v>1025</v>
      </c>
    </row>
    <row r="13221" spans="1:4" x14ac:dyDescent="0.25">
      <c r="A13221" t="str">
        <f>T("852520")</f>
        <v>852520</v>
      </c>
      <c r="B13221" t="str">
        <f>T("Appareils d'émission incorporant un appareil de réception, pour la radiotéléphonie, la radiotélégraphie, la radiodiffusion ou la télévision")</f>
        <v>Appareils d'émission incorporant un appareil de réception, pour la radiotéléphonie, la radiotélégraphie, la radiodiffusion ou la télévision</v>
      </c>
    </row>
    <row r="13222" spans="1:4" x14ac:dyDescent="0.25">
      <c r="A13222" t="str">
        <f>T("   ZZZ_Monde")</f>
        <v xml:space="preserve">   ZZZ_Monde</v>
      </c>
      <c r="B13222" t="str">
        <f>T("   ZZZ_Monde")</f>
        <v xml:space="preserve">   ZZZ_Monde</v>
      </c>
      <c r="C13222">
        <v>31648130</v>
      </c>
      <c r="D13222">
        <v>5917</v>
      </c>
    </row>
    <row r="13223" spans="1:4" x14ac:dyDescent="0.25">
      <c r="A13223" t="str">
        <f>T("   CN")</f>
        <v xml:space="preserve">   CN</v>
      </c>
      <c r="B13223" t="str">
        <f>T("   Chine")</f>
        <v xml:space="preserve">   Chine</v>
      </c>
      <c r="C13223">
        <v>13796173</v>
      </c>
      <c r="D13223">
        <v>1675</v>
      </c>
    </row>
    <row r="13224" spans="1:4" x14ac:dyDescent="0.25">
      <c r="A13224" t="str">
        <f>T("   DE")</f>
        <v xml:space="preserve">   DE</v>
      </c>
      <c r="B13224" t="str">
        <f>T("   Allemagne")</f>
        <v xml:space="preserve">   Allemagne</v>
      </c>
      <c r="C13224">
        <v>498530</v>
      </c>
      <c r="D13224">
        <v>5</v>
      </c>
    </row>
    <row r="13225" spans="1:4" x14ac:dyDescent="0.25">
      <c r="A13225" t="str">
        <f>T("   FR")</f>
        <v xml:space="preserve">   FR</v>
      </c>
      <c r="B13225" t="str">
        <f>T("   France")</f>
        <v xml:space="preserve">   France</v>
      </c>
      <c r="C13225">
        <v>11877434</v>
      </c>
      <c r="D13225">
        <v>547</v>
      </c>
    </row>
    <row r="13226" spans="1:4" x14ac:dyDescent="0.25">
      <c r="A13226" t="str">
        <f>T("   GH")</f>
        <v xml:space="preserve">   GH</v>
      </c>
      <c r="B13226" t="str">
        <f>T("   Ghana")</f>
        <v xml:space="preserve">   Ghana</v>
      </c>
      <c r="C13226">
        <v>200000</v>
      </c>
      <c r="D13226">
        <v>700</v>
      </c>
    </row>
    <row r="13227" spans="1:4" x14ac:dyDescent="0.25">
      <c r="A13227" t="str">
        <f>T("   NG")</f>
        <v xml:space="preserve">   NG</v>
      </c>
      <c r="B13227" t="str">
        <f>T("   Nigéria")</f>
        <v xml:space="preserve">   Nigéria</v>
      </c>
      <c r="C13227">
        <v>4216500</v>
      </c>
      <c r="D13227">
        <v>1680</v>
      </c>
    </row>
    <row r="13228" spans="1:4" x14ac:dyDescent="0.25">
      <c r="A13228" t="str">
        <f>T("   TG")</f>
        <v xml:space="preserve">   TG</v>
      </c>
      <c r="B13228" t="str">
        <f>T("   Togo")</f>
        <v xml:space="preserve">   Togo</v>
      </c>
      <c r="C13228">
        <v>500000</v>
      </c>
      <c r="D13228">
        <v>1300</v>
      </c>
    </row>
    <row r="13229" spans="1:4" x14ac:dyDescent="0.25">
      <c r="A13229" t="str">
        <f>T("   US")</f>
        <v xml:space="preserve">   US</v>
      </c>
      <c r="B13229" t="str">
        <f>T("   Etats-Unis")</f>
        <v xml:space="preserve">   Etats-Unis</v>
      </c>
      <c r="C13229">
        <v>559493</v>
      </c>
      <c r="D13229">
        <v>10</v>
      </c>
    </row>
    <row r="13230" spans="1:4" x14ac:dyDescent="0.25">
      <c r="A13230" t="str">
        <f>T("852530")</f>
        <v>852530</v>
      </c>
      <c r="B13230" t="str">
        <f>T("Caméras de télévision (à l'excl. de caméscopes)")</f>
        <v>Caméras de télévision (à l'excl. de caméscopes)</v>
      </c>
    </row>
    <row r="13231" spans="1:4" x14ac:dyDescent="0.25">
      <c r="A13231" t="str">
        <f>T("   ZZZ_Monde")</f>
        <v xml:space="preserve">   ZZZ_Monde</v>
      </c>
      <c r="B13231" t="str">
        <f>T("   ZZZ_Monde")</f>
        <v xml:space="preserve">   ZZZ_Monde</v>
      </c>
      <c r="C13231">
        <v>5933243</v>
      </c>
      <c r="D13231">
        <v>484</v>
      </c>
    </row>
    <row r="13232" spans="1:4" x14ac:dyDescent="0.25">
      <c r="A13232" t="str">
        <f>T("   CN")</f>
        <v xml:space="preserve">   CN</v>
      </c>
      <c r="B13232" t="str">
        <f>T("   Chine")</f>
        <v xml:space="preserve">   Chine</v>
      </c>
      <c r="C13232">
        <v>118399</v>
      </c>
      <c r="D13232">
        <v>150</v>
      </c>
    </row>
    <row r="13233" spans="1:4" x14ac:dyDescent="0.25">
      <c r="A13233" t="str">
        <f>T("   FR")</f>
        <v xml:space="preserve">   FR</v>
      </c>
      <c r="B13233" t="str">
        <f>T("   France")</f>
        <v xml:space="preserve">   France</v>
      </c>
      <c r="C13233">
        <v>4153230</v>
      </c>
      <c r="D13233">
        <v>315</v>
      </c>
    </row>
    <row r="13234" spans="1:4" x14ac:dyDescent="0.25">
      <c r="A13234" t="str">
        <f>T("   GB")</f>
        <v xml:space="preserve">   GB</v>
      </c>
      <c r="B13234" t="str">
        <f>T("   Royaume-Uni")</f>
        <v xml:space="preserve">   Royaume-Uni</v>
      </c>
      <c r="C13234">
        <v>269679</v>
      </c>
      <c r="D13234">
        <v>5</v>
      </c>
    </row>
    <row r="13235" spans="1:4" x14ac:dyDescent="0.25">
      <c r="A13235" t="str">
        <f>T("   MA")</f>
        <v xml:space="preserve">   MA</v>
      </c>
      <c r="B13235" t="str">
        <f>T("   Maroc")</f>
        <v xml:space="preserve">   Maroc</v>
      </c>
      <c r="C13235">
        <v>102250</v>
      </c>
      <c r="D13235">
        <v>13</v>
      </c>
    </row>
    <row r="13236" spans="1:4" x14ac:dyDescent="0.25">
      <c r="A13236" t="str">
        <f>T("   NG")</f>
        <v xml:space="preserve">   NG</v>
      </c>
      <c r="B13236" t="str">
        <f>T("   Nigéria")</f>
        <v xml:space="preserve">   Nigéria</v>
      </c>
      <c r="C13236">
        <v>1289685</v>
      </c>
      <c r="D13236">
        <v>1</v>
      </c>
    </row>
    <row r="13237" spans="1:4" x14ac:dyDescent="0.25">
      <c r="A13237" t="str">
        <f>T("852540")</f>
        <v>852540</v>
      </c>
      <c r="B13237" t="str">
        <f>T("Appareils de prise de vues fixes vidéo et autres caméscopes; appareils photographiques numériques")</f>
        <v>Appareils de prise de vues fixes vidéo et autres caméscopes; appareils photographiques numériques</v>
      </c>
    </row>
    <row r="13238" spans="1:4" x14ac:dyDescent="0.25">
      <c r="A13238" t="str">
        <f>T("   ZZZ_Monde")</f>
        <v xml:space="preserve">   ZZZ_Monde</v>
      </c>
      <c r="B13238" t="str">
        <f>T("   ZZZ_Monde")</f>
        <v xml:space="preserve">   ZZZ_Monde</v>
      </c>
      <c r="C13238">
        <v>54762972</v>
      </c>
      <c r="D13238">
        <v>10288</v>
      </c>
    </row>
    <row r="13239" spans="1:4" x14ac:dyDescent="0.25">
      <c r="A13239" t="str">
        <f>T("   CH")</f>
        <v xml:space="preserve">   CH</v>
      </c>
      <c r="B13239" t="str">
        <f>T("   Suisse")</f>
        <v xml:space="preserve">   Suisse</v>
      </c>
      <c r="C13239">
        <v>354879</v>
      </c>
      <c r="D13239">
        <v>42</v>
      </c>
    </row>
    <row r="13240" spans="1:4" x14ac:dyDescent="0.25">
      <c r="A13240" t="str">
        <f>T("   CN")</f>
        <v xml:space="preserve">   CN</v>
      </c>
      <c r="B13240" t="str">
        <f>T("   Chine")</f>
        <v xml:space="preserve">   Chine</v>
      </c>
      <c r="C13240">
        <v>2042355</v>
      </c>
      <c r="D13240">
        <v>2595</v>
      </c>
    </row>
    <row r="13241" spans="1:4" x14ac:dyDescent="0.25">
      <c r="A13241" t="str">
        <f>T("   FR")</f>
        <v xml:space="preserve">   FR</v>
      </c>
      <c r="B13241" t="str">
        <f>T("   France")</f>
        <v xml:space="preserve">   France</v>
      </c>
      <c r="C13241">
        <v>38143289</v>
      </c>
      <c r="D13241">
        <v>742</v>
      </c>
    </row>
    <row r="13242" spans="1:4" x14ac:dyDescent="0.25">
      <c r="A13242" t="str">
        <f>T("   SG")</f>
        <v xml:space="preserve">   SG</v>
      </c>
      <c r="B13242" t="str">
        <f>T("   Singapour")</f>
        <v xml:space="preserve">   Singapour</v>
      </c>
      <c r="C13242">
        <v>849372</v>
      </c>
      <c r="D13242">
        <v>20</v>
      </c>
    </row>
    <row r="13243" spans="1:4" x14ac:dyDescent="0.25">
      <c r="A13243" t="str">
        <f>T("   TG")</f>
        <v xml:space="preserve">   TG</v>
      </c>
      <c r="B13243" t="str">
        <f>T("   Togo")</f>
        <v xml:space="preserve">   Togo</v>
      </c>
      <c r="C13243">
        <v>3849556</v>
      </c>
      <c r="D13243">
        <v>1360</v>
      </c>
    </row>
    <row r="13244" spans="1:4" x14ac:dyDescent="0.25">
      <c r="A13244" t="str">
        <f>T("   ZA")</f>
        <v xml:space="preserve">   ZA</v>
      </c>
      <c r="B13244" t="str">
        <f>T("   Afrique du Sud")</f>
        <v xml:space="preserve">   Afrique du Sud</v>
      </c>
      <c r="C13244">
        <v>9523521</v>
      </c>
      <c r="D13244">
        <v>5529</v>
      </c>
    </row>
    <row r="13245" spans="1:4" x14ac:dyDescent="0.25">
      <c r="A13245" t="str">
        <f>T("852691")</f>
        <v>852691</v>
      </c>
      <c r="B13245" t="str">
        <f>T("Appareils de radionavigation")</f>
        <v>Appareils de radionavigation</v>
      </c>
    </row>
    <row r="13246" spans="1:4" x14ac:dyDescent="0.25">
      <c r="A13246" t="str">
        <f>T("   ZZZ_Monde")</f>
        <v xml:space="preserve">   ZZZ_Monde</v>
      </c>
      <c r="B13246" t="str">
        <f>T("   ZZZ_Monde")</f>
        <v xml:space="preserve">   ZZZ_Monde</v>
      </c>
      <c r="C13246">
        <v>400181480</v>
      </c>
      <c r="D13246">
        <v>1131</v>
      </c>
    </row>
    <row r="13247" spans="1:4" x14ac:dyDescent="0.25">
      <c r="A13247" t="str">
        <f>T("   FR")</f>
        <v xml:space="preserve">   FR</v>
      </c>
      <c r="B13247" t="str">
        <f>T("   France")</f>
        <v xml:space="preserve">   France</v>
      </c>
      <c r="C13247">
        <v>321133052</v>
      </c>
      <c r="D13247">
        <v>946</v>
      </c>
    </row>
    <row r="13248" spans="1:4" x14ac:dyDescent="0.25">
      <c r="A13248" t="str">
        <f>T("   TW")</f>
        <v xml:space="preserve">   TW</v>
      </c>
      <c r="B13248" t="str">
        <f>T("   Taïwan, Province de Chine")</f>
        <v xml:space="preserve">   Taïwan, Province de Chine</v>
      </c>
      <c r="C13248">
        <v>79048428</v>
      </c>
      <c r="D13248">
        <v>185</v>
      </c>
    </row>
    <row r="13249" spans="1:4" x14ac:dyDescent="0.25">
      <c r="A13249" t="str">
        <f>T("852712")</f>
        <v>852712</v>
      </c>
      <c r="B13249" t="str">
        <f>T("Radiocassettes de poche [dimensions &lt;= 170 mm x 100 mm x 45 mm], avec amplificateur incorporé, sans haut-parleur incorporé, pouvant fonctionner sans source d'énergie électrique extérieure")</f>
        <v>Radiocassettes de poche [dimensions &lt;= 170 mm x 100 mm x 45 mm], avec amplificateur incorporé, sans haut-parleur incorporé, pouvant fonctionner sans source d'énergie électrique extérieure</v>
      </c>
    </row>
    <row r="13250" spans="1:4" x14ac:dyDescent="0.25">
      <c r="A13250" t="str">
        <f>T("   ZZZ_Monde")</f>
        <v xml:space="preserve">   ZZZ_Monde</v>
      </c>
      <c r="B13250" t="str">
        <f>T("   ZZZ_Monde")</f>
        <v xml:space="preserve">   ZZZ_Monde</v>
      </c>
      <c r="C13250">
        <v>3829698</v>
      </c>
      <c r="D13250">
        <v>5172</v>
      </c>
    </row>
    <row r="13251" spans="1:4" x14ac:dyDescent="0.25">
      <c r="A13251" t="str">
        <f>T("   CN")</f>
        <v xml:space="preserve">   CN</v>
      </c>
      <c r="B13251" t="str">
        <f>T("   Chine")</f>
        <v xml:space="preserve">   Chine</v>
      </c>
      <c r="C13251">
        <v>3234712</v>
      </c>
      <c r="D13251">
        <v>4339</v>
      </c>
    </row>
    <row r="13252" spans="1:4" x14ac:dyDescent="0.25">
      <c r="A13252" t="str">
        <f>T("   FR")</f>
        <v xml:space="preserve">   FR</v>
      </c>
      <c r="B13252" t="str">
        <f>T("   France")</f>
        <v xml:space="preserve">   France</v>
      </c>
      <c r="C13252">
        <v>394986</v>
      </c>
      <c r="D13252">
        <v>33</v>
      </c>
    </row>
    <row r="13253" spans="1:4" x14ac:dyDescent="0.25">
      <c r="A13253" t="str">
        <f>T("   TG")</f>
        <v xml:space="preserve">   TG</v>
      </c>
      <c r="B13253" t="str">
        <f>T("   Togo")</f>
        <v xml:space="preserve">   Togo</v>
      </c>
      <c r="C13253">
        <v>200000</v>
      </c>
      <c r="D13253">
        <v>800</v>
      </c>
    </row>
    <row r="13254" spans="1:4" x14ac:dyDescent="0.25">
      <c r="A13254" t="str">
        <f>T("852713")</f>
        <v>852713</v>
      </c>
      <c r="B13254" t="str">
        <f>T("RÉCEPTEURS DE RADIODIFFUSION POUVANT FONCTIONNER SANS SOURCE D'ÉNERGIE EXTÉRIEURE, COMBINÉS À UN APPAREIL D'ENREGISTREMENT OU DE REPRODUCTION DU SON (À L'EXCL. DES RADIOCASSETTES DE POCHE)")</f>
        <v>RÉCEPTEURS DE RADIODIFFUSION POUVANT FONCTIONNER SANS SOURCE D'ÉNERGIE EXTÉRIEURE, COMBINÉS À UN APPAREIL D'ENREGISTREMENT OU DE REPRODUCTION DU SON (À L'EXCL. DES RADIOCASSETTES DE POCHE)</v>
      </c>
    </row>
    <row r="13255" spans="1:4" x14ac:dyDescent="0.25">
      <c r="A13255" t="str">
        <f>T("   ZZZ_Monde")</f>
        <v xml:space="preserve">   ZZZ_Monde</v>
      </c>
      <c r="B13255" t="str">
        <f>T("   ZZZ_Monde")</f>
        <v xml:space="preserve">   ZZZ_Monde</v>
      </c>
      <c r="C13255">
        <v>30402092</v>
      </c>
      <c r="D13255">
        <v>31230</v>
      </c>
    </row>
    <row r="13256" spans="1:4" x14ac:dyDescent="0.25">
      <c r="A13256" t="str">
        <f>T("   AE")</f>
        <v xml:space="preserve">   AE</v>
      </c>
      <c r="B13256" t="str">
        <f>T("   Emirats Arabes Unis")</f>
        <v xml:space="preserve">   Emirats Arabes Unis</v>
      </c>
      <c r="C13256">
        <v>64233</v>
      </c>
      <c r="D13256">
        <v>18</v>
      </c>
    </row>
    <row r="13257" spans="1:4" x14ac:dyDescent="0.25">
      <c r="A13257" t="str">
        <f>T("   BE")</f>
        <v xml:space="preserve">   BE</v>
      </c>
      <c r="B13257" t="str">
        <f>T("   Belgique")</f>
        <v xml:space="preserve">   Belgique</v>
      </c>
      <c r="C13257">
        <v>2698741</v>
      </c>
      <c r="D13257">
        <v>670</v>
      </c>
    </row>
    <row r="13258" spans="1:4" x14ac:dyDescent="0.25">
      <c r="A13258" t="str">
        <f>T("   CN")</f>
        <v xml:space="preserve">   CN</v>
      </c>
      <c r="B13258" t="str">
        <f>T("   Chine")</f>
        <v xml:space="preserve">   Chine</v>
      </c>
      <c r="C13258">
        <v>18134291</v>
      </c>
      <c r="D13258">
        <v>22237</v>
      </c>
    </row>
    <row r="13259" spans="1:4" x14ac:dyDescent="0.25">
      <c r="A13259" t="str">
        <f>T("   GB")</f>
        <v xml:space="preserve">   GB</v>
      </c>
      <c r="B13259" t="str">
        <f>T("   Royaume-Uni")</f>
        <v xml:space="preserve">   Royaume-Uni</v>
      </c>
      <c r="C13259">
        <v>2970077</v>
      </c>
      <c r="D13259">
        <v>2246</v>
      </c>
    </row>
    <row r="13260" spans="1:4" x14ac:dyDescent="0.25">
      <c r="A13260" t="str">
        <f>T("   ID")</f>
        <v xml:space="preserve">   ID</v>
      </c>
      <c r="B13260" t="str">
        <f>T("   Indonésie")</f>
        <v xml:space="preserve">   Indonésie</v>
      </c>
      <c r="C13260">
        <v>4469056</v>
      </c>
      <c r="D13260">
        <v>3317</v>
      </c>
    </row>
    <row r="13261" spans="1:4" x14ac:dyDescent="0.25">
      <c r="A13261" t="str">
        <f>T("   IT")</f>
        <v xml:space="preserve">   IT</v>
      </c>
      <c r="B13261" t="str">
        <f>T("   Italie")</f>
        <v xml:space="preserve">   Italie</v>
      </c>
      <c r="C13261">
        <v>957047</v>
      </c>
      <c r="D13261">
        <v>1931</v>
      </c>
    </row>
    <row r="13262" spans="1:4" x14ac:dyDescent="0.25">
      <c r="A13262" t="str">
        <f>T("   NG")</f>
        <v xml:space="preserve">   NG</v>
      </c>
      <c r="B13262" t="str">
        <f>T("   Nigéria")</f>
        <v xml:space="preserve">   Nigéria</v>
      </c>
      <c r="C13262">
        <v>203000</v>
      </c>
      <c r="D13262">
        <v>140</v>
      </c>
    </row>
    <row r="13263" spans="1:4" x14ac:dyDescent="0.25">
      <c r="A13263" t="str">
        <f>T("   SG")</f>
        <v xml:space="preserve">   SG</v>
      </c>
      <c r="B13263" t="str">
        <f>T("   Singapour")</f>
        <v xml:space="preserve">   Singapour</v>
      </c>
      <c r="C13263">
        <v>807847</v>
      </c>
      <c r="D13263">
        <v>471</v>
      </c>
    </row>
    <row r="13264" spans="1:4" x14ac:dyDescent="0.25">
      <c r="A13264" t="str">
        <f>T("   US")</f>
        <v xml:space="preserve">   US</v>
      </c>
      <c r="B13264" t="str">
        <f>T("   Etats-Unis")</f>
        <v xml:space="preserve">   Etats-Unis</v>
      </c>
      <c r="C13264">
        <v>97800</v>
      </c>
      <c r="D13264">
        <v>200</v>
      </c>
    </row>
    <row r="13265" spans="1:4" x14ac:dyDescent="0.25">
      <c r="A13265" t="str">
        <f>T("852719")</f>
        <v>852719</v>
      </c>
      <c r="B13265" t="str">
        <f>T("Récepteurs de radiodiffusion pouvant fonctionner sans source d'énergie extérieure, y.c. les appareils recevant également la radiotéléphonie ou la radiotélégraphie, non combinés à un appareil d'enregistrement et de reproduction du son")</f>
        <v>Récepteurs de radiodiffusion pouvant fonctionner sans source d'énergie extérieure, y.c. les appareils recevant également la radiotéléphonie ou la radiotélégraphie, non combinés à un appareil d'enregistrement et de reproduction du son</v>
      </c>
    </row>
    <row r="13266" spans="1:4" x14ac:dyDescent="0.25">
      <c r="A13266" t="str">
        <f>T("   ZZZ_Monde")</f>
        <v xml:space="preserve">   ZZZ_Monde</v>
      </c>
      <c r="B13266" t="str">
        <f>T("   ZZZ_Monde")</f>
        <v xml:space="preserve">   ZZZ_Monde</v>
      </c>
      <c r="C13266">
        <v>43364996</v>
      </c>
      <c r="D13266">
        <v>237016</v>
      </c>
    </row>
    <row r="13267" spans="1:4" x14ac:dyDescent="0.25">
      <c r="A13267" t="str">
        <f>T("   AE")</f>
        <v xml:space="preserve">   AE</v>
      </c>
      <c r="B13267" t="str">
        <f>T("   Emirats Arabes Unis")</f>
        <v xml:space="preserve">   Emirats Arabes Unis</v>
      </c>
      <c r="C13267">
        <v>823263</v>
      </c>
      <c r="D13267">
        <v>1758</v>
      </c>
    </row>
    <row r="13268" spans="1:4" x14ac:dyDescent="0.25">
      <c r="A13268" t="str">
        <f>T("   CA")</f>
        <v xml:space="preserve">   CA</v>
      </c>
      <c r="B13268" t="str">
        <f>T("   Canada")</f>
        <v xml:space="preserve">   Canada</v>
      </c>
      <c r="C13268">
        <v>371497</v>
      </c>
      <c r="D13268">
        <v>2167</v>
      </c>
    </row>
    <row r="13269" spans="1:4" x14ac:dyDescent="0.25">
      <c r="A13269" t="str">
        <f>T("   CN")</f>
        <v xml:space="preserve">   CN</v>
      </c>
      <c r="B13269" t="str">
        <f>T("   Chine")</f>
        <v xml:space="preserve">   Chine</v>
      </c>
      <c r="C13269">
        <v>10488595</v>
      </c>
      <c r="D13269">
        <v>32541</v>
      </c>
    </row>
    <row r="13270" spans="1:4" x14ac:dyDescent="0.25">
      <c r="A13270" t="str">
        <f>T("   FR")</f>
        <v xml:space="preserve">   FR</v>
      </c>
      <c r="B13270" t="str">
        <f>T("   France")</f>
        <v xml:space="preserve">   France</v>
      </c>
      <c r="C13270">
        <v>1967880</v>
      </c>
      <c r="D13270">
        <v>182</v>
      </c>
    </row>
    <row r="13271" spans="1:4" x14ac:dyDescent="0.25">
      <c r="A13271" t="str">
        <f>T("   GB")</f>
        <v xml:space="preserve">   GB</v>
      </c>
      <c r="B13271" t="str">
        <f>T("   Royaume-Uni")</f>
        <v xml:space="preserve">   Royaume-Uni</v>
      </c>
      <c r="C13271">
        <v>20975955</v>
      </c>
      <c r="D13271">
        <v>181690</v>
      </c>
    </row>
    <row r="13272" spans="1:4" x14ac:dyDescent="0.25">
      <c r="A13272" t="str">
        <f>T("   NG")</f>
        <v xml:space="preserve">   NG</v>
      </c>
      <c r="B13272" t="str">
        <f>T("   Nigéria")</f>
        <v xml:space="preserve">   Nigéria</v>
      </c>
      <c r="C13272">
        <v>6466718</v>
      </c>
      <c r="D13272">
        <v>13620</v>
      </c>
    </row>
    <row r="13273" spans="1:4" x14ac:dyDescent="0.25">
      <c r="A13273" t="str">
        <f>T("   SG")</f>
        <v xml:space="preserve">   SG</v>
      </c>
      <c r="B13273" t="str">
        <f>T("   Singapour")</f>
        <v xml:space="preserve">   Singapour</v>
      </c>
      <c r="C13273">
        <v>499318</v>
      </c>
      <c r="D13273">
        <v>305</v>
      </c>
    </row>
    <row r="13274" spans="1:4" x14ac:dyDescent="0.25">
      <c r="A13274" t="str">
        <f>T("   TG")</f>
        <v xml:space="preserve">   TG</v>
      </c>
      <c r="B13274" t="str">
        <f>T("   Togo")</f>
        <v xml:space="preserve">   Togo</v>
      </c>
      <c r="C13274">
        <v>1187131</v>
      </c>
      <c r="D13274">
        <v>2985</v>
      </c>
    </row>
    <row r="13275" spans="1:4" x14ac:dyDescent="0.25">
      <c r="A13275" t="str">
        <f>T("   US")</f>
        <v xml:space="preserve">   US</v>
      </c>
      <c r="B13275" t="str">
        <f>T("   Etats-Unis")</f>
        <v xml:space="preserve">   Etats-Unis</v>
      </c>
      <c r="C13275">
        <v>584639</v>
      </c>
      <c r="D13275">
        <v>1768</v>
      </c>
    </row>
    <row r="13276" spans="1:4" x14ac:dyDescent="0.25">
      <c r="A13276" t="str">
        <f>T("852729")</f>
        <v>852729</v>
      </c>
      <c r="B13276" t="str">
        <f>T("Récepteurs de radiodiffusion ne pouvant fonctionner qu'avec une source d'énergie extérieure, pour véhicules automobiles, y.c. les appareils recevant également la radiotéléphonie ou la radiotélégraphie, non combinés à un appareil d'enregistrement et de rep")</f>
        <v>Récepteurs de radiodiffusion ne pouvant fonctionner qu'avec une source d'énergie extérieure, pour véhicules automobiles, y.c. les appareils recevant également la radiotéléphonie ou la radiotélégraphie, non combinés à un appareil d'enregistrement et de rep</v>
      </c>
    </row>
    <row r="13277" spans="1:4" x14ac:dyDescent="0.25">
      <c r="A13277" t="str">
        <f>T("   ZZZ_Monde")</f>
        <v xml:space="preserve">   ZZZ_Monde</v>
      </c>
      <c r="B13277" t="str">
        <f>T("   ZZZ_Monde")</f>
        <v xml:space="preserve">   ZZZ_Monde</v>
      </c>
      <c r="C13277">
        <v>129956138</v>
      </c>
      <c r="D13277">
        <v>2857</v>
      </c>
    </row>
    <row r="13278" spans="1:4" x14ac:dyDescent="0.25">
      <c r="A13278" t="str">
        <f>T("   CH")</f>
        <v xml:space="preserve">   CH</v>
      </c>
      <c r="B13278" t="str">
        <f>T("   Suisse")</f>
        <v xml:space="preserve">   Suisse</v>
      </c>
      <c r="C13278">
        <v>658500</v>
      </c>
      <c r="D13278">
        <v>200</v>
      </c>
    </row>
    <row r="13279" spans="1:4" x14ac:dyDescent="0.25">
      <c r="A13279" t="str">
        <f>T("   DE")</f>
        <v xml:space="preserve">   DE</v>
      </c>
      <c r="B13279" t="str">
        <f>T("   Allemagne")</f>
        <v xml:space="preserve">   Allemagne</v>
      </c>
      <c r="C13279">
        <v>20335</v>
      </c>
      <c r="D13279">
        <v>4</v>
      </c>
    </row>
    <row r="13280" spans="1:4" x14ac:dyDescent="0.25">
      <c r="A13280" t="str">
        <f>T("   FR")</f>
        <v xml:space="preserve">   FR</v>
      </c>
      <c r="B13280" t="str">
        <f>T("   France")</f>
        <v xml:space="preserve">   France</v>
      </c>
      <c r="C13280">
        <v>129277303</v>
      </c>
      <c r="D13280">
        <v>2653</v>
      </c>
    </row>
    <row r="13281" spans="1:4" x14ac:dyDescent="0.25">
      <c r="A13281" t="str">
        <f>T("852731")</f>
        <v>852731</v>
      </c>
      <c r="B13281" t="str">
        <f>T("Récepteurs de radiodiffusion, y.c. les appareils recevant également la radiotéléphonie ou la radiotélégraphie, ne pouvant fonctionner qu'avec une source d'énergie extérieure, combinés à un appareil d'enregistrement ou de reproduction du son (autres que po")</f>
        <v>Récepteurs de radiodiffusion, y.c. les appareils recevant également la radiotéléphonie ou la radiotélégraphie, ne pouvant fonctionner qu'avec une source d'énergie extérieure, combinés à un appareil d'enregistrement ou de reproduction du son (autres que po</v>
      </c>
    </row>
    <row r="13282" spans="1:4" x14ac:dyDescent="0.25">
      <c r="A13282" t="str">
        <f>T("   ZZZ_Monde")</f>
        <v xml:space="preserve">   ZZZ_Monde</v>
      </c>
      <c r="B13282" t="str">
        <f>T("   ZZZ_Monde")</f>
        <v xml:space="preserve">   ZZZ_Monde</v>
      </c>
      <c r="C13282">
        <v>9896923</v>
      </c>
      <c r="D13282">
        <v>6405</v>
      </c>
    </row>
    <row r="13283" spans="1:4" x14ac:dyDescent="0.25">
      <c r="A13283" t="str">
        <f>T("   FR")</f>
        <v xml:space="preserve">   FR</v>
      </c>
      <c r="B13283" t="str">
        <f>T("   France")</f>
        <v xml:space="preserve">   France</v>
      </c>
      <c r="C13283">
        <v>8798597</v>
      </c>
      <c r="D13283">
        <v>5728</v>
      </c>
    </row>
    <row r="13284" spans="1:4" x14ac:dyDescent="0.25">
      <c r="A13284" t="str">
        <f>T("   GB")</f>
        <v xml:space="preserve">   GB</v>
      </c>
      <c r="B13284" t="str">
        <f>T("   Royaume-Uni")</f>
        <v xml:space="preserve">   Royaume-Uni</v>
      </c>
      <c r="C13284">
        <v>1098326</v>
      </c>
      <c r="D13284">
        <v>677</v>
      </c>
    </row>
    <row r="13285" spans="1:4" x14ac:dyDescent="0.25">
      <c r="A13285" t="str">
        <f>T("852739")</f>
        <v>852739</v>
      </c>
      <c r="B13285" t="str">
        <f>T("Récepteurs de radiodiffusion, y.c. les appareils recevant également la radiotéléphonie ou la radiotélégraphie, ne pouvant fonctionner qu'avec une source d'énergie extérieure, combinés ni à un appareil d'enregistrement ou de reproduction du son ni à un app")</f>
        <v>Récepteurs de radiodiffusion, y.c. les appareils recevant également la radiotéléphonie ou la radiotélégraphie, ne pouvant fonctionner qu'avec une source d'énergie extérieure, combinés ni à un appareil d'enregistrement ou de reproduction du son ni à un app</v>
      </c>
    </row>
    <row r="13286" spans="1:4" x14ac:dyDescent="0.25">
      <c r="A13286" t="str">
        <f>T("   ZZZ_Monde")</f>
        <v xml:space="preserve">   ZZZ_Monde</v>
      </c>
      <c r="B13286" t="str">
        <f>T("   ZZZ_Monde")</f>
        <v xml:space="preserve">   ZZZ_Monde</v>
      </c>
      <c r="C13286">
        <v>7424654</v>
      </c>
      <c r="D13286">
        <v>2162.8200000000002</v>
      </c>
    </row>
    <row r="13287" spans="1:4" x14ac:dyDescent="0.25">
      <c r="A13287" t="str">
        <f>T("   AE")</f>
        <v xml:space="preserve">   AE</v>
      </c>
      <c r="B13287" t="str">
        <f>T("   Emirats Arabes Unis")</f>
        <v xml:space="preserve">   Emirats Arabes Unis</v>
      </c>
      <c r="C13287">
        <v>2194569</v>
      </c>
      <c r="D13287">
        <v>1002.82</v>
      </c>
    </row>
    <row r="13288" spans="1:4" x14ac:dyDescent="0.25">
      <c r="A13288" t="str">
        <f>T("   CN")</f>
        <v xml:space="preserve">   CN</v>
      </c>
      <c r="B13288" t="str">
        <f>T("   Chine")</f>
        <v xml:space="preserve">   Chine</v>
      </c>
      <c r="C13288">
        <v>269395</v>
      </c>
      <c r="D13288">
        <v>452</v>
      </c>
    </row>
    <row r="13289" spans="1:4" x14ac:dyDescent="0.25">
      <c r="A13289" t="str">
        <f>T("   FR")</f>
        <v xml:space="preserve">   FR</v>
      </c>
      <c r="B13289" t="str">
        <f>T("   France")</f>
        <v xml:space="preserve">   France</v>
      </c>
      <c r="C13289">
        <v>4767335</v>
      </c>
      <c r="D13289">
        <v>683</v>
      </c>
    </row>
    <row r="13290" spans="1:4" x14ac:dyDescent="0.25">
      <c r="A13290" t="str">
        <f>T("   KW")</f>
        <v xml:space="preserve">   KW</v>
      </c>
      <c r="B13290" t="str">
        <f>T("   Koweit")</f>
        <v xml:space="preserve">   Koweit</v>
      </c>
      <c r="C13290">
        <v>193355</v>
      </c>
      <c r="D13290">
        <v>25</v>
      </c>
    </row>
    <row r="13291" spans="1:4" x14ac:dyDescent="0.25">
      <c r="A13291" t="str">
        <f>T("852790")</f>
        <v>852790</v>
      </c>
      <c r="B13291" t="str">
        <f>T("Récepteurs pour la radiotéléphonie, la radiotélégraphie ou la radiodiffusion commerciale")</f>
        <v>Récepteurs pour la radiotéléphonie, la radiotélégraphie ou la radiodiffusion commerciale</v>
      </c>
    </row>
    <row r="13292" spans="1:4" x14ac:dyDescent="0.25">
      <c r="A13292" t="str">
        <f>T("   ZZZ_Monde")</f>
        <v xml:space="preserve">   ZZZ_Monde</v>
      </c>
      <c r="B13292" t="str">
        <f>T("   ZZZ_Monde")</f>
        <v xml:space="preserve">   ZZZ_Monde</v>
      </c>
      <c r="C13292">
        <v>7088432</v>
      </c>
      <c r="D13292">
        <v>19861</v>
      </c>
    </row>
    <row r="13293" spans="1:4" x14ac:dyDescent="0.25">
      <c r="A13293" t="str">
        <f>T("   BE")</f>
        <v xml:space="preserve">   BE</v>
      </c>
      <c r="B13293" t="str">
        <f>T("   Belgique")</f>
        <v xml:space="preserve">   Belgique</v>
      </c>
      <c r="C13293">
        <v>299572</v>
      </c>
      <c r="D13293">
        <v>330</v>
      </c>
    </row>
    <row r="13294" spans="1:4" x14ac:dyDescent="0.25">
      <c r="A13294" t="str">
        <f>T("   CN")</f>
        <v xml:space="preserve">   CN</v>
      </c>
      <c r="B13294" t="str">
        <f>T("   Chine")</f>
        <v xml:space="preserve">   Chine</v>
      </c>
      <c r="C13294">
        <v>5899953</v>
      </c>
      <c r="D13294">
        <v>19417</v>
      </c>
    </row>
    <row r="13295" spans="1:4" x14ac:dyDescent="0.25">
      <c r="A13295" t="str">
        <f>T("   DE")</f>
        <v xml:space="preserve">   DE</v>
      </c>
      <c r="B13295" t="str">
        <f>T("   Allemagne")</f>
        <v xml:space="preserve">   Allemagne</v>
      </c>
      <c r="C13295">
        <v>49853</v>
      </c>
      <c r="D13295">
        <v>5</v>
      </c>
    </row>
    <row r="13296" spans="1:4" x14ac:dyDescent="0.25">
      <c r="A13296" t="str">
        <f>T("   FR")</f>
        <v xml:space="preserve">   FR</v>
      </c>
      <c r="B13296" t="str">
        <f>T("   France")</f>
        <v xml:space="preserve">   France</v>
      </c>
      <c r="C13296">
        <v>783872</v>
      </c>
      <c r="D13296">
        <v>108</v>
      </c>
    </row>
    <row r="13297" spans="1:4" x14ac:dyDescent="0.25">
      <c r="A13297" t="str">
        <f>T("   US")</f>
        <v xml:space="preserve">   US</v>
      </c>
      <c r="B13297" t="str">
        <f>T("   Etats-Unis")</f>
        <v xml:space="preserve">   Etats-Unis</v>
      </c>
      <c r="C13297">
        <v>55182</v>
      </c>
      <c r="D13297">
        <v>1</v>
      </c>
    </row>
    <row r="13298" spans="1:4" x14ac:dyDescent="0.25">
      <c r="A13298" t="str">
        <f>T("852812")</f>
        <v>852812</v>
      </c>
      <c r="B13298" t="str">
        <f>T("Appareils récepteurs pour la télévision en couleurs, même incorporant un appareil récepteur de radiodiffusion ou un appareil d'enregistrement ou de reproduction du son ou des images")</f>
        <v>Appareils récepteurs pour la télévision en couleurs, même incorporant un appareil récepteur de radiodiffusion ou un appareil d'enregistrement ou de reproduction du son ou des images</v>
      </c>
    </row>
    <row r="13299" spans="1:4" x14ac:dyDescent="0.25">
      <c r="A13299" t="str">
        <f>T("   ZZZ_Monde")</f>
        <v xml:space="preserve">   ZZZ_Monde</v>
      </c>
      <c r="B13299" t="str">
        <f>T("   ZZZ_Monde")</f>
        <v xml:space="preserve">   ZZZ_Monde</v>
      </c>
      <c r="C13299">
        <v>1169880979</v>
      </c>
      <c r="D13299">
        <v>1363689.45</v>
      </c>
    </row>
    <row r="13300" spans="1:4" x14ac:dyDescent="0.25">
      <c r="A13300" t="str">
        <f>T("   AE")</f>
        <v xml:space="preserve">   AE</v>
      </c>
      <c r="B13300" t="str">
        <f>T("   Emirats Arabes Unis")</f>
        <v xml:space="preserve">   Emirats Arabes Unis</v>
      </c>
      <c r="C13300">
        <v>6978398</v>
      </c>
      <c r="D13300">
        <v>9591</v>
      </c>
    </row>
    <row r="13301" spans="1:4" x14ac:dyDescent="0.25">
      <c r="A13301" t="str">
        <f>T("   AF")</f>
        <v xml:space="preserve">   AF</v>
      </c>
      <c r="B13301" t="str">
        <f>T("   Afghanistan")</f>
        <v xml:space="preserve">   Afghanistan</v>
      </c>
      <c r="C13301">
        <v>26732881</v>
      </c>
      <c r="D13301">
        <v>823</v>
      </c>
    </row>
    <row r="13302" spans="1:4" x14ac:dyDescent="0.25">
      <c r="A13302" t="str">
        <f>T("   BE")</f>
        <v xml:space="preserve">   BE</v>
      </c>
      <c r="B13302" t="str">
        <f>T("   Belgique")</f>
        <v xml:space="preserve">   Belgique</v>
      </c>
      <c r="C13302">
        <v>21525774</v>
      </c>
      <c r="D13302">
        <v>17238</v>
      </c>
    </row>
    <row r="13303" spans="1:4" x14ac:dyDescent="0.25">
      <c r="A13303" t="str">
        <f>T("   CA")</f>
        <v xml:space="preserve">   CA</v>
      </c>
      <c r="B13303" t="str">
        <f>T("   Canada")</f>
        <v xml:space="preserve">   Canada</v>
      </c>
      <c r="C13303">
        <v>80000</v>
      </c>
      <c r="D13303">
        <v>23</v>
      </c>
    </row>
    <row r="13304" spans="1:4" x14ac:dyDescent="0.25">
      <c r="A13304" t="str">
        <f>T("   CH")</f>
        <v xml:space="preserve">   CH</v>
      </c>
      <c r="B13304" t="str">
        <f>T("   Suisse")</f>
        <v xml:space="preserve">   Suisse</v>
      </c>
      <c r="C13304">
        <v>35808</v>
      </c>
      <c r="D13304">
        <v>278</v>
      </c>
    </row>
    <row r="13305" spans="1:4" x14ac:dyDescent="0.25">
      <c r="A13305" t="str">
        <f>T("   CN")</f>
        <v xml:space="preserve">   CN</v>
      </c>
      <c r="B13305" t="str">
        <f>T("   Chine")</f>
        <v xml:space="preserve">   Chine</v>
      </c>
      <c r="C13305">
        <v>363573022</v>
      </c>
      <c r="D13305">
        <v>328691</v>
      </c>
    </row>
    <row r="13306" spans="1:4" x14ac:dyDescent="0.25">
      <c r="A13306" t="str">
        <f>T("   DE")</f>
        <v xml:space="preserve">   DE</v>
      </c>
      <c r="B13306" t="str">
        <f>T("   Allemagne")</f>
        <v xml:space="preserve">   Allemagne</v>
      </c>
      <c r="C13306">
        <v>2919948</v>
      </c>
      <c r="D13306">
        <v>2300</v>
      </c>
    </row>
    <row r="13307" spans="1:4" x14ac:dyDescent="0.25">
      <c r="A13307" t="str">
        <f>T("   DK")</f>
        <v xml:space="preserve">   DK</v>
      </c>
      <c r="B13307" t="str">
        <f>T("   Danemark")</f>
        <v xml:space="preserve">   Danemark</v>
      </c>
      <c r="C13307">
        <v>100362</v>
      </c>
      <c r="D13307">
        <v>167</v>
      </c>
    </row>
    <row r="13308" spans="1:4" x14ac:dyDescent="0.25">
      <c r="A13308" t="str">
        <f>T("   FR")</f>
        <v xml:space="preserve">   FR</v>
      </c>
      <c r="B13308" t="str">
        <f>T("   France")</f>
        <v xml:space="preserve">   France</v>
      </c>
      <c r="C13308">
        <v>277325731</v>
      </c>
      <c r="D13308">
        <v>97543</v>
      </c>
    </row>
    <row r="13309" spans="1:4" x14ac:dyDescent="0.25">
      <c r="A13309" t="str">
        <f>T("   GB")</f>
        <v xml:space="preserve">   GB</v>
      </c>
      <c r="B13309" t="str">
        <f>T("   Royaume-Uni")</f>
        <v xml:space="preserve">   Royaume-Uni</v>
      </c>
      <c r="C13309">
        <v>68737149</v>
      </c>
      <c r="D13309">
        <v>223052</v>
      </c>
    </row>
    <row r="13310" spans="1:4" x14ac:dyDescent="0.25">
      <c r="A13310" t="str">
        <f>T("   GH")</f>
        <v xml:space="preserve">   GH</v>
      </c>
      <c r="B13310" t="str">
        <f>T("   Ghana")</f>
        <v xml:space="preserve">   Ghana</v>
      </c>
      <c r="C13310">
        <v>467651</v>
      </c>
      <c r="D13310">
        <v>1300</v>
      </c>
    </row>
    <row r="13311" spans="1:4" x14ac:dyDescent="0.25">
      <c r="A13311" t="str">
        <f>T("   GN")</f>
        <v xml:space="preserve">   GN</v>
      </c>
      <c r="B13311" t="str">
        <f>T("   Guinée")</f>
        <v xml:space="preserve">   Guinée</v>
      </c>
      <c r="C13311">
        <v>13421800</v>
      </c>
      <c r="D13311">
        <v>2900</v>
      </c>
    </row>
    <row r="13312" spans="1:4" x14ac:dyDescent="0.25">
      <c r="A13312" t="str">
        <f>T("   ID")</f>
        <v xml:space="preserve">   ID</v>
      </c>
      <c r="B13312" t="str">
        <f>T("   Indonésie")</f>
        <v xml:space="preserve">   Indonésie</v>
      </c>
      <c r="C13312">
        <v>3092272</v>
      </c>
      <c r="D13312">
        <v>2351.66</v>
      </c>
    </row>
    <row r="13313" spans="1:4" x14ac:dyDescent="0.25">
      <c r="A13313" t="str">
        <f>T("   IL")</f>
        <v xml:space="preserve">   IL</v>
      </c>
      <c r="B13313" t="str">
        <f>T("   Israël")</f>
        <v xml:space="preserve">   Israël</v>
      </c>
      <c r="C13313">
        <v>227000</v>
      </c>
      <c r="D13313">
        <v>2000</v>
      </c>
    </row>
    <row r="13314" spans="1:4" x14ac:dyDescent="0.25">
      <c r="A13314" t="str">
        <f>T("   IT")</f>
        <v xml:space="preserve">   IT</v>
      </c>
      <c r="B13314" t="str">
        <f>T("   Italie")</f>
        <v xml:space="preserve">   Italie</v>
      </c>
      <c r="C13314">
        <v>9049323</v>
      </c>
      <c r="D13314">
        <v>9913</v>
      </c>
    </row>
    <row r="13315" spans="1:4" x14ac:dyDescent="0.25">
      <c r="A13315" t="str">
        <f>T("   KR")</f>
        <v xml:space="preserve">   KR</v>
      </c>
      <c r="B13315" t="str">
        <f>T("   Corée, République de")</f>
        <v xml:space="preserve">   Corée, République de</v>
      </c>
      <c r="C13315">
        <v>1660641</v>
      </c>
      <c r="D13315">
        <v>400</v>
      </c>
    </row>
    <row r="13316" spans="1:4" x14ac:dyDescent="0.25">
      <c r="A13316" t="str">
        <f>T("   KW")</f>
        <v xml:space="preserve">   KW</v>
      </c>
      <c r="B13316" t="str">
        <f>T("   Koweit")</f>
        <v xml:space="preserve">   Koweit</v>
      </c>
      <c r="C13316">
        <v>687699</v>
      </c>
      <c r="D13316">
        <v>75</v>
      </c>
    </row>
    <row r="13317" spans="1:4" x14ac:dyDescent="0.25">
      <c r="A13317" t="str">
        <f>T("   LB")</f>
        <v xml:space="preserve">   LB</v>
      </c>
      <c r="B13317" t="str">
        <f>T("   Liban")</f>
        <v xml:space="preserve">   Liban</v>
      </c>
      <c r="C13317">
        <v>1160605</v>
      </c>
      <c r="D13317">
        <v>770</v>
      </c>
    </row>
    <row r="13318" spans="1:4" x14ac:dyDescent="0.25">
      <c r="A13318" t="str">
        <f>T("   MA")</f>
        <v xml:space="preserve">   MA</v>
      </c>
      <c r="B13318" t="str">
        <f>T("   Maroc")</f>
        <v xml:space="preserve">   Maroc</v>
      </c>
      <c r="C13318">
        <v>392122</v>
      </c>
      <c r="D13318">
        <v>265</v>
      </c>
    </row>
    <row r="13319" spans="1:4" x14ac:dyDescent="0.25">
      <c r="A13319" t="str">
        <f>T("   MG")</f>
        <v xml:space="preserve">   MG</v>
      </c>
      <c r="B13319" t="str">
        <f>T("   Madagascar")</f>
        <v xml:space="preserve">   Madagascar</v>
      </c>
      <c r="C13319">
        <v>65596</v>
      </c>
      <c r="D13319">
        <v>250</v>
      </c>
    </row>
    <row r="13320" spans="1:4" x14ac:dyDescent="0.25">
      <c r="A13320" t="str">
        <f>T("   MR")</f>
        <v xml:space="preserve">   MR</v>
      </c>
      <c r="B13320" t="str">
        <f>T("   Mauritanie")</f>
        <v xml:space="preserve">   Mauritanie</v>
      </c>
      <c r="C13320">
        <v>145623</v>
      </c>
      <c r="D13320">
        <v>146</v>
      </c>
    </row>
    <row r="13321" spans="1:4" x14ac:dyDescent="0.25">
      <c r="A13321" t="str">
        <f>T("   NG")</f>
        <v xml:space="preserve">   NG</v>
      </c>
      <c r="B13321" t="str">
        <f>T("   Nigéria")</f>
        <v xml:space="preserve">   Nigéria</v>
      </c>
      <c r="C13321">
        <v>119193054</v>
      </c>
      <c r="D13321">
        <v>437945</v>
      </c>
    </row>
    <row r="13322" spans="1:4" x14ac:dyDescent="0.25">
      <c r="A13322" t="str">
        <f>T("   NL")</f>
        <v xml:space="preserve">   NL</v>
      </c>
      <c r="B13322" t="str">
        <f>T("   Pays-bas")</f>
        <v xml:space="preserve">   Pays-bas</v>
      </c>
      <c r="C13322">
        <v>2502736</v>
      </c>
      <c r="D13322">
        <v>8100</v>
      </c>
    </row>
    <row r="13323" spans="1:4" x14ac:dyDescent="0.25">
      <c r="A13323" t="str">
        <f>T("   NO")</f>
        <v xml:space="preserve">   NO</v>
      </c>
      <c r="B13323" t="str">
        <f>T("   Norvège")</f>
        <v xml:space="preserve">   Norvège</v>
      </c>
      <c r="C13323">
        <v>600000</v>
      </c>
      <c r="D13323">
        <v>6320</v>
      </c>
    </row>
    <row r="13324" spans="1:4" x14ac:dyDescent="0.25">
      <c r="A13324" t="str">
        <f>T("   SA")</f>
        <v xml:space="preserve">   SA</v>
      </c>
      <c r="B13324" t="str">
        <f>T("   Arabie Saoudite")</f>
        <v xml:space="preserve">   Arabie Saoudite</v>
      </c>
      <c r="C13324">
        <v>364713</v>
      </c>
      <c r="D13324">
        <v>300</v>
      </c>
    </row>
    <row r="13325" spans="1:4" x14ac:dyDescent="0.25">
      <c r="A13325" t="str">
        <f>T("   SG")</f>
        <v xml:space="preserve">   SG</v>
      </c>
      <c r="B13325" t="str">
        <f>T("   Singapour")</f>
        <v xml:space="preserve">   Singapour</v>
      </c>
      <c r="C13325">
        <v>34950819</v>
      </c>
      <c r="D13325">
        <v>58670</v>
      </c>
    </row>
    <row r="13326" spans="1:4" x14ac:dyDescent="0.25">
      <c r="A13326" t="str">
        <f>T("   SN")</f>
        <v xml:space="preserve">   SN</v>
      </c>
      <c r="B13326" t="str">
        <f>T("   Sénégal")</f>
        <v xml:space="preserve">   Sénégal</v>
      </c>
      <c r="C13326">
        <v>3228736</v>
      </c>
      <c r="D13326">
        <v>2963</v>
      </c>
    </row>
    <row r="13327" spans="1:4" x14ac:dyDescent="0.25">
      <c r="A13327" t="str">
        <f>T("   TF")</f>
        <v xml:space="preserve">   TF</v>
      </c>
      <c r="B13327" t="str">
        <f>T("   Terres Australes Françaises")</f>
        <v xml:space="preserve">   Terres Australes Françaises</v>
      </c>
      <c r="C13327">
        <v>47134894</v>
      </c>
      <c r="D13327">
        <v>13038</v>
      </c>
    </row>
    <row r="13328" spans="1:4" x14ac:dyDescent="0.25">
      <c r="A13328" t="str">
        <f>T("   TG")</f>
        <v xml:space="preserve">   TG</v>
      </c>
      <c r="B13328" t="str">
        <f>T("   Togo")</f>
        <v xml:space="preserve">   Togo</v>
      </c>
      <c r="C13328">
        <v>15607586</v>
      </c>
      <c r="D13328">
        <v>19846.79</v>
      </c>
    </row>
    <row r="13329" spans="1:4" x14ac:dyDescent="0.25">
      <c r="A13329" t="str">
        <f>T("   TH")</f>
        <v xml:space="preserve">   TH</v>
      </c>
      <c r="B13329" t="str">
        <f>T("   Thaïlande")</f>
        <v xml:space="preserve">   Thaïlande</v>
      </c>
      <c r="C13329">
        <v>121060513</v>
      </c>
      <c r="D13329">
        <v>72852</v>
      </c>
    </row>
    <row r="13330" spans="1:4" x14ac:dyDescent="0.25">
      <c r="A13330" t="str">
        <f>T("   TN")</f>
        <v xml:space="preserve">   TN</v>
      </c>
      <c r="B13330" t="str">
        <f>T("   Tunisie")</f>
        <v xml:space="preserve">   Tunisie</v>
      </c>
      <c r="C13330">
        <v>71500</v>
      </c>
      <c r="D13330">
        <v>16</v>
      </c>
    </row>
    <row r="13331" spans="1:4" x14ac:dyDescent="0.25">
      <c r="A13331" t="str">
        <f>T("   US")</f>
        <v xml:space="preserve">   US</v>
      </c>
      <c r="B13331" t="str">
        <f>T("   Etats-Unis")</f>
        <v xml:space="preserve">   Etats-Unis</v>
      </c>
      <c r="C13331">
        <v>6399758</v>
      </c>
      <c r="D13331">
        <v>27679</v>
      </c>
    </row>
    <row r="13332" spans="1:4" x14ac:dyDescent="0.25">
      <c r="A13332" t="str">
        <f>T("   VN")</f>
        <v xml:space="preserve">   VN</v>
      </c>
      <c r="B13332" t="str">
        <f>T("   Vietnam")</f>
        <v xml:space="preserve">   Vietnam</v>
      </c>
      <c r="C13332">
        <v>13789000</v>
      </c>
      <c r="D13332">
        <v>15340</v>
      </c>
    </row>
    <row r="13333" spans="1:4" x14ac:dyDescent="0.25">
      <c r="A13333" t="str">
        <f>T("   ZA")</f>
        <v xml:space="preserve">   ZA</v>
      </c>
      <c r="B13333" t="str">
        <f>T("   Afrique du Sud")</f>
        <v xml:space="preserve">   Afrique du Sud</v>
      </c>
      <c r="C13333">
        <v>6598265</v>
      </c>
      <c r="D13333">
        <v>543</v>
      </c>
    </row>
    <row r="13334" spans="1:4" x14ac:dyDescent="0.25">
      <c r="A13334" t="str">
        <f>T("852813")</f>
        <v>852813</v>
      </c>
      <c r="B13334" t="str">
        <f>T("Appareils récepteurs pour la télévision en noir et blanc ou en autres monochromes, même incorporant un appareil récepteur de radiodiffusion ou un appareil d'enregistrement ou de reproduction du son ou des images")</f>
        <v>Appareils récepteurs pour la télévision en noir et blanc ou en autres monochromes, même incorporant un appareil récepteur de radiodiffusion ou un appareil d'enregistrement ou de reproduction du son ou des images</v>
      </c>
    </row>
    <row r="13335" spans="1:4" x14ac:dyDescent="0.25">
      <c r="A13335" t="str">
        <f>T("   ZZZ_Monde")</f>
        <v xml:space="preserve">   ZZZ_Monde</v>
      </c>
      <c r="B13335" t="str">
        <f>T("   ZZZ_Monde")</f>
        <v xml:space="preserve">   ZZZ_Monde</v>
      </c>
      <c r="C13335">
        <v>11736676</v>
      </c>
      <c r="D13335">
        <v>21077</v>
      </c>
    </row>
    <row r="13336" spans="1:4" x14ac:dyDescent="0.25">
      <c r="A13336" t="str">
        <f>T("   AE")</f>
        <v xml:space="preserve">   AE</v>
      </c>
      <c r="B13336" t="str">
        <f>T("   Emirats Arabes Unis")</f>
        <v xml:space="preserve">   Emirats Arabes Unis</v>
      </c>
      <c r="C13336">
        <v>1308856</v>
      </c>
      <c r="D13336">
        <v>1056</v>
      </c>
    </row>
    <row r="13337" spans="1:4" x14ac:dyDescent="0.25">
      <c r="A13337" t="str">
        <f>T("   CN")</f>
        <v xml:space="preserve">   CN</v>
      </c>
      <c r="B13337" t="str">
        <f>T("   Chine")</f>
        <v xml:space="preserve">   Chine</v>
      </c>
      <c r="C13337">
        <v>4261046</v>
      </c>
      <c r="D13337">
        <v>10369</v>
      </c>
    </row>
    <row r="13338" spans="1:4" x14ac:dyDescent="0.25">
      <c r="A13338" t="str">
        <f>T("   DE")</f>
        <v xml:space="preserve">   DE</v>
      </c>
      <c r="B13338" t="str">
        <f>T("   Allemagne")</f>
        <v xml:space="preserve">   Allemagne</v>
      </c>
      <c r="C13338">
        <v>1132856</v>
      </c>
      <c r="D13338">
        <v>1699</v>
      </c>
    </row>
    <row r="13339" spans="1:4" x14ac:dyDescent="0.25">
      <c r="A13339" t="str">
        <f>T("   FR")</f>
        <v xml:space="preserve">   FR</v>
      </c>
      <c r="B13339" t="str">
        <f>T("   France")</f>
        <v xml:space="preserve">   France</v>
      </c>
      <c r="C13339">
        <v>2996699</v>
      </c>
      <c r="D13339">
        <v>195</v>
      </c>
    </row>
    <row r="13340" spans="1:4" x14ac:dyDescent="0.25">
      <c r="A13340" t="str">
        <f>T("   GH")</f>
        <v xml:space="preserve">   GH</v>
      </c>
      <c r="B13340" t="str">
        <f>T("   Ghana")</f>
        <v xml:space="preserve">   Ghana</v>
      </c>
      <c r="C13340">
        <v>427445</v>
      </c>
      <c r="D13340">
        <v>5528</v>
      </c>
    </row>
    <row r="13341" spans="1:4" x14ac:dyDescent="0.25">
      <c r="A13341" t="str">
        <f>T("   NG")</f>
        <v xml:space="preserve">   NG</v>
      </c>
      <c r="B13341" t="str">
        <f>T("   Nigéria")</f>
        <v xml:space="preserve">   Nigéria</v>
      </c>
      <c r="C13341">
        <v>125000</v>
      </c>
      <c r="D13341">
        <v>500</v>
      </c>
    </row>
    <row r="13342" spans="1:4" x14ac:dyDescent="0.25">
      <c r="A13342" t="str">
        <f>T("   RO")</f>
        <v xml:space="preserve">   RO</v>
      </c>
      <c r="B13342" t="str">
        <f>T("   Roumanie")</f>
        <v xml:space="preserve">   Roumanie</v>
      </c>
      <c r="C13342">
        <v>108684</v>
      </c>
      <c r="D13342">
        <v>20</v>
      </c>
    </row>
    <row r="13343" spans="1:4" x14ac:dyDescent="0.25">
      <c r="A13343" t="str">
        <f>T("   SA")</f>
        <v xml:space="preserve">   SA</v>
      </c>
      <c r="B13343" t="str">
        <f>T("   Arabie Saoudite")</f>
        <v xml:space="preserve">   Arabie Saoudite</v>
      </c>
      <c r="C13343">
        <v>959840</v>
      </c>
      <c r="D13343">
        <v>850</v>
      </c>
    </row>
    <row r="13344" spans="1:4" x14ac:dyDescent="0.25">
      <c r="A13344" t="str">
        <f>T("   TG")</f>
        <v xml:space="preserve">   TG</v>
      </c>
      <c r="B13344" t="str">
        <f>T("   Togo")</f>
        <v xml:space="preserve">   Togo</v>
      </c>
      <c r="C13344">
        <v>32769</v>
      </c>
      <c r="D13344">
        <v>60</v>
      </c>
    </row>
    <row r="13345" spans="1:4" x14ac:dyDescent="0.25">
      <c r="A13345" t="str">
        <f>T("   US")</f>
        <v xml:space="preserve">   US</v>
      </c>
      <c r="B13345" t="str">
        <f>T("   Etats-Unis")</f>
        <v xml:space="preserve">   Etats-Unis</v>
      </c>
      <c r="C13345">
        <v>383481</v>
      </c>
      <c r="D13345">
        <v>800</v>
      </c>
    </row>
    <row r="13346" spans="1:4" x14ac:dyDescent="0.25">
      <c r="A13346" t="str">
        <f>T("852820")</f>
        <v>852820</v>
      </c>
      <c r="B13346" t="str">
        <f>T("RÉCEPTEURS DE TÉLÉVISION EN NOIR ET BLANC OU EN AUTRES MONOCHROMES (Y C. LES MONITEURS VIDÉO ET LES PROJECTEURS VIDÉO), INCORPORANT EGALEMENT UN APPAREIL RÉCEPTEUR DE RADIODIFFUSION OU A UN APPAREIL D'ENREGISTREMENT OU DE REPRODUCTION DU SON OU DES IMAGES")</f>
        <v>RÉCEPTEURS DE TÉLÉVISION EN NOIR ET BLANC OU EN AUTRES MONOCHROMES (Y C. LES MONITEURS VIDÉO ET LES PROJECTEURS VIDÉO), INCORPORANT EGALEMENT UN APPAREIL RÉCEPTEUR DE RADIODIFFUSION OU A UN APPAREIL D'ENREGISTREMENT OU DE REPRODUCTION DU SON OU DES IMAGES</v>
      </c>
    </row>
    <row r="13347" spans="1:4" x14ac:dyDescent="0.25">
      <c r="A13347" t="str">
        <f>T("   ZZZ_Monde")</f>
        <v xml:space="preserve">   ZZZ_Monde</v>
      </c>
      <c r="B13347" t="str">
        <f>T("   ZZZ_Monde")</f>
        <v xml:space="preserve">   ZZZ_Monde</v>
      </c>
      <c r="C13347">
        <v>19696</v>
      </c>
      <c r="D13347">
        <v>80</v>
      </c>
    </row>
    <row r="13348" spans="1:4" x14ac:dyDescent="0.25">
      <c r="A13348" t="str">
        <f>T("   TG")</f>
        <v xml:space="preserve">   TG</v>
      </c>
      <c r="B13348" t="str">
        <f>T("   Togo")</f>
        <v xml:space="preserve">   Togo</v>
      </c>
      <c r="C13348">
        <v>19696</v>
      </c>
      <c r="D13348">
        <v>80</v>
      </c>
    </row>
    <row r="13349" spans="1:4" x14ac:dyDescent="0.25">
      <c r="A13349" t="str">
        <f>T("852821")</f>
        <v>852821</v>
      </c>
      <c r="B13349" t="str">
        <f>T("Moniteurs vidéo en couleurs")</f>
        <v>Moniteurs vidéo en couleurs</v>
      </c>
    </row>
    <row r="13350" spans="1:4" x14ac:dyDescent="0.25">
      <c r="A13350" t="str">
        <f>T("   ZZZ_Monde")</f>
        <v xml:space="preserve">   ZZZ_Monde</v>
      </c>
      <c r="B13350" t="str">
        <f>T("   ZZZ_Monde")</f>
        <v xml:space="preserve">   ZZZ_Monde</v>
      </c>
      <c r="C13350">
        <v>27779096</v>
      </c>
      <c r="D13350">
        <v>41400</v>
      </c>
    </row>
    <row r="13351" spans="1:4" x14ac:dyDescent="0.25">
      <c r="A13351" t="str">
        <f>T("   AE")</f>
        <v xml:space="preserve">   AE</v>
      </c>
      <c r="B13351" t="str">
        <f>T("   Emirats Arabes Unis")</f>
        <v xml:space="preserve">   Emirats Arabes Unis</v>
      </c>
      <c r="C13351">
        <v>1027247</v>
      </c>
      <c r="D13351">
        <v>2000</v>
      </c>
    </row>
    <row r="13352" spans="1:4" x14ac:dyDescent="0.25">
      <c r="A13352" t="str">
        <f>T("   AU")</f>
        <v xml:space="preserve">   AU</v>
      </c>
      <c r="B13352" t="str">
        <f>T("   Australie")</f>
        <v xml:space="preserve">   Australie</v>
      </c>
      <c r="C13352">
        <v>655960</v>
      </c>
      <c r="D13352">
        <v>10000</v>
      </c>
    </row>
    <row r="13353" spans="1:4" x14ac:dyDescent="0.25">
      <c r="A13353" t="str">
        <f>T("   CH")</f>
        <v xml:space="preserve">   CH</v>
      </c>
      <c r="B13353" t="str">
        <f>T("   Suisse")</f>
        <v xml:space="preserve">   Suisse</v>
      </c>
      <c r="C13353">
        <v>352611</v>
      </c>
      <c r="D13353">
        <v>7</v>
      </c>
    </row>
    <row r="13354" spans="1:4" x14ac:dyDescent="0.25">
      <c r="A13354" t="str">
        <f>T("   CN")</f>
        <v xml:space="preserve">   CN</v>
      </c>
      <c r="B13354" t="str">
        <f>T("   Chine")</f>
        <v xml:space="preserve">   Chine</v>
      </c>
      <c r="C13354">
        <v>17605611</v>
      </c>
      <c r="D13354">
        <v>26885</v>
      </c>
    </row>
    <row r="13355" spans="1:4" x14ac:dyDescent="0.25">
      <c r="A13355" t="str">
        <f>T("   DE")</f>
        <v xml:space="preserve">   DE</v>
      </c>
      <c r="B13355" t="str">
        <f>T("   Allemagne")</f>
        <v xml:space="preserve">   Allemagne</v>
      </c>
      <c r="C13355">
        <v>30175</v>
      </c>
      <c r="D13355">
        <v>10</v>
      </c>
    </row>
    <row r="13356" spans="1:4" x14ac:dyDescent="0.25">
      <c r="A13356" t="str">
        <f>T("   FR")</f>
        <v xml:space="preserve">   FR</v>
      </c>
      <c r="B13356" t="str">
        <f>T("   France")</f>
        <v xml:space="preserve">   France</v>
      </c>
      <c r="C13356">
        <v>7049642</v>
      </c>
      <c r="D13356">
        <v>95</v>
      </c>
    </row>
    <row r="13357" spans="1:4" x14ac:dyDescent="0.25">
      <c r="A13357" t="str">
        <f>T("   TG")</f>
        <v xml:space="preserve">   TG</v>
      </c>
      <c r="B13357" t="str">
        <f>T("   Togo")</f>
        <v xml:space="preserve">   Togo</v>
      </c>
      <c r="C13357">
        <v>500000</v>
      </c>
      <c r="D13357">
        <v>2374</v>
      </c>
    </row>
    <row r="13358" spans="1:4" x14ac:dyDescent="0.25">
      <c r="A13358" t="str">
        <f>T("   US")</f>
        <v xml:space="preserve">   US</v>
      </c>
      <c r="B13358" t="str">
        <f>T("   Etats-Unis")</f>
        <v xml:space="preserve">   Etats-Unis</v>
      </c>
      <c r="C13358">
        <v>557850</v>
      </c>
      <c r="D13358">
        <v>29</v>
      </c>
    </row>
    <row r="13359" spans="1:4" x14ac:dyDescent="0.25">
      <c r="A13359" t="str">
        <f>T("852822")</f>
        <v>852822</v>
      </c>
      <c r="B13359" t="str">
        <f>T("Moniteurs vidéo en noir et blanc ou en autres monochromes")</f>
        <v>Moniteurs vidéo en noir et blanc ou en autres monochromes</v>
      </c>
    </row>
    <row r="13360" spans="1:4" x14ac:dyDescent="0.25">
      <c r="A13360" t="str">
        <f>T("   ZZZ_Monde")</f>
        <v xml:space="preserve">   ZZZ_Monde</v>
      </c>
      <c r="B13360" t="str">
        <f>T("   ZZZ_Monde")</f>
        <v xml:space="preserve">   ZZZ_Monde</v>
      </c>
      <c r="C13360">
        <v>374553</v>
      </c>
      <c r="D13360">
        <v>7</v>
      </c>
    </row>
    <row r="13361" spans="1:4" x14ac:dyDescent="0.25">
      <c r="A13361" t="str">
        <f>T("   FI")</f>
        <v xml:space="preserve">   FI</v>
      </c>
      <c r="B13361" t="str">
        <f>T("   Finlande")</f>
        <v xml:space="preserve">   Finlande</v>
      </c>
      <c r="C13361">
        <v>374553</v>
      </c>
      <c r="D13361">
        <v>7</v>
      </c>
    </row>
    <row r="13362" spans="1:4" x14ac:dyDescent="0.25">
      <c r="A13362" t="str">
        <f>T("852830")</f>
        <v>852830</v>
      </c>
      <c r="B13362" t="str">
        <f>T("Projecteurs vidéo")</f>
        <v>Projecteurs vidéo</v>
      </c>
    </row>
    <row r="13363" spans="1:4" x14ac:dyDescent="0.25">
      <c r="A13363" t="str">
        <f>T("   ZZZ_Monde")</f>
        <v xml:space="preserve">   ZZZ_Monde</v>
      </c>
      <c r="B13363" t="str">
        <f>T("   ZZZ_Monde")</f>
        <v xml:space="preserve">   ZZZ_Monde</v>
      </c>
      <c r="C13363">
        <v>7930709</v>
      </c>
      <c r="D13363">
        <v>115</v>
      </c>
    </row>
    <row r="13364" spans="1:4" x14ac:dyDescent="0.25">
      <c r="A13364" t="str">
        <f>T("   CH")</f>
        <v xml:space="preserve">   CH</v>
      </c>
      <c r="B13364" t="str">
        <f>T("   Suisse")</f>
        <v xml:space="preserve">   Suisse</v>
      </c>
      <c r="C13364">
        <v>603483</v>
      </c>
      <c r="D13364">
        <v>2</v>
      </c>
    </row>
    <row r="13365" spans="1:4" x14ac:dyDescent="0.25">
      <c r="A13365" t="str">
        <f>T("   CI")</f>
        <v xml:space="preserve">   CI</v>
      </c>
      <c r="B13365" t="str">
        <f>T("   Côte d'Ivoire")</f>
        <v xml:space="preserve">   Côte d'Ivoire</v>
      </c>
      <c r="C13365">
        <v>382281</v>
      </c>
      <c r="D13365">
        <v>2</v>
      </c>
    </row>
    <row r="13366" spans="1:4" x14ac:dyDescent="0.25">
      <c r="A13366" t="str">
        <f>T("   CN")</f>
        <v xml:space="preserve">   CN</v>
      </c>
      <c r="B13366" t="str">
        <f>T("   Chine")</f>
        <v xml:space="preserve">   Chine</v>
      </c>
      <c r="C13366">
        <v>711061</v>
      </c>
      <c r="D13366">
        <v>11</v>
      </c>
    </row>
    <row r="13367" spans="1:4" x14ac:dyDescent="0.25">
      <c r="A13367" t="str">
        <f>T("   FI")</f>
        <v xml:space="preserve">   FI</v>
      </c>
      <c r="B13367" t="str">
        <f>T("   Finlande")</f>
        <v xml:space="preserve">   Finlande</v>
      </c>
      <c r="C13367">
        <v>366682</v>
      </c>
      <c r="D13367">
        <v>7</v>
      </c>
    </row>
    <row r="13368" spans="1:4" x14ac:dyDescent="0.25">
      <c r="A13368" t="str">
        <f>T("   FR")</f>
        <v xml:space="preserve">   FR</v>
      </c>
      <c r="B13368" t="str">
        <f>T("   France")</f>
        <v xml:space="preserve">   France</v>
      </c>
      <c r="C13368">
        <v>5766840</v>
      </c>
      <c r="D13368">
        <v>83</v>
      </c>
    </row>
    <row r="13369" spans="1:4" x14ac:dyDescent="0.25">
      <c r="A13369" t="str">
        <f>T("   US")</f>
        <v xml:space="preserve">   US</v>
      </c>
      <c r="B13369" t="str">
        <f>T("   Etats-Unis")</f>
        <v xml:space="preserve">   Etats-Unis</v>
      </c>
      <c r="C13369">
        <v>100362</v>
      </c>
      <c r="D13369">
        <v>10</v>
      </c>
    </row>
    <row r="13370" spans="1:4" x14ac:dyDescent="0.25">
      <c r="A13370" t="str">
        <f>T("852910")</f>
        <v>852910</v>
      </c>
      <c r="B13370" t="str">
        <f>T("Antennes et réflecteurs d'antennes de tous types; parties reconnaissables comme étant utilisées conjointement avec ces articles, n.d.a.")</f>
        <v>Antennes et réflecteurs d'antennes de tous types; parties reconnaissables comme étant utilisées conjointement avec ces articles, n.d.a.</v>
      </c>
    </row>
    <row r="13371" spans="1:4" x14ac:dyDescent="0.25">
      <c r="A13371" t="str">
        <f>T("   ZZZ_Monde")</f>
        <v xml:space="preserve">   ZZZ_Monde</v>
      </c>
      <c r="B13371" t="str">
        <f>T("   ZZZ_Monde")</f>
        <v xml:space="preserve">   ZZZ_Monde</v>
      </c>
      <c r="C13371">
        <v>565236930</v>
      </c>
      <c r="D13371">
        <v>225170</v>
      </c>
    </row>
    <row r="13372" spans="1:4" x14ac:dyDescent="0.25">
      <c r="A13372" t="str">
        <f>T("   AE")</f>
        <v xml:space="preserve">   AE</v>
      </c>
      <c r="B13372" t="str">
        <f>T("   Emirats Arabes Unis")</f>
        <v xml:space="preserve">   Emirats Arabes Unis</v>
      </c>
      <c r="C13372">
        <v>2692011</v>
      </c>
      <c r="D13372">
        <v>3246</v>
      </c>
    </row>
    <row r="13373" spans="1:4" x14ac:dyDescent="0.25">
      <c r="A13373" t="str">
        <f>T("   BE")</f>
        <v xml:space="preserve">   BE</v>
      </c>
      <c r="B13373" t="str">
        <f>T("   Belgique")</f>
        <v xml:space="preserve">   Belgique</v>
      </c>
      <c r="C13373">
        <v>24726117</v>
      </c>
      <c r="D13373">
        <v>2166</v>
      </c>
    </row>
    <row r="13374" spans="1:4" x14ac:dyDescent="0.25">
      <c r="A13374" t="str">
        <f>T("   CN")</f>
        <v xml:space="preserve">   CN</v>
      </c>
      <c r="B13374" t="str">
        <f>T("   Chine")</f>
        <v xml:space="preserve">   Chine</v>
      </c>
      <c r="C13374">
        <v>48715464</v>
      </c>
      <c r="D13374">
        <v>128728</v>
      </c>
    </row>
    <row r="13375" spans="1:4" x14ac:dyDescent="0.25">
      <c r="A13375" t="str">
        <f>T("   CY")</f>
        <v xml:space="preserve">   CY</v>
      </c>
      <c r="B13375" t="str">
        <f>T("   Chypre")</f>
        <v xml:space="preserve">   Chypre</v>
      </c>
      <c r="C13375">
        <v>339859</v>
      </c>
      <c r="D13375">
        <v>1290</v>
      </c>
    </row>
    <row r="13376" spans="1:4" x14ac:dyDescent="0.25">
      <c r="A13376" t="str">
        <f>T("   DE")</f>
        <v xml:space="preserve">   DE</v>
      </c>
      <c r="B13376" t="str">
        <f>T("   Allemagne")</f>
        <v xml:space="preserve">   Allemagne</v>
      </c>
      <c r="C13376">
        <v>62370</v>
      </c>
      <c r="D13376">
        <v>1</v>
      </c>
    </row>
    <row r="13377" spans="1:4" x14ac:dyDescent="0.25">
      <c r="A13377" t="str">
        <f>T("   FR")</f>
        <v xml:space="preserve">   FR</v>
      </c>
      <c r="B13377" t="str">
        <f>T("   France")</f>
        <v xml:space="preserve">   France</v>
      </c>
      <c r="C13377">
        <v>50976406</v>
      </c>
      <c r="D13377">
        <v>37946</v>
      </c>
    </row>
    <row r="13378" spans="1:4" x14ac:dyDescent="0.25">
      <c r="A13378" t="str">
        <f>T("   GB")</f>
        <v xml:space="preserve">   GB</v>
      </c>
      <c r="B13378" t="str">
        <f>T("   Royaume-Uni")</f>
        <v xml:space="preserve">   Royaume-Uni</v>
      </c>
      <c r="C13378">
        <v>374400</v>
      </c>
      <c r="D13378">
        <v>270</v>
      </c>
    </row>
    <row r="13379" spans="1:4" x14ac:dyDescent="0.25">
      <c r="A13379" t="str">
        <f>T("   GH")</f>
        <v xml:space="preserve">   GH</v>
      </c>
      <c r="B13379" t="str">
        <f>T("   Ghana")</f>
        <v xml:space="preserve">   Ghana</v>
      </c>
      <c r="C13379">
        <v>209328</v>
      </c>
      <c r="D13379">
        <v>117</v>
      </c>
    </row>
    <row r="13380" spans="1:4" x14ac:dyDescent="0.25">
      <c r="A13380" t="str">
        <f>T("   JP")</f>
        <v xml:space="preserve">   JP</v>
      </c>
      <c r="B13380" t="str">
        <f>T("   Japon")</f>
        <v xml:space="preserve">   Japon</v>
      </c>
      <c r="C13380">
        <v>64317</v>
      </c>
      <c r="D13380">
        <v>4</v>
      </c>
    </row>
    <row r="13381" spans="1:4" x14ac:dyDescent="0.25">
      <c r="A13381" t="str">
        <f>T("   NG")</f>
        <v xml:space="preserve">   NG</v>
      </c>
      <c r="B13381" t="str">
        <f>T("   Nigéria")</f>
        <v xml:space="preserve">   Nigéria</v>
      </c>
      <c r="C13381">
        <v>73320437</v>
      </c>
      <c r="D13381">
        <v>36762</v>
      </c>
    </row>
    <row r="13382" spans="1:4" x14ac:dyDescent="0.25">
      <c r="A13382" t="str">
        <f>T("   NO")</f>
        <v xml:space="preserve">   NO</v>
      </c>
      <c r="B13382" t="str">
        <f>T("   Norvège")</f>
        <v xml:space="preserve">   Norvège</v>
      </c>
      <c r="C13382">
        <v>13089970</v>
      </c>
      <c r="D13382">
        <v>1573</v>
      </c>
    </row>
    <row r="13383" spans="1:4" x14ac:dyDescent="0.25">
      <c r="A13383" t="str">
        <f>T("   SG")</f>
        <v xml:space="preserve">   SG</v>
      </c>
      <c r="B13383" t="str">
        <f>T("   Singapour")</f>
        <v xml:space="preserve">   Singapour</v>
      </c>
      <c r="C13383">
        <v>349353635</v>
      </c>
      <c r="D13383">
        <v>12460</v>
      </c>
    </row>
    <row r="13384" spans="1:4" x14ac:dyDescent="0.25">
      <c r="A13384" t="str">
        <f>T("   TG")</f>
        <v xml:space="preserve">   TG</v>
      </c>
      <c r="B13384" t="str">
        <f>T("   Togo")</f>
        <v xml:space="preserve">   Togo</v>
      </c>
      <c r="C13384">
        <v>89716</v>
      </c>
      <c r="D13384">
        <v>285</v>
      </c>
    </row>
    <row r="13385" spans="1:4" x14ac:dyDescent="0.25">
      <c r="A13385" t="str">
        <f>T("   US")</f>
        <v xml:space="preserve">   US</v>
      </c>
      <c r="B13385" t="str">
        <f>T("   Etats-Unis")</f>
        <v xml:space="preserve">   Etats-Unis</v>
      </c>
      <c r="C13385">
        <v>346353</v>
      </c>
      <c r="D13385">
        <v>11</v>
      </c>
    </row>
    <row r="13386" spans="1:4" x14ac:dyDescent="0.25">
      <c r="A13386" t="str">
        <f>T("   ZA")</f>
        <v xml:space="preserve">   ZA</v>
      </c>
      <c r="B13386" t="str">
        <f>T("   Afrique du Sud")</f>
        <v xml:space="preserve">   Afrique du Sud</v>
      </c>
      <c r="C13386">
        <v>876547</v>
      </c>
      <c r="D13386">
        <v>311</v>
      </c>
    </row>
    <row r="13387" spans="1:4" x14ac:dyDescent="0.25">
      <c r="A13387" t="str">
        <f>T("852990")</f>
        <v>852990</v>
      </c>
      <c r="B13387" t="str">
        <f>T("PARTIES RECONNAISSABLES COMME ÉTANT EXCLUSIVEMENT OU PRINCIPALEMENT DESTINÉES AUX APPAREILS ÉMETTEURS-RÉCEPTEURS POUR LA RADIODIFFUSION OU LA TÉLÉVISION, AUX CAMÉRAS DE TÉLÉVISION, AUX APPAREILS PHOTOGRAPHIQUES NUMÉRIQUES, AUX CAMÉSCOPES ET AUX APPAREILS")</f>
        <v>PARTIES RECONNAISSABLES COMME ÉTANT EXCLUSIVEMENT OU PRINCIPALEMENT DESTINÉES AUX APPAREILS ÉMETTEURS-RÉCEPTEURS POUR LA RADIODIFFUSION OU LA TÉLÉVISION, AUX CAMÉRAS DE TÉLÉVISION, AUX APPAREILS PHOTOGRAPHIQUES NUMÉRIQUES, AUX CAMÉSCOPES ET AUX APPAREILS</v>
      </c>
    </row>
    <row r="13388" spans="1:4" x14ac:dyDescent="0.25">
      <c r="A13388" t="str">
        <f>T("   ZZZ_Monde")</f>
        <v xml:space="preserve">   ZZZ_Monde</v>
      </c>
      <c r="B13388" t="str">
        <f>T("   ZZZ_Monde")</f>
        <v xml:space="preserve">   ZZZ_Monde</v>
      </c>
      <c r="C13388">
        <v>163957462</v>
      </c>
      <c r="D13388">
        <v>39049.5</v>
      </c>
    </row>
    <row r="13389" spans="1:4" x14ac:dyDescent="0.25">
      <c r="A13389" t="str">
        <f>T("   AE")</f>
        <v xml:space="preserve">   AE</v>
      </c>
      <c r="B13389" t="str">
        <f>T("   Emirats Arabes Unis")</f>
        <v xml:space="preserve">   Emirats Arabes Unis</v>
      </c>
      <c r="C13389">
        <v>2363749</v>
      </c>
      <c r="D13389">
        <v>6458</v>
      </c>
    </row>
    <row r="13390" spans="1:4" x14ac:dyDescent="0.25">
      <c r="A13390" t="str">
        <f>T("   AF")</f>
        <v xml:space="preserve">   AF</v>
      </c>
      <c r="B13390" t="str">
        <f>T("   Afghanistan")</f>
        <v xml:space="preserve">   Afghanistan</v>
      </c>
      <c r="C13390">
        <v>15130965</v>
      </c>
      <c r="D13390">
        <v>758.5</v>
      </c>
    </row>
    <row r="13391" spans="1:4" x14ac:dyDescent="0.25">
      <c r="A13391" t="str">
        <f>T("   CN")</f>
        <v xml:space="preserve">   CN</v>
      </c>
      <c r="B13391" t="str">
        <f>T("   Chine")</f>
        <v xml:space="preserve">   Chine</v>
      </c>
      <c r="C13391">
        <v>17899986</v>
      </c>
      <c r="D13391">
        <v>19769</v>
      </c>
    </row>
    <row r="13392" spans="1:4" x14ac:dyDescent="0.25">
      <c r="A13392" t="str">
        <f>T("   CY")</f>
        <v xml:space="preserve">   CY</v>
      </c>
      <c r="B13392" t="str">
        <f>T("   Chypre")</f>
        <v xml:space="preserve">   Chypre</v>
      </c>
      <c r="C13392">
        <v>1041148</v>
      </c>
      <c r="D13392">
        <v>516</v>
      </c>
    </row>
    <row r="13393" spans="1:4" x14ac:dyDescent="0.25">
      <c r="A13393" t="str">
        <f>T("   FR")</f>
        <v xml:space="preserve">   FR</v>
      </c>
      <c r="B13393" t="str">
        <f>T("   France")</f>
        <v xml:space="preserve">   France</v>
      </c>
      <c r="C13393">
        <v>115751523</v>
      </c>
      <c r="D13393">
        <v>6596</v>
      </c>
    </row>
    <row r="13394" spans="1:4" x14ac:dyDescent="0.25">
      <c r="A13394" t="str">
        <f>T("   NG")</f>
        <v xml:space="preserve">   NG</v>
      </c>
      <c r="B13394" t="str">
        <f>T("   Nigéria")</f>
        <v xml:space="preserve">   Nigéria</v>
      </c>
      <c r="C13394">
        <v>310000</v>
      </c>
      <c r="D13394">
        <v>300</v>
      </c>
    </row>
    <row r="13395" spans="1:4" x14ac:dyDescent="0.25">
      <c r="A13395" t="str">
        <f>T("   SN")</f>
        <v xml:space="preserve">   SN</v>
      </c>
      <c r="B13395" t="str">
        <f>T("   Sénégal")</f>
        <v xml:space="preserve">   Sénégal</v>
      </c>
      <c r="C13395">
        <v>263041</v>
      </c>
      <c r="D13395">
        <v>8</v>
      </c>
    </row>
    <row r="13396" spans="1:4" x14ac:dyDescent="0.25">
      <c r="A13396" t="str">
        <f>T("   TG")</f>
        <v xml:space="preserve">   TG</v>
      </c>
      <c r="B13396" t="str">
        <f>T("   Togo")</f>
        <v xml:space="preserve">   Togo</v>
      </c>
      <c r="C13396">
        <v>44280</v>
      </c>
      <c r="D13396">
        <v>40</v>
      </c>
    </row>
    <row r="13397" spans="1:4" x14ac:dyDescent="0.25">
      <c r="A13397" t="str">
        <f>T("   TH")</f>
        <v xml:space="preserve">   TH</v>
      </c>
      <c r="B13397" t="str">
        <f>T("   Thaïlande")</f>
        <v xml:space="preserve">   Thaïlande</v>
      </c>
      <c r="C13397">
        <v>4535370</v>
      </c>
      <c r="D13397">
        <v>4349</v>
      </c>
    </row>
    <row r="13398" spans="1:4" x14ac:dyDescent="0.25">
      <c r="A13398" t="str">
        <f>T("   ZA")</f>
        <v xml:space="preserve">   ZA</v>
      </c>
      <c r="B13398" t="str">
        <f>T("   Afrique du Sud")</f>
        <v xml:space="preserve">   Afrique du Sud</v>
      </c>
      <c r="C13398">
        <v>6617400</v>
      </c>
      <c r="D13398">
        <v>255</v>
      </c>
    </row>
    <row r="13399" spans="1:4" x14ac:dyDescent="0.25">
      <c r="A13399" t="str">
        <f>T("853080")</f>
        <v>853080</v>
      </c>
      <c r="B13399" t="str">
        <f>T("Appareils électriques de signalisation (autres que pour la transmission de messages), de sécurité, de contrôle ou de commande (autres que pour voies ferrées ou simil. et que les appareils mécaniques ou électromécaniques du n° 8608)")</f>
        <v>Appareils électriques de signalisation (autres que pour la transmission de messages), de sécurité, de contrôle ou de commande (autres que pour voies ferrées ou simil. et que les appareils mécaniques ou électromécaniques du n° 8608)</v>
      </c>
    </row>
    <row r="13400" spans="1:4" x14ac:dyDescent="0.25">
      <c r="A13400" t="str">
        <f>T("   ZZZ_Monde")</f>
        <v xml:space="preserve">   ZZZ_Monde</v>
      </c>
      <c r="B13400" t="str">
        <f>T("   ZZZ_Monde")</f>
        <v xml:space="preserve">   ZZZ_Monde</v>
      </c>
      <c r="C13400">
        <v>3127460</v>
      </c>
      <c r="D13400">
        <v>174</v>
      </c>
    </row>
    <row r="13401" spans="1:4" x14ac:dyDescent="0.25">
      <c r="A13401" t="str">
        <f>T("   FR")</f>
        <v xml:space="preserve">   FR</v>
      </c>
      <c r="B13401" t="str">
        <f>T("   France")</f>
        <v xml:space="preserve">   France</v>
      </c>
      <c r="C13401">
        <v>1830489</v>
      </c>
      <c r="D13401">
        <v>3</v>
      </c>
    </row>
    <row r="13402" spans="1:4" x14ac:dyDescent="0.25">
      <c r="A13402" t="str">
        <f>T("   NL")</f>
        <v xml:space="preserve">   NL</v>
      </c>
      <c r="B13402" t="str">
        <f>T("   Pays-bas")</f>
        <v xml:space="preserve">   Pays-bas</v>
      </c>
      <c r="C13402">
        <v>1296971</v>
      </c>
      <c r="D13402">
        <v>171</v>
      </c>
    </row>
    <row r="13403" spans="1:4" x14ac:dyDescent="0.25">
      <c r="A13403" t="str">
        <f>T("853110")</f>
        <v>853110</v>
      </c>
      <c r="B13403" t="str">
        <f>T("Avertisseurs électriques pour la protection contre le vol ou l'incendie et appareils simil.")</f>
        <v>Avertisseurs électriques pour la protection contre le vol ou l'incendie et appareils simil.</v>
      </c>
    </row>
    <row r="13404" spans="1:4" x14ac:dyDescent="0.25">
      <c r="A13404" t="str">
        <f>T("   ZZZ_Monde")</f>
        <v xml:space="preserve">   ZZZ_Monde</v>
      </c>
      <c r="B13404" t="str">
        <f>T("   ZZZ_Monde")</f>
        <v xml:space="preserve">   ZZZ_Monde</v>
      </c>
      <c r="C13404">
        <v>4908699</v>
      </c>
      <c r="D13404">
        <v>170.49</v>
      </c>
    </row>
    <row r="13405" spans="1:4" x14ac:dyDescent="0.25">
      <c r="A13405" t="str">
        <f>T("   FR")</f>
        <v xml:space="preserve">   FR</v>
      </c>
      <c r="B13405" t="str">
        <f>T("   France")</f>
        <v xml:space="preserve">   France</v>
      </c>
      <c r="C13405">
        <v>4908699</v>
      </c>
      <c r="D13405">
        <v>170.49</v>
      </c>
    </row>
    <row r="13406" spans="1:4" x14ac:dyDescent="0.25">
      <c r="A13406" t="str">
        <f>T("853120")</f>
        <v>853120</v>
      </c>
      <c r="B13406" t="str">
        <f>T("Panneaux indicateurs avec dispositifs à cristaux liquides [LCD] ou à diodes émettrices de lumière [LED] (autres que pour les véhicules automobiles, les bicyclettes ou les voies de communication)")</f>
        <v>Panneaux indicateurs avec dispositifs à cristaux liquides [LCD] ou à diodes émettrices de lumière [LED] (autres que pour les véhicules automobiles, les bicyclettes ou les voies de communication)</v>
      </c>
    </row>
    <row r="13407" spans="1:4" x14ac:dyDescent="0.25">
      <c r="A13407" t="str">
        <f>T("   ZZZ_Monde")</f>
        <v xml:space="preserve">   ZZZ_Monde</v>
      </c>
      <c r="B13407" t="str">
        <f>T("   ZZZ_Monde")</f>
        <v xml:space="preserve">   ZZZ_Monde</v>
      </c>
      <c r="C13407">
        <v>584762</v>
      </c>
      <c r="D13407">
        <v>546</v>
      </c>
    </row>
    <row r="13408" spans="1:4" x14ac:dyDescent="0.25">
      <c r="A13408" t="str">
        <f>T("   AF")</f>
        <v xml:space="preserve">   AF</v>
      </c>
      <c r="B13408" t="str">
        <f>T("   Afghanistan")</f>
        <v xml:space="preserve">   Afghanistan</v>
      </c>
      <c r="C13408">
        <v>240351</v>
      </c>
      <c r="D13408">
        <v>67</v>
      </c>
    </row>
    <row r="13409" spans="1:4" x14ac:dyDescent="0.25">
      <c r="A13409" t="str">
        <f>T("   CN")</f>
        <v xml:space="preserve">   CN</v>
      </c>
      <c r="B13409" t="str">
        <f>T("   Chine")</f>
        <v xml:space="preserve">   Chine</v>
      </c>
      <c r="C13409">
        <v>44411</v>
      </c>
      <c r="D13409">
        <v>229</v>
      </c>
    </row>
    <row r="13410" spans="1:4" x14ac:dyDescent="0.25">
      <c r="A13410" t="str">
        <f>T("   HK")</f>
        <v xml:space="preserve">   HK</v>
      </c>
      <c r="B13410" t="str">
        <f>T("   Hong-Kong")</f>
        <v xml:space="preserve">   Hong-Kong</v>
      </c>
      <c r="C13410">
        <v>300000</v>
      </c>
      <c r="D13410">
        <v>250</v>
      </c>
    </row>
    <row r="13411" spans="1:4" x14ac:dyDescent="0.25">
      <c r="A13411" t="str">
        <f>T("853180")</f>
        <v>853180</v>
      </c>
      <c r="B13411" t="str">
        <f>T("Appareils électriques de signalisation acoustique ou visuelle (autres que panneaux indicateurs avec dispositifs à cristaux liquides ou à diodes émettrices de lumière, avertisseurs électriques pour la protection contre le vol ou l'incendie et appareils sim")</f>
        <v>Appareils électriques de signalisation acoustique ou visuelle (autres que panneaux indicateurs avec dispositifs à cristaux liquides ou à diodes émettrices de lumière, avertisseurs électriques pour la protection contre le vol ou l'incendie et appareils sim</v>
      </c>
    </row>
    <row r="13412" spans="1:4" x14ac:dyDescent="0.25">
      <c r="A13412" t="str">
        <f>T("   ZZZ_Monde")</f>
        <v xml:space="preserve">   ZZZ_Monde</v>
      </c>
      <c r="B13412" t="str">
        <f>T("   ZZZ_Monde")</f>
        <v xml:space="preserve">   ZZZ_Monde</v>
      </c>
      <c r="C13412">
        <v>17704481</v>
      </c>
      <c r="D13412">
        <v>9407</v>
      </c>
    </row>
    <row r="13413" spans="1:4" x14ac:dyDescent="0.25">
      <c r="A13413" t="str">
        <f>T("   AF")</f>
        <v xml:space="preserve">   AF</v>
      </c>
      <c r="B13413" t="str">
        <f>T("   Afghanistan")</f>
        <v xml:space="preserve">   Afghanistan</v>
      </c>
      <c r="C13413">
        <v>97370</v>
      </c>
      <c r="D13413">
        <v>4</v>
      </c>
    </row>
    <row r="13414" spans="1:4" x14ac:dyDescent="0.25">
      <c r="A13414" t="str">
        <f>T("   CN")</f>
        <v xml:space="preserve">   CN</v>
      </c>
      <c r="B13414" t="str">
        <f>T("   Chine")</f>
        <v xml:space="preserve">   Chine</v>
      </c>
      <c r="C13414">
        <v>4917012</v>
      </c>
      <c r="D13414">
        <v>7314</v>
      </c>
    </row>
    <row r="13415" spans="1:4" x14ac:dyDescent="0.25">
      <c r="A13415" t="str">
        <f>T("   FR")</f>
        <v xml:space="preserve">   FR</v>
      </c>
      <c r="B13415" t="str">
        <f>T("   France")</f>
        <v xml:space="preserve">   France</v>
      </c>
      <c r="C13415">
        <v>7802047</v>
      </c>
      <c r="D13415">
        <v>1809</v>
      </c>
    </row>
    <row r="13416" spans="1:4" x14ac:dyDescent="0.25">
      <c r="A13416" t="str">
        <f>T("   LB")</f>
        <v xml:space="preserve">   LB</v>
      </c>
      <c r="B13416" t="str">
        <f>T("   Liban")</f>
        <v xml:space="preserve">   Liban</v>
      </c>
      <c r="C13416">
        <v>14860</v>
      </c>
      <c r="D13416">
        <v>125</v>
      </c>
    </row>
    <row r="13417" spans="1:4" x14ac:dyDescent="0.25">
      <c r="A13417" t="str">
        <f>T("   US")</f>
        <v xml:space="preserve">   US</v>
      </c>
      <c r="B13417" t="str">
        <f>T("   Etats-Unis")</f>
        <v xml:space="preserve">   Etats-Unis</v>
      </c>
      <c r="C13417">
        <v>4873192</v>
      </c>
      <c r="D13417">
        <v>155</v>
      </c>
    </row>
    <row r="13418" spans="1:4" x14ac:dyDescent="0.25">
      <c r="A13418" t="str">
        <f>T("853210")</f>
        <v>853210</v>
      </c>
      <c r="B13418" t="str">
        <f>T("Condensateurs électriques fixes conçus pour les réseaux électriques de 50/60 Hz et capables d'absorber une puissance réactive &gt;= 0,5 kvar [condensateurs de puissance]")</f>
        <v>Condensateurs électriques fixes conçus pour les réseaux électriques de 50/60 Hz et capables d'absorber une puissance réactive &gt;= 0,5 kvar [condensateurs de puissance]</v>
      </c>
    </row>
    <row r="13419" spans="1:4" x14ac:dyDescent="0.25">
      <c r="A13419" t="str">
        <f>T("   ZZZ_Monde")</f>
        <v xml:space="preserve">   ZZZ_Monde</v>
      </c>
      <c r="B13419" t="str">
        <f>T("   ZZZ_Monde")</f>
        <v xml:space="preserve">   ZZZ_Monde</v>
      </c>
      <c r="C13419">
        <v>14619846</v>
      </c>
      <c r="D13419">
        <v>765</v>
      </c>
    </row>
    <row r="13420" spans="1:4" x14ac:dyDescent="0.25">
      <c r="A13420" t="str">
        <f>T("   FR")</f>
        <v xml:space="preserve">   FR</v>
      </c>
      <c r="B13420" t="str">
        <f>T("   France")</f>
        <v xml:space="preserve">   France</v>
      </c>
      <c r="C13420">
        <v>10932741</v>
      </c>
      <c r="D13420">
        <v>475</v>
      </c>
    </row>
    <row r="13421" spans="1:4" x14ac:dyDescent="0.25">
      <c r="A13421" t="str">
        <f>T("   JP")</f>
        <v xml:space="preserve">   JP</v>
      </c>
      <c r="B13421" t="str">
        <f>T("   Japon")</f>
        <v xml:space="preserve">   Japon</v>
      </c>
      <c r="C13421">
        <v>3687105</v>
      </c>
      <c r="D13421">
        <v>290</v>
      </c>
    </row>
    <row r="13422" spans="1:4" x14ac:dyDescent="0.25">
      <c r="A13422" t="str">
        <f>T("853229")</f>
        <v>853229</v>
      </c>
      <c r="B13422" t="str">
        <f>T("Condensateurs fixes (autres que condensateurs au tantale, condensateurs électrolytiques à l'aluminium, condensateurs diélectriques en céramique, en papier et en matières plastiques et condensateurs de puissance)")</f>
        <v>Condensateurs fixes (autres que condensateurs au tantale, condensateurs électrolytiques à l'aluminium, condensateurs diélectriques en céramique, en papier et en matières plastiques et condensateurs de puissance)</v>
      </c>
    </row>
    <row r="13423" spans="1:4" x14ac:dyDescent="0.25">
      <c r="A13423" t="str">
        <f>T("   ZZZ_Monde")</f>
        <v xml:space="preserve">   ZZZ_Monde</v>
      </c>
      <c r="B13423" t="str">
        <f>T("   ZZZ_Monde")</f>
        <v xml:space="preserve">   ZZZ_Monde</v>
      </c>
      <c r="C13423">
        <v>415273</v>
      </c>
      <c r="D13423">
        <v>126</v>
      </c>
    </row>
    <row r="13424" spans="1:4" x14ac:dyDescent="0.25">
      <c r="A13424" t="str">
        <f>T("   CI")</f>
        <v xml:space="preserve">   CI</v>
      </c>
      <c r="B13424" t="str">
        <f>T("   Côte d'Ivoire")</f>
        <v xml:space="preserve">   Côte d'Ivoire</v>
      </c>
      <c r="C13424">
        <v>367338</v>
      </c>
      <c r="D13424">
        <v>14</v>
      </c>
    </row>
    <row r="13425" spans="1:4" x14ac:dyDescent="0.25">
      <c r="A13425" t="str">
        <f>T("   CN")</f>
        <v xml:space="preserve">   CN</v>
      </c>
      <c r="B13425" t="str">
        <f>T("   Chine")</f>
        <v xml:space="preserve">   Chine</v>
      </c>
      <c r="C13425">
        <v>47935</v>
      </c>
      <c r="D13425">
        <v>112</v>
      </c>
    </row>
    <row r="13426" spans="1:4" x14ac:dyDescent="0.25">
      <c r="A13426" t="str">
        <f>T("853230")</f>
        <v>853230</v>
      </c>
      <c r="B13426" t="str">
        <f>T("Condensateurs électriques variables ou ajustables")</f>
        <v>Condensateurs électriques variables ou ajustables</v>
      </c>
    </row>
    <row r="13427" spans="1:4" x14ac:dyDescent="0.25">
      <c r="A13427" t="str">
        <f>T("   ZZZ_Monde")</f>
        <v xml:space="preserve">   ZZZ_Monde</v>
      </c>
      <c r="B13427" t="str">
        <f>T("   ZZZ_Monde")</f>
        <v xml:space="preserve">   ZZZ_Monde</v>
      </c>
      <c r="C13427">
        <v>1344621</v>
      </c>
      <c r="D13427">
        <v>90</v>
      </c>
    </row>
    <row r="13428" spans="1:4" x14ac:dyDescent="0.25">
      <c r="A13428" t="str">
        <f>T("   FR")</f>
        <v xml:space="preserve">   FR</v>
      </c>
      <c r="B13428" t="str">
        <f>T("   France")</f>
        <v xml:space="preserve">   France</v>
      </c>
      <c r="C13428">
        <v>1341438</v>
      </c>
      <c r="D13428">
        <v>89</v>
      </c>
    </row>
    <row r="13429" spans="1:4" x14ac:dyDescent="0.25">
      <c r="A13429" t="str">
        <f>T("   LB")</f>
        <v xml:space="preserve">   LB</v>
      </c>
      <c r="B13429" t="str">
        <f>T("   Liban")</f>
        <v xml:space="preserve">   Liban</v>
      </c>
      <c r="C13429">
        <v>3183</v>
      </c>
      <c r="D13429">
        <v>1</v>
      </c>
    </row>
    <row r="13430" spans="1:4" x14ac:dyDescent="0.25">
      <c r="A13430" t="str">
        <f>T("853329")</f>
        <v>853329</v>
      </c>
      <c r="B13430" t="str">
        <f>T("Résistances électriques fixes, pour une puissance &gt; 20 W (non chauffantes)")</f>
        <v>Résistances électriques fixes, pour une puissance &gt; 20 W (non chauffantes)</v>
      </c>
    </row>
    <row r="13431" spans="1:4" x14ac:dyDescent="0.25">
      <c r="A13431" t="str">
        <f>T("   ZZZ_Monde")</f>
        <v xml:space="preserve">   ZZZ_Monde</v>
      </c>
      <c r="B13431" t="str">
        <f>T("   ZZZ_Monde")</f>
        <v xml:space="preserve">   ZZZ_Monde</v>
      </c>
      <c r="C13431">
        <v>67826</v>
      </c>
      <c r="D13431">
        <v>1.3</v>
      </c>
    </row>
    <row r="13432" spans="1:4" x14ac:dyDescent="0.25">
      <c r="A13432" t="str">
        <f>T("   BE")</f>
        <v xml:space="preserve">   BE</v>
      </c>
      <c r="B13432" t="str">
        <f>T("   Belgique")</f>
        <v xml:space="preserve">   Belgique</v>
      </c>
      <c r="C13432">
        <v>67826</v>
      </c>
      <c r="D13432">
        <v>1.3</v>
      </c>
    </row>
    <row r="13433" spans="1:4" x14ac:dyDescent="0.25">
      <c r="A13433" t="str">
        <f>T("853339")</f>
        <v>853339</v>
      </c>
      <c r="B13433" t="str">
        <f>T("Résistances électriques variables 'y compris les rhéostats et les potentiomètres', bobinées, pour une puissance &gt; 20 W (non chauffantes)")</f>
        <v>Résistances électriques variables 'y compris les rhéostats et les potentiomètres', bobinées, pour une puissance &gt; 20 W (non chauffantes)</v>
      </c>
    </row>
    <row r="13434" spans="1:4" x14ac:dyDescent="0.25">
      <c r="A13434" t="str">
        <f>T("   ZZZ_Monde")</f>
        <v xml:space="preserve">   ZZZ_Monde</v>
      </c>
      <c r="B13434" t="str">
        <f>T("   ZZZ_Monde")</f>
        <v xml:space="preserve">   ZZZ_Monde</v>
      </c>
      <c r="C13434">
        <v>3073105</v>
      </c>
      <c r="D13434">
        <v>191</v>
      </c>
    </row>
    <row r="13435" spans="1:4" x14ac:dyDescent="0.25">
      <c r="A13435" t="str">
        <f>T("   CI")</f>
        <v xml:space="preserve">   CI</v>
      </c>
      <c r="B13435" t="str">
        <f>T("   Côte d'Ivoire")</f>
        <v xml:space="preserve">   Côte d'Ivoire</v>
      </c>
      <c r="C13435">
        <v>2873105</v>
      </c>
      <c r="D13435">
        <v>78</v>
      </c>
    </row>
    <row r="13436" spans="1:4" x14ac:dyDescent="0.25">
      <c r="A13436" t="str">
        <f>T("   FR")</f>
        <v xml:space="preserve">   FR</v>
      </c>
      <c r="B13436" t="str">
        <f>T("   France")</f>
        <v xml:space="preserve">   France</v>
      </c>
      <c r="C13436">
        <v>200000</v>
      </c>
      <c r="D13436">
        <v>113</v>
      </c>
    </row>
    <row r="13437" spans="1:4" x14ac:dyDescent="0.25">
      <c r="A13437" t="str">
        <f>T("853340")</f>
        <v>853340</v>
      </c>
      <c r="B13437" t="str">
        <f>T("RÉSISTANCES ÉLECTRIQUES VARIABLES 'Y.C. LES RHÉOSTATS ET LES POTENTIOMÈTRES' (AUTRES QUE RÉSISTANCES VARIABLES BOBINÉES ET RÉSISTANCES CHAUFFANTES)")</f>
        <v>RÉSISTANCES ÉLECTRIQUES VARIABLES 'Y.C. LES RHÉOSTATS ET LES POTENTIOMÈTRES' (AUTRES QUE RÉSISTANCES VARIABLES BOBINÉES ET RÉSISTANCES CHAUFFANTES)</v>
      </c>
    </row>
    <row r="13438" spans="1:4" x14ac:dyDescent="0.25">
      <c r="A13438" t="str">
        <f>T("   ZZZ_Monde")</f>
        <v xml:space="preserve">   ZZZ_Monde</v>
      </c>
      <c r="B13438" t="str">
        <f>T("   ZZZ_Monde")</f>
        <v xml:space="preserve">   ZZZ_Monde</v>
      </c>
      <c r="C13438">
        <v>759898</v>
      </c>
      <c r="D13438">
        <v>23.3</v>
      </c>
    </row>
    <row r="13439" spans="1:4" x14ac:dyDescent="0.25">
      <c r="A13439" t="str">
        <f>T("   FR")</f>
        <v xml:space="preserve">   FR</v>
      </c>
      <c r="B13439" t="str">
        <f>T("   France")</f>
        <v xml:space="preserve">   France</v>
      </c>
      <c r="C13439">
        <v>223807</v>
      </c>
      <c r="D13439">
        <v>21</v>
      </c>
    </row>
    <row r="13440" spans="1:4" x14ac:dyDescent="0.25">
      <c r="A13440" t="str">
        <f>T("   US")</f>
        <v xml:space="preserve">   US</v>
      </c>
      <c r="B13440" t="str">
        <f>T("   Etats-Unis")</f>
        <v xml:space="preserve">   Etats-Unis</v>
      </c>
      <c r="C13440">
        <v>536091</v>
      </c>
      <c r="D13440">
        <v>2.2999999999999998</v>
      </c>
    </row>
    <row r="13441" spans="1:4" x14ac:dyDescent="0.25">
      <c r="A13441" t="str">
        <f>T("853390")</f>
        <v>853390</v>
      </c>
      <c r="B13441" t="str">
        <f>T("Parties de résistances électriques, y.c. de rhéostats et de potentiomètres, n.d.a.")</f>
        <v>Parties de résistances électriques, y.c. de rhéostats et de potentiomètres, n.d.a.</v>
      </c>
    </row>
    <row r="13442" spans="1:4" x14ac:dyDescent="0.25">
      <c r="A13442" t="str">
        <f>T("   ZZZ_Monde")</f>
        <v xml:space="preserve">   ZZZ_Monde</v>
      </c>
      <c r="B13442" t="str">
        <f>T("   ZZZ_Monde")</f>
        <v xml:space="preserve">   ZZZ_Monde</v>
      </c>
      <c r="C13442">
        <v>18120895</v>
      </c>
      <c r="D13442">
        <v>880</v>
      </c>
    </row>
    <row r="13443" spans="1:4" x14ac:dyDescent="0.25">
      <c r="A13443" t="str">
        <f>T("   FR")</f>
        <v xml:space="preserve">   FR</v>
      </c>
      <c r="B13443" t="str">
        <f>T("   France")</f>
        <v xml:space="preserve">   France</v>
      </c>
      <c r="C13443">
        <v>18120895</v>
      </c>
      <c r="D13443">
        <v>880</v>
      </c>
    </row>
    <row r="13444" spans="1:4" x14ac:dyDescent="0.25">
      <c r="A13444" t="str">
        <f>T("853400")</f>
        <v>853400</v>
      </c>
      <c r="B13444" t="str">
        <f>T("Circuits imprimés")</f>
        <v>Circuits imprimés</v>
      </c>
    </row>
    <row r="13445" spans="1:4" x14ac:dyDescent="0.25">
      <c r="A13445" t="str">
        <f>T("   ZZZ_Monde")</f>
        <v xml:space="preserve">   ZZZ_Monde</v>
      </c>
      <c r="B13445" t="str">
        <f>T("   ZZZ_Monde")</f>
        <v xml:space="preserve">   ZZZ_Monde</v>
      </c>
      <c r="C13445">
        <v>342661</v>
      </c>
      <c r="D13445">
        <v>4.5</v>
      </c>
    </row>
    <row r="13446" spans="1:4" x14ac:dyDescent="0.25">
      <c r="A13446" t="str">
        <f>T("   FR")</f>
        <v xml:space="preserve">   FR</v>
      </c>
      <c r="B13446" t="str">
        <f>T("   France")</f>
        <v xml:space="preserve">   France</v>
      </c>
      <c r="C13446">
        <v>102986</v>
      </c>
      <c r="D13446">
        <v>1</v>
      </c>
    </row>
    <row r="13447" spans="1:4" x14ac:dyDescent="0.25">
      <c r="A13447" t="str">
        <f>T("   SE")</f>
        <v xml:space="preserve">   SE</v>
      </c>
      <c r="B13447" t="str">
        <f>T("   Suède")</f>
        <v xml:space="preserve">   Suède</v>
      </c>
      <c r="C13447">
        <v>239675</v>
      </c>
      <c r="D13447">
        <v>3.5</v>
      </c>
    </row>
    <row r="13448" spans="1:4" x14ac:dyDescent="0.25">
      <c r="A13448" t="str">
        <f>T("853510")</f>
        <v>853510</v>
      </c>
      <c r="B13448" t="str">
        <f>T("Fusibles et coupe-circuit à fusibles, pour une tension &gt; 1.000 V")</f>
        <v>Fusibles et coupe-circuit à fusibles, pour une tension &gt; 1.000 V</v>
      </c>
    </row>
    <row r="13449" spans="1:4" x14ac:dyDescent="0.25">
      <c r="A13449" t="str">
        <f>T("   ZZZ_Monde")</f>
        <v xml:space="preserve">   ZZZ_Monde</v>
      </c>
      <c r="B13449" t="str">
        <f>T("   ZZZ_Monde")</f>
        <v xml:space="preserve">   ZZZ_Monde</v>
      </c>
      <c r="C13449">
        <v>447384</v>
      </c>
      <c r="D13449">
        <v>133</v>
      </c>
    </row>
    <row r="13450" spans="1:4" x14ac:dyDescent="0.25">
      <c r="A13450" t="str">
        <f>T("   DE")</f>
        <v xml:space="preserve">   DE</v>
      </c>
      <c r="B13450" t="str">
        <f>T("   Allemagne")</f>
        <v xml:space="preserve">   Allemagne</v>
      </c>
      <c r="C13450">
        <v>377177</v>
      </c>
      <c r="D13450">
        <v>108</v>
      </c>
    </row>
    <row r="13451" spans="1:4" x14ac:dyDescent="0.25">
      <c r="A13451" t="str">
        <f>T("   JP")</f>
        <v xml:space="preserve">   JP</v>
      </c>
      <c r="B13451" t="str">
        <f>T("   Japon")</f>
        <v xml:space="preserve">   Japon</v>
      </c>
      <c r="C13451">
        <v>70207</v>
      </c>
      <c r="D13451">
        <v>25</v>
      </c>
    </row>
    <row r="13452" spans="1:4" x14ac:dyDescent="0.25">
      <c r="A13452" t="str">
        <f>T("853529")</f>
        <v>853529</v>
      </c>
      <c r="B13452" t="str">
        <f>T("Disjoncteurs, pour une tension &gt;= 72,5 kV")</f>
        <v>Disjoncteurs, pour une tension &gt;= 72,5 kV</v>
      </c>
    </row>
    <row r="13453" spans="1:4" x14ac:dyDescent="0.25">
      <c r="A13453" t="str">
        <f>T("   ZZZ_Monde")</f>
        <v xml:space="preserve">   ZZZ_Monde</v>
      </c>
      <c r="B13453" t="str">
        <f>T("   ZZZ_Monde")</f>
        <v xml:space="preserve">   ZZZ_Monde</v>
      </c>
      <c r="C13453">
        <v>1061924</v>
      </c>
      <c r="D13453">
        <v>1560</v>
      </c>
    </row>
    <row r="13454" spans="1:4" x14ac:dyDescent="0.25">
      <c r="A13454" t="str">
        <f>T("   CN")</f>
        <v xml:space="preserve">   CN</v>
      </c>
      <c r="B13454" t="str">
        <f>T("   Chine")</f>
        <v xml:space="preserve">   Chine</v>
      </c>
      <c r="C13454">
        <v>961562</v>
      </c>
      <c r="D13454">
        <v>1550</v>
      </c>
    </row>
    <row r="13455" spans="1:4" x14ac:dyDescent="0.25">
      <c r="A13455" t="str">
        <f>T("   FR")</f>
        <v xml:space="preserve">   FR</v>
      </c>
      <c r="B13455" t="str">
        <f>T("   France")</f>
        <v xml:space="preserve">   France</v>
      </c>
      <c r="C13455">
        <v>100362</v>
      </c>
      <c r="D13455">
        <v>10</v>
      </c>
    </row>
    <row r="13456" spans="1:4" x14ac:dyDescent="0.25">
      <c r="A13456" t="str">
        <f>T("853530")</f>
        <v>853530</v>
      </c>
      <c r="B13456" t="str">
        <f>T("Sectionneurs et interrupteurs, pour une tension &gt; 1.000 V")</f>
        <v>Sectionneurs et interrupteurs, pour une tension &gt; 1.000 V</v>
      </c>
    </row>
    <row r="13457" spans="1:4" x14ac:dyDescent="0.25">
      <c r="A13457" t="str">
        <f>T("   ZZZ_Monde")</f>
        <v xml:space="preserve">   ZZZ_Monde</v>
      </c>
      <c r="B13457" t="str">
        <f>T("   ZZZ_Monde")</f>
        <v xml:space="preserve">   ZZZ_Monde</v>
      </c>
      <c r="C13457">
        <v>10325775</v>
      </c>
      <c r="D13457">
        <v>1569</v>
      </c>
    </row>
    <row r="13458" spans="1:4" x14ac:dyDescent="0.25">
      <c r="A13458" t="str">
        <f>T("   FR")</f>
        <v xml:space="preserve">   FR</v>
      </c>
      <c r="B13458" t="str">
        <f>T("   France")</f>
        <v xml:space="preserve">   France</v>
      </c>
      <c r="C13458">
        <v>10325775</v>
      </c>
      <c r="D13458">
        <v>1569</v>
      </c>
    </row>
    <row r="13459" spans="1:4" x14ac:dyDescent="0.25">
      <c r="A13459" t="str">
        <f>T("853540")</f>
        <v>853540</v>
      </c>
      <c r="B13459" t="str">
        <f>T("Parafoudres, limiteurs de tension et étaleurs d'ondes, pour une tension &gt; 1.000 V")</f>
        <v>Parafoudres, limiteurs de tension et étaleurs d'ondes, pour une tension &gt; 1.000 V</v>
      </c>
    </row>
    <row r="13460" spans="1:4" x14ac:dyDescent="0.25">
      <c r="A13460" t="str">
        <f>T("   ZZZ_Monde")</f>
        <v xml:space="preserve">   ZZZ_Monde</v>
      </c>
      <c r="B13460" t="str">
        <f>T("   ZZZ_Monde")</f>
        <v xml:space="preserve">   ZZZ_Monde</v>
      </c>
      <c r="C13460">
        <v>41555144</v>
      </c>
      <c r="D13460">
        <v>6100.29</v>
      </c>
    </row>
    <row r="13461" spans="1:4" x14ac:dyDescent="0.25">
      <c r="A13461" t="str">
        <f>T("   CI")</f>
        <v xml:space="preserve">   CI</v>
      </c>
      <c r="B13461" t="str">
        <f>T("   Côte d'Ivoire")</f>
        <v xml:space="preserve">   Côte d'Ivoire</v>
      </c>
      <c r="C13461">
        <v>4860690</v>
      </c>
      <c r="D13461">
        <v>384</v>
      </c>
    </row>
    <row r="13462" spans="1:4" x14ac:dyDescent="0.25">
      <c r="A13462" t="str">
        <f>T("   CN")</f>
        <v xml:space="preserve">   CN</v>
      </c>
      <c r="B13462" t="str">
        <f>T("   Chine")</f>
        <v xml:space="preserve">   Chine</v>
      </c>
      <c r="C13462">
        <v>1384363</v>
      </c>
      <c r="D13462">
        <v>4237</v>
      </c>
    </row>
    <row r="13463" spans="1:4" x14ac:dyDescent="0.25">
      <c r="A13463" t="str">
        <f>T("   FR")</f>
        <v xml:space="preserve">   FR</v>
      </c>
      <c r="B13463" t="str">
        <f>T("   France")</f>
        <v xml:space="preserve">   France</v>
      </c>
      <c r="C13463">
        <v>33829986</v>
      </c>
      <c r="D13463">
        <v>1470.29</v>
      </c>
    </row>
    <row r="13464" spans="1:4" x14ac:dyDescent="0.25">
      <c r="A13464" t="str">
        <f>T("   TV")</f>
        <v xml:space="preserve">   TV</v>
      </c>
      <c r="B13464" t="str">
        <f>T("   Tuvalu")</f>
        <v xml:space="preserve">   Tuvalu</v>
      </c>
      <c r="C13464">
        <v>1480105</v>
      </c>
      <c r="D13464">
        <v>9</v>
      </c>
    </row>
    <row r="13465" spans="1:4" x14ac:dyDescent="0.25">
      <c r="A13465" t="str">
        <f>T("853590")</f>
        <v>853590</v>
      </c>
      <c r="B13465" t="str">
        <f>T("Appareils électriques pour la coupure, le sectionnement, la protection, le branchement, le raccordement ou la connexion des circuits électriques, pour une tension &gt; 1.000 V (autres que fusibles et coupe-circuit, disjoncteurs, sectionneurs, interrupteurs,")</f>
        <v>Appareils électriques pour la coupure, le sectionnement, la protection, le branchement, le raccordement ou la connexion des circuits électriques, pour une tension &gt; 1.000 V (autres que fusibles et coupe-circuit, disjoncteurs, sectionneurs, interrupteurs,</v>
      </c>
    </row>
    <row r="13466" spans="1:4" x14ac:dyDescent="0.25">
      <c r="A13466" t="str">
        <f>T("   ZZZ_Monde")</f>
        <v xml:space="preserve">   ZZZ_Monde</v>
      </c>
      <c r="B13466" t="str">
        <f>T("   ZZZ_Monde")</f>
        <v xml:space="preserve">   ZZZ_Monde</v>
      </c>
      <c r="C13466">
        <v>190608964</v>
      </c>
      <c r="D13466">
        <v>107061</v>
      </c>
    </row>
    <row r="13467" spans="1:4" x14ac:dyDescent="0.25">
      <c r="A13467" t="str">
        <f>T("   CN")</f>
        <v xml:space="preserve">   CN</v>
      </c>
      <c r="B13467" t="str">
        <f>T("   Chine")</f>
        <v xml:space="preserve">   Chine</v>
      </c>
      <c r="C13467">
        <v>33823298</v>
      </c>
      <c r="D13467">
        <v>28600</v>
      </c>
    </row>
    <row r="13468" spans="1:4" x14ac:dyDescent="0.25">
      <c r="A13468" t="str">
        <f>T("   FR")</f>
        <v xml:space="preserve">   FR</v>
      </c>
      <c r="B13468" t="str">
        <f>T("   France")</f>
        <v xml:space="preserve">   France</v>
      </c>
      <c r="C13468">
        <v>9719522</v>
      </c>
      <c r="D13468">
        <v>2606</v>
      </c>
    </row>
    <row r="13469" spans="1:4" x14ac:dyDescent="0.25">
      <c r="A13469" t="str">
        <f>T("   GB")</f>
        <v xml:space="preserve">   GB</v>
      </c>
      <c r="B13469" t="str">
        <f>T("   Royaume-Uni")</f>
        <v xml:space="preserve">   Royaume-Uni</v>
      </c>
      <c r="C13469">
        <v>708671</v>
      </c>
      <c r="D13469">
        <v>1977</v>
      </c>
    </row>
    <row r="13470" spans="1:4" x14ac:dyDescent="0.25">
      <c r="A13470" t="str">
        <f>T("   GH")</f>
        <v xml:space="preserve">   GH</v>
      </c>
      <c r="B13470" t="str">
        <f>T("   Ghana")</f>
        <v xml:space="preserve">   Ghana</v>
      </c>
      <c r="C13470">
        <v>1500000</v>
      </c>
      <c r="D13470">
        <v>6795</v>
      </c>
    </row>
    <row r="13471" spans="1:4" x14ac:dyDescent="0.25">
      <c r="A13471" t="str">
        <f>T("   IN")</f>
        <v xml:space="preserve">   IN</v>
      </c>
      <c r="B13471" t="str">
        <f>T("   Inde")</f>
        <v xml:space="preserve">   Inde</v>
      </c>
      <c r="C13471">
        <v>138215522</v>
      </c>
      <c r="D13471">
        <v>66828</v>
      </c>
    </row>
    <row r="13472" spans="1:4" x14ac:dyDescent="0.25">
      <c r="A13472" t="str">
        <f>T("   MA")</f>
        <v xml:space="preserve">   MA</v>
      </c>
      <c r="B13472" t="str">
        <f>T("   Maroc")</f>
        <v xml:space="preserve">   Maroc</v>
      </c>
      <c r="C13472">
        <v>5205698</v>
      </c>
      <c r="D13472">
        <v>55</v>
      </c>
    </row>
    <row r="13473" spans="1:4" x14ac:dyDescent="0.25">
      <c r="A13473" t="str">
        <f>T("   TR")</f>
        <v xml:space="preserve">   TR</v>
      </c>
      <c r="B13473" t="str">
        <f>T("   Turquie")</f>
        <v xml:space="preserve">   Turquie</v>
      </c>
      <c r="C13473">
        <v>1436253</v>
      </c>
      <c r="D13473">
        <v>200</v>
      </c>
    </row>
    <row r="13474" spans="1:4" x14ac:dyDescent="0.25">
      <c r="A13474" t="str">
        <f>T("853610")</f>
        <v>853610</v>
      </c>
      <c r="B13474" t="str">
        <f>T("Fusibles et coupe-circuit à fusibles, pour une tension &lt;= 1.000 V")</f>
        <v>Fusibles et coupe-circuit à fusibles, pour une tension &lt;= 1.000 V</v>
      </c>
    </row>
    <row r="13475" spans="1:4" x14ac:dyDescent="0.25">
      <c r="A13475" t="str">
        <f>T("   ZZZ_Monde")</f>
        <v xml:space="preserve">   ZZZ_Monde</v>
      </c>
      <c r="B13475" t="str">
        <f>T("   ZZZ_Monde")</f>
        <v xml:space="preserve">   ZZZ_Monde</v>
      </c>
      <c r="C13475">
        <v>40228418</v>
      </c>
      <c r="D13475">
        <v>3404</v>
      </c>
    </row>
    <row r="13476" spans="1:4" x14ac:dyDescent="0.25">
      <c r="A13476" t="str">
        <f>T("   CN")</f>
        <v xml:space="preserve">   CN</v>
      </c>
      <c r="B13476" t="str">
        <f>T("   Chine")</f>
        <v xml:space="preserve">   Chine</v>
      </c>
      <c r="C13476">
        <v>249921</v>
      </c>
      <c r="D13476">
        <v>486</v>
      </c>
    </row>
    <row r="13477" spans="1:4" x14ac:dyDescent="0.25">
      <c r="A13477" t="str">
        <f>T("   DE")</f>
        <v xml:space="preserve">   DE</v>
      </c>
      <c r="B13477" t="str">
        <f>T("   Allemagne")</f>
        <v xml:space="preserve">   Allemagne</v>
      </c>
      <c r="C13477">
        <v>15297587</v>
      </c>
      <c r="D13477">
        <v>750</v>
      </c>
    </row>
    <row r="13478" spans="1:4" x14ac:dyDescent="0.25">
      <c r="A13478" t="str">
        <f>T("   FI")</f>
        <v xml:space="preserve">   FI</v>
      </c>
      <c r="B13478" t="str">
        <f>T("   Finlande")</f>
        <v xml:space="preserve">   Finlande</v>
      </c>
      <c r="C13478">
        <v>2278293</v>
      </c>
      <c r="D13478">
        <v>48</v>
      </c>
    </row>
    <row r="13479" spans="1:4" x14ac:dyDescent="0.25">
      <c r="A13479" t="str">
        <f>T("   FR")</f>
        <v xml:space="preserve">   FR</v>
      </c>
      <c r="B13479" t="str">
        <f>T("   France")</f>
        <v xml:space="preserve">   France</v>
      </c>
      <c r="C13479">
        <v>21803887</v>
      </c>
      <c r="D13479">
        <v>1213</v>
      </c>
    </row>
    <row r="13480" spans="1:4" x14ac:dyDescent="0.25">
      <c r="A13480" t="str">
        <f>T("   JP")</f>
        <v xml:space="preserve">   JP</v>
      </c>
      <c r="B13480" t="str">
        <f>T("   Japon")</f>
        <v xml:space="preserve">   Japon</v>
      </c>
      <c r="C13480">
        <v>142032</v>
      </c>
      <c r="D13480">
        <v>11</v>
      </c>
    </row>
    <row r="13481" spans="1:4" x14ac:dyDescent="0.25">
      <c r="A13481" t="str">
        <f>T("   MA")</f>
        <v xml:space="preserve">   MA</v>
      </c>
      <c r="B13481" t="str">
        <f>T("   Maroc")</f>
        <v xml:space="preserve">   Maroc</v>
      </c>
      <c r="C13481">
        <v>196787</v>
      </c>
      <c r="D13481">
        <v>708</v>
      </c>
    </row>
    <row r="13482" spans="1:4" x14ac:dyDescent="0.25">
      <c r="A13482" t="str">
        <f>T("   PK")</f>
        <v xml:space="preserve">   PK</v>
      </c>
      <c r="B13482" t="str">
        <f>T("   Pakistan")</f>
        <v xml:space="preserve">   Pakistan</v>
      </c>
      <c r="C13482">
        <v>101853</v>
      </c>
      <c r="D13482">
        <v>31</v>
      </c>
    </row>
    <row r="13483" spans="1:4" x14ac:dyDescent="0.25">
      <c r="A13483" t="str">
        <f>T("   SE")</f>
        <v xml:space="preserve">   SE</v>
      </c>
      <c r="B13483" t="str">
        <f>T("   Suède")</f>
        <v xml:space="preserve">   Suède</v>
      </c>
      <c r="C13483">
        <v>59751</v>
      </c>
      <c r="D13483">
        <v>2</v>
      </c>
    </row>
    <row r="13484" spans="1:4" x14ac:dyDescent="0.25">
      <c r="A13484" t="str">
        <f>T("   TG")</f>
        <v xml:space="preserve">   TG</v>
      </c>
      <c r="B13484" t="str">
        <f>T("   Togo")</f>
        <v xml:space="preserve">   Togo</v>
      </c>
      <c r="C13484">
        <v>98307</v>
      </c>
      <c r="D13484">
        <v>155</v>
      </c>
    </row>
    <row r="13485" spans="1:4" x14ac:dyDescent="0.25">
      <c r="A13485" t="str">
        <f>T("853620")</f>
        <v>853620</v>
      </c>
      <c r="B13485" t="str">
        <f>T("Disjoncteurs, pour une tension &lt;= 1.000 V")</f>
        <v>Disjoncteurs, pour une tension &lt;= 1.000 V</v>
      </c>
    </row>
    <row r="13486" spans="1:4" x14ac:dyDescent="0.25">
      <c r="A13486" t="str">
        <f>T("   ZZZ_Monde")</f>
        <v xml:space="preserve">   ZZZ_Monde</v>
      </c>
      <c r="B13486" t="str">
        <f>T("   ZZZ_Monde")</f>
        <v xml:space="preserve">   ZZZ_Monde</v>
      </c>
      <c r="C13486">
        <v>195788448</v>
      </c>
      <c r="D13486">
        <v>49963.360000000001</v>
      </c>
    </row>
    <row r="13487" spans="1:4" x14ac:dyDescent="0.25">
      <c r="A13487" t="str">
        <f>T("   CI")</f>
        <v xml:space="preserve">   CI</v>
      </c>
      <c r="B13487" t="str">
        <f>T("   Côte d'Ivoire")</f>
        <v xml:space="preserve">   Côte d'Ivoire</v>
      </c>
      <c r="C13487">
        <v>14774850</v>
      </c>
      <c r="D13487">
        <v>382</v>
      </c>
    </row>
    <row r="13488" spans="1:4" x14ac:dyDescent="0.25">
      <c r="A13488" t="str">
        <f>T("   CN")</f>
        <v xml:space="preserve">   CN</v>
      </c>
      <c r="B13488" t="str">
        <f>T("   Chine")</f>
        <v xml:space="preserve">   Chine</v>
      </c>
      <c r="C13488">
        <v>4900518</v>
      </c>
      <c r="D13488">
        <v>12633</v>
      </c>
    </row>
    <row r="13489" spans="1:4" x14ac:dyDescent="0.25">
      <c r="A13489" t="str">
        <f>T("   DZ")</f>
        <v xml:space="preserve">   DZ</v>
      </c>
      <c r="B13489" t="str">
        <f>T("   Algérie")</f>
        <v xml:space="preserve">   Algérie</v>
      </c>
      <c r="C13489">
        <v>611355</v>
      </c>
      <c r="D13489">
        <v>675</v>
      </c>
    </row>
    <row r="13490" spans="1:4" x14ac:dyDescent="0.25">
      <c r="A13490" t="str">
        <f>T("   ES")</f>
        <v xml:space="preserve">   ES</v>
      </c>
      <c r="B13490" t="str">
        <f>T("   Espagne")</f>
        <v xml:space="preserve">   Espagne</v>
      </c>
      <c r="C13490">
        <v>697410</v>
      </c>
      <c r="D13490">
        <v>388.4</v>
      </c>
    </row>
    <row r="13491" spans="1:4" x14ac:dyDescent="0.25">
      <c r="A13491" t="str">
        <f>T("   FR")</f>
        <v xml:space="preserve">   FR</v>
      </c>
      <c r="B13491" t="str">
        <f>T("   France")</f>
        <v xml:space="preserve">   France</v>
      </c>
      <c r="C13491">
        <v>166060682</v>
      </c>
      <c r="D13491">
        <v>24990.959999999999</v>
      </c>
    </row>
    <row r="13492" spans="1:4" x14ac:dyDescent="0.25">
      <c r="A13492" t="str">
        <f>T("   HK")</f>
        <v xml:space="preserve">   HK</v>
      </c>
      <c r="B13492" t="str">
        <f>T("   Hong-Kong")</f>
        <v xml:space="preserve">   Hong-Kong</v>
      </c>
      <c r="C13492">
        <v>791196</v>
      </c>
      <c r="D13492">
        <v>1696</v>
      </c>
    </row>
    <row r="13493" spans="1:4" x14ac:dyDescent="0.25">
      <c r="A13493" t="str">
        <f>T("   MA")</f>
        <v xml:space="preserve">   MA</v>
      </c>
      <c r="B13493" t="str">
        <f>T("   Maroc")</f>
        <v xml:space="preserve">   Maroc</v>
      </c>
      <c r="C13493">
        <v>7719993</v>
      </c>
      <c r="D13493">
        <v>7417</v>
      </c>
    </row>
    <row r="13494" spans="1:4" x14ac:dyDescent="0.25">
      <c r="A13494" t="str">
        <f>T("   TG")</f>
        <v xml:space="preserve">   TG</v>
      </c>
      <c r="B13494" t="str">
        <f>T("   Togo")</f>
        <v xml:space="preserve">   Togo</v>
      </c>
      <c r="C13494">
        <v>232444</v>
      </c>
      <c r="D13494">
        <v>1781</v>
      </c>
    </row>
    <row r="13495" spans="1:4" x14ac:dyDescent="0.25">
      <c r="A13495" t="str">
        <f>T("853630")</f>
        <v>853630</v>
      </c>
      <c r="B13495" t="str">
        <f>T("APPAREILS POUR LA PROTECTION DES CIRCUITS ÉLECTRIQUES (SAUF FUSIBLES, COUPE-CIRCUIT À FUSIBLES ET DISJONCTEURS), POUR UNE TENSION &lt;= 1.000 V")</f>
        <v>APPAREILS POUR LA PROTECTION DES CIRCUITS ÉLECTRIQUES (SAUF FUSIBLES, COUPE-CIRCUIT À FUSIBLES ET DISJONCTEURS), POUR UNE TENSION &lt;= 1.000 V</v>
      </c>
    </row>
    <row r="13496" spans="1:4" x14ac:dyDescent="0.25">
      <c r="A13496" t="str">
        <f>T("   ZZZ_Monde")</f>
        <v xml:space="preserve">   ZZZ_Monde</v>
      </c>
      <c r="B13496" t="str">
        <f>T("   ZZZ_Monde")</f>
        <v xml:space="preserve">   ZZZ_Monde</v>
      </c>
      <c r="C13496">
        <v>68018612</v>
      </c>
      <c r="D13496">
        <v>4228.01</v>
      </c>
    </row>
    <row r="13497" spans="1:4" x14ac:dyDescent="0.25">
      <c r="A13497" t="str">
        <f>T("   BE")</f>
        <v xml:space="preserve">   BE</v>
      </c>
      <c r="B13497" t="str">
        <f>T("   Belgique")</f>
        <v xml:space="preserve">   Belgique</v>
      </c>
      <c r="C13497">
        <v>1634802</v>
      </c>
      <c r="D13497">
        <v>500</v>
      </c>
    </row>
    <row r="13498" spans="1:4" x14ac:dyDescent="0.25">
      <c r="A13498" t="str">
        <f>T("   DE")</f>
        <v xml:space="preserve">   DE</v>
      </c>
      <c r="B13498" t="str">
        <f>T("   Allemagne")</f>
        <v xml:space="preserve">   Allemagne</v>
      </c>
      <c r="C13498">
        <v>10767583</v>
      </c>
      <c r="D13498">
        <v>428</v>
      </c>
    </row>
    <row r="13499" spans="1:4" x14ac:dyDescent="0.25">
      <c r="A13499" t="str">
        <f>T("   ES")</f>
        <v xml:space="preserve">   ES</v>
      </c>
      <c r="B13499" t="str">
        <f>T("   Espagne")</f>
        <v xml:space="preserve">   Espagne</v>
      </c>
      <c r="C13499">
        <v>913853</v>
      </c>
      <c r="D13499">
        <v>3</v>
      </c>
    </row>
    <row r="13500" spans="1:4" x14ac:dyDescent="0.25">
      <c r="A13500" t="str">
        <f>T("   FR")</f>
        <v xml:space="preserve">   FR</v>
      </c>
      <c r="B13500" t="str">
        <f>T("   France")</f>
        <v xml:space="preserve">   France</v>
      </c>
      <c r="C13500">
        <v>54702374</v>
      </c>
      <c r="D13500">
        <v>3297.01</v>
      </c>
    </row>
    <row r="13501" spans="1:4" x14ac:dyDescent="0.25">
      <c r="A13501" t="str">
        <f>T("853641")</f>
        <v>853641</v>
      </c>
      <c r="B13501" t="str">
        <f>T("Relais pour une tension &lt;= 60 V")</f>
        <v>Relais pour une tension &lt;= 60 V</v>
      </c>
    </row>
    <row r="13502" spans="1:4" x14ac:dyDescent="0.25">
      <c r="A13502" t="str">
        <f>T("   ZZZ_Monde")</f>
        <v xml:space="preserve">   ZZZ_Monde</v>
      </c>
      <c r="B13502" t="str">
        <f>T("   ZZZ_Monde")</f>
        <v xml:space="preserve">   ZZZ_Monde</v>
      </c>
      <c r="C13502">
        <v>2848941</v>
      </c>
      <c r="D13502">
        <v>255</v>
      </c>
    </row>
    <row r="13503" spans="1:4" x14ac:dyDescent="0.25">
      <c r="A13503" t="str">
        <f>T("   BE")</f>
        <v xml:space="preserve">   BE</v>
      </c>
      <c r="B13503" t="str">
        <f>T("   Belgique")</f>
        <v xml:space="preserve">   Belgique</v>
      </c>
      <c r="C13503">
        <v>945048</v>
      </c>
      <c r="D13503">
        <v>23</v>
      </c>
    </row>
    <row r="13504" spans="1:4" x14ac:dyDescent="0.25">
      <c r="A13504" t="str">
        <f>T("   FR")</f>
        <v xml:space="preserve">   FR</v>
      </c>
      <c r="B13504" t="str">
        <f>T("   France")</f>
        <v xml:space="preserve">   France</v>
      </c>
      <c r="C13504">
        <v>1199297</v>
      </c>
      <c r="D13504">
        <v>214</v>
      </c>
    </row>
    <row r="13505" spans="1:4" x14ac:dyDescent="0.25">
      <c r="A13505" t="str">
        <f>T("   NL")</f>
        <v xml:space="preserve">   NL</v>
      </c>
      <c r="B13505" t="str">
        <f>T("   Pays-bas")</f>
        <v xml:space="preserve">   Pays-bas</v>
      </c>
      <c r="C13505">
        <v>445751</v>
      </c>
      <c r="D13505">
        <v>17</v>
      </c>
    </row>
    <row r="13506" spans="1:4" x14ac:dyDescent="0.25">
      <c r="A13506" t="str">
        <f>T("   US")</f>
        <v xml:space="preserve">   US</v>
      </c>
      <c r="B13506" t="str">
        <f>T("   Etats-Unis")</f>
        <v xml:space="preserve">   Etats-Unis</v>
      </c>
      <c r="C13506">
        <v>258845</v>
      </c>
      <c r="D13506">
        <v>1</v>
      </c>
    </row>
    <row r="13507" spans="1:4" x14ac:dyDescent="0.25">
      <c r="A13507" t="str">
        <f>T("853649")</f>
        <v>853649</v>
      </c>
      <c r="B13507" t="str">
        <f>T("Relais, pour une tension &gt; 60 V mais &lt;= 1.000 V")</f>
        <v>Relais, pour une tension &gt; 60 V mais &lt;= 1.000 V</v>
      </c>
    </row>
    <row r="13508" spans="1:4" x14ac:dyDescent="0.25">
      <c r="A13508" t="str">
        <f>T("   ZZZ_Monde")</f>
        <v xml:space="preserve">   ZZZ_Monde</v>
      </c>
      <c r="B13508" t="str">
        <f>T("   ZZZ_Monde")</f>
        <v xml:space="preserve">   ZZZ_Monde</v>
      </c>
      <c r="C13508">
        <v>52839036</v>
      </c>
      <c r="D13508">
        <v>15836.1</v>
      </c>
    </row>
    <row r="13509" spans="1:4" x14ac:dyDescent="0.25">
      <c r="A13509" t="str">
        <f>T("   BE")</f>
        <v xml:space="preserve">   BE</v>
      </c>
      <c r="B13509" t="str">
        <f>T("   Belgique")</f>
        <v xml:space="preserve">   Belgique</v>
      </c>
      <c r="C13509">
        <v>513052</v>
      </c>
      <c r="D13509">
        <v>16.600000000000001</v>
      </c>
    </row>
    <row r="13510" spans="1:4" x14ac:dyDescent="0.25">
      <c r="A13510" t="str">
        <f>T("   CH")</f>
        <v xml:space="preserve">   CH</v>
      </c>
      <c r="B13510" t="str">
        <f>T("   Suisse")</f>
        <v xml:space="preserve">   Suisse</v>
      </c>
      <c r="C13510">
        <v>754918</v>
      </c>
      <c r="D13510">
        <v>66</v>
      </c>
    </row>
    <row r="13511" spans="1:4" x14ac:dyDescent="0.25">
      <c r="A13511" t="str">
        <f>T("   CN")</f>
        <v xml:space="preserve">   CN</v>
      </c>
      <c r="B13511" t="str">
        <f>T("   Chine")</f>
        <v xml:space="preserve">   Chine</v>
      </c>
      <c r="C13511">
        <v>102986</v>
      </c>
      <c r="D13511">
        <v>228</v>
      </c>
    </row>
    <row r="13512" spans="1:4" x14ac:dyDescent="0.25">
      <c r="A13512" t="str">
        <f>T("   EG")</f>
        <v xml:space="preserve">   EG</v>
      </c>
      <c r="B13512" t="str">
        <f>T("   Egypte")</f>
        <v xml:space="preserve">   Egypte</v>
      </c>
      <c r="C13512">
        <v>4369631</v>
      </c>
      <c r="D13512">
        <v>1209</v>
      </c>
    </row>
    <row r="13513" spans="1:4" x14ac:dyDescent="0.25">
      <c r="A13513" t="str">
        <f>T("   FI")</f>
        <v xml:space="preserve">   FI</v>
      </c>
      <c r="B13513" t="str">
        <f>T("   Finlande")</f>
        <v xml:space="preserve">   Finlande</v>
      </c>
      <c r="C13513">
        <v>1638162</v>
      </c>
      <c r="D13513">
        <v>44</v>
      </c>
    </row>
    <row r="13514" spans="1:4" x14ac:dyDescent="0.25">
      <c r="A13514" t="str">
        <f>T("   FR")</f>
        <v xml:space="preserve">   FR</v>
      </c>
      <c r="B13514" t="str">
        <f>T("   France")</f>
        <v xml:space="preserve">   France</v>
      </c>
      <c r="C13514">
        <v>37530168</v>
      </c>
      <c r="D13514">
        <v>1394.5</v>
      </c>
    </row>
    <row r="13515" spans="1:4" x14ac:dyDescent="0.25">
      <c r="A13515" t="str">
        <f>T("   JP")</f>
        <v xml:space="preserve">   JP</v>
      </c>
      <c r="B13515" t="str">
        <f>T("   Japon")</f>
        <v xml:space="preserve">   Japon</v>
      </c>
      <c r="C13515">
        <v>792544</v>
      </c>
      <c r="D13515">
        <v>37</v>
      </c>
    </row>
    <row r="13516" spans="1:4" x14ac:dyDescent="0.25">
      <c r="A13516" t="str">
        <f>T("   NG")</f>
        <v xml:space="preserve">   NG</v>
      </c>
      <c r="B13516" t="str">
        <f>T("   Nigéria")</f>
        <v xml:space="preserve">   Nigéria</v>
      </c>
      <c r="C13516">
        <v>6344800</v>
      </c>
      <c r="D13516">
        <v>9064</v>
      </c>
    </row>
    <row r="13517" spans="1:4" x14ac:dyDescent="0.25">
      <c r="A13517" t="str">
        <f>T("   NO")</f>
        <v xml:space="preserve">   NO</v>
      </c>
      <c r="B13517" t="str">
        <f>T("   Norvège")</f>
        <v xml:space="preserve">   Norvège</v>
      </c>
      <c r="C13517">
        <v>292775</v>
      </c>
      <c r="D13517">
        <v>8</v>
      </c>
    </row>
    <row r="13518" spans="1:4" x14ac:dyDescent="0.25">
      <c r="A13518" t="str">
        <f>T("   TG")</f>
        <v xml:space="preserve">   TG</v>
      </c>
      <c r="B13518" t="str">
        <f>T("   Togo")</f>
        <v xml:space="preserve">   Togo</v>
      </c>
      <c r="C13518">
        <v>500000</v>
      </c>
      <c r="D13518">
        <v>3769</v>
      </c>
    </row>
    <row r="13519" spans="1:4" x14ac:dyDescent="0.25">
      <c r="A13519" t="str">
        <f>T("853650")</f>
        <v>853650</v>
      </c>
      <c r="B13519" t="str">
        <f>T("Interrupteurs, sectionneurs et commutateurs, pour une tension &lt;= 1.000 V (autres que relais et disjoncteurs)")</f>
        <v>Interrupteurs, sectionneurs et commutateurs, pour une tension &lt;= 1.000 V (autres que relais et disjoncteurs)</v>
      </c>
    </row>
    <row r="13520" spans="1:4" x14ac:dyDescent="0.25">
      <c r="A13520" t="str">
        <f>T("   ZZZ_Monde")</f>
        <v xml:space="preserve">   ZZZ_Monde</v>
      </c>
      <c r="B13520" t="str">
        <f>T("   ZZZ_Monde")</f>
        <v xml:space="preserve">   ZZZ_Monde</v>
      </c>
      <c r="C13520">
        <v>189438455</v>
      </c>
      <c r="D13520">
        <v>132153.25</v>
      </c>
    </row>
    <row r="13521" spans="1:4" x14ac:dyDescent="0.25">
      <c r="A13521" t="str">
        <f>T("   AT")</f>
        <v xml:space="preserve">   AT</v>
      </c>
      <c r="B13521" t="str">
        <f>T("   Autriche")</f>
        <v xml:space="preserve">   Autriche</v>
      </c>
      <c r="C13521">
        <v>245020</v>
      </c>
      <c r="D13521">
        <v>1.3</v>
      </c>
    </row>
    <row r="13522" spans="1:4" x14ac:dyDescent="0.25">
      <c r="A13522" t="str">
        <f>T("   BE")</f>
        <v xml:space="preserve">   BE</v>
      </c>
      <c r="B13522" t="str">
        <f>T("   Belgique")</f>
        <v xml:space="preserve">   Belgique</v>
      </c>
      <c r="C13522">
        <v>3442105</v>
      </c>
      <c r="D13522">
        <v>106.08</v>
      </c>
    </row>
    <row r="13523" spans="1:4" x14ac:dyDescent="0.25">
      <c r="A13523" t="str">
        <f>T("   CH")</f>
        <v xml:space="preserve">   CH</v>
      </c>
      <c r="B13523" t="str">
        <f>T("   Suisse")</f>
        <v xml:space="preserve">   Suisse</v>
      </c>
      <c r="C13523">
        <v>942769</v>
      </c>
      <c r="D13523">
        <v>7</v>
      </c>
    </row>
    <row r="13524" spans="1:4" x14ac:dyDescent="0.25">
      <c r="A13524" t="str">
        <f>T("   CN")</f>
        <v xml:space="preserve">   CN</v>
      </c>
      <c r="B13524" t="str">
        <f>T("   Chine")</f>
        <v xml:space="preserve">   Chine</v>
      </c>
      <c r="C13524">
        <v>37127487</v>
      </c>
      <c r="D13524">
        <v>80627</v>
      </c>
    </row>
    <row r="13525" spans="1:4" x14ac:dyDescent="0.25">
      <c r="A13525" t="str">
        <f>T("   DE")</f>
        <v xml:space="preserve">   DE</v>
      </c>
      <c r="B13525" t="str">
        <f>T("   Allemagne")</f>
        <v xml:space="preserve">   Allemagne</v>
      </c>
      <c r="C13525">
        <v>11431595</v>
      </c>
      <c r="D13525">
        <v>1196.04</v>
      </c>
    </row>
    <row r="13526" spans="1:4" x14ac:dyDescent="0.25">
      <c r="A13526" t="str">
        <f>T("   DZ")</f>
        <v xml:space="preserve">   DZ</v>
      </c>
      <c r="B13526" t="str">
        <f>T("   Algérie")</f>
        <v xml:space="preserve">   Algérie</v>
      </c>
      <c r="C13526">
        <v>5306567</v>
      </c>
      <c r="D13526">
        <v>12087</v>
      </c>
    </row>
    <row r="13527" spans="1:4" x14ac:dyDescent="0.25">
      <c r="A13527" t="str">
        <f>T("   FI")</f>
        <v xml:space="preserve">   FI</v>
      </c>
      <c r="B13527" t="str">
        <f>T("   Finlande")</f>
        <v xml:space="preserve">   Finlande</v>
      </c>
      <c r="C13527">
        <v>779746</v>
      </c>
      <c r="D13527">
        <v>20</v>
      </c>
    </row>
    <row r="13528" spans="1:4" x14ac:dyDescent="0.25">
      <c r="A13528" t="str">
        <f>T("   FR")</f>
        <v xml:space="preserve">   FR</v>
      </c>
      <c r="B13528" t="str">
        <f>T("   France")</f>
        <v xml:space="preserve">   France</v>
      </c>
      <c r="C13528">
        <v>104011437</v>
      </c>
      <c r="D13528">
        <v>16479.63</v>
      </c>
    </row>
    <row r="13529" spans="1:4" x14ac:dyDescent="0.25">
      <c r="A13529" t="str">
        <f>T("   GB")</f>
        <v xml:space="preserve">   GB</v>
      </c>
      <c r="B13529" t="str">
        <f>T("   Royaume-Uni")</f>
        <v xml:space="preserve">   Royaume-Uni</v>
      </c>
      <c r="C13529">
        <v>677344</v>
      </c>
      <c r="D13529">
        <v>1</v>
      </c>
    </row>
    <row r="13530" spans="1:4" x14ac:dyDescent="0.25">
      <c r="A13530" t="str">
        <f>T("   HK")</f>
        <v xml:space="preserve">   HK</v>
      </c>
      <c r="B13530" t="str">
        <f>T("   Hong-Kong")</f>
        <v xml:space="preserve">   Hong-Kong</v>
      </c>
      <c r="C13530">
        <v>741041</v>
      </c>
      <c r="D13530">
        <v>1671</v>
      </c>
    </row>
    <row r="13531" spans="1:4" x14ac:dyDescent="0.25">
      <c r="A13531" t="str">
        <f>T("   IN")</f>
        <v xml:space="preserve">   IN</v>
      </c>
      <c r="B13531" t="str">
        <f>T("   Inde")</f>
        <v xml:space="preserve">   Inde</v>
      </c>
      <c r="C13531">
        <v>285285</v>
      </c>
      <c r="D13531">
        <v>70</v>
      </c>
    </row>
    <row r="13532" spans="1:4" x14ac:dyDescent="0.25">
      <c r="A13532" t="str">
        <f>T("   IR")</f>
        <v xml:space="preserve">   IR</v>
      </c>
      <c r="B13532" t="str">
        <f>T("   Iran, République Islqmique d'")</f>
        <v xml:space="preserve">   Iran, République Islqmique d'</v>
      </c>
      <c r="C13532">
        <v>935866</v>
      </c>
      <c r="D13532">
        <v>823</v>
      </c>
    </row>
    <row r="13533" spans="1:4" x14ac:dyDescent="0.25">
      <c r="A13533" t="str">
        <f>T("   JP")</f>
        <v xml:space="preserve">   JP</v>
      </c>
      <c r="B13533" t="str">
        <f>T("   Japon")</f>
        <v xml:space="preserve">   Japon</v>
      </c>
      <c r="C13533">
        <v>101018</v>
      </c>
      <c r="D13533">
        <v>3</v>
      </c>
    </row>
    <row r="13534" spans="1:4" x14ac:dyDescent="0.25">
      <c r="A13534" t="str">
        <f>T("   MA")</f>
        <v xml:space="preserve">   MA</v>
      </c>
      <c r="B13534" t="str">
        <f>T("   Maroc")</f>
        <v xml:space="preserve">   Maroc</v>
      </c>
      <c r="C13534">
        <v>7763944</v>
      </c>
      <c r="D13534">
        <v>7605</v>
      </c>
    </row>
    <row r="13535" spans="1:4" x14ac:dyDescent="0.25">
      <c r="A13535" t="str">
        <f>T("   NL")</f>
        <v xml:space="preserve">   NL</v>
      </c>
      <c r="B13535" t="str">
        <f>T("   Pays-bas")</f>
        <v xml:space="preserve">   Pays-bas</v>
      </c>
      <c r="C13535">
        <v>89486</v>
      </c>
      <c r="D13535">
        <v>10</v>
      </c>
    </row>
    <row r="13536" spans="1:4" x14ac:dyDescent="0.25">
      <c r="A13536" t="str">
        <f>T("   NO")</f>
        <v xml:space="preserve">   NO</v>
      </c>
      <c r="B13536" t="str">
        <f>T("   Norvège")</f>
        <v xml:space="preserve">   Norvège</v>
      </c>
      <c r="C13536">
        <v>248236</v>
      </c>
      <c r="D13536">
        <v>2</v>
      </c>
    </row>
    <row r="13537" spans="1:4" x14ac:dyDescent="0.25">
      <c r="A13537" t="str">
        <f>T("   SV")</f>
        <v xml:space="preserve">   SV</v>
      </c>
      <c r="B13537" t="str">
        <f>T("   El Salvador")</f>
        <v xml:space="preserve">   El Salvador</v>
      </c>
      <c r="C13537">
        <v>719463</v>
      </c>
      <c r="D13537">
        <v>1</v>
      </c>
    </row>
    <row r="13538" spans="1:4" x14ac:dyDescent="0.25">
      <c r="A13538" t="str">
        <f>T("   TG")</f>
        <v xml:space="preserve">   TG</v>
      </c>
      <c r="B13538" t="str">
        <f>T("   Togo")</f>
        <v xml:space="preserve">   Togo</v>
      </c>
      <c r="C13538">
        <v>737093</v>
      </c>
      <c r="D13538">
        <v>6840</v>
      </c>
    </row>
    <row r="13539" spans="1:4" x14ac:dyDescent="0.25">
      <c r="A13539" t="str">
        <f>T("   TR")</f>
        <v xml:space="preserve">   TR</v>
      </c>
      <c r="B13539" t="str">
        <f>T("   Turquie")</f>
        <v xml:space="preserve">   Turquie</v>
      </c>
      <c r="C13539">
        <v>3847861</v>
      </c>
      <c r="D13539">
        <v>3815</v>
      </c>
    </row>
    <row r="13540" spans="1:4" x14ac:dyDescent="0.25">
      <c r="A13540" t="str">
        <f>T("   US")</f>
        <v xml:space="preserve">   US</v>
      </c>
      <c r="B13540" t="str">
        <f>T("   Etats-Unis")</f>
        <v xml:space="preserve">   Etats-Unis</v>
      </c>
      <c r="C13540">
        <v>10005092</v>
      </c>
      <c r="D13540">
        <v>788.2</v>
      </c>
    </row>
    <row r="13541" spans="1:4" x14ac:dyDescent="0.25">
      <c r="A13541" t="str">
        <f>T("853661")</f>
        <v>853661</v>
      </c>
      <c r="B13541" t="str">
        <f>T("Douilles pour lampes, pour une tension &lt;= 1.000 V")</f>
        <v>Douilles pour lampes, pour une tension &lt;= 1.000 V</v>
      </c>
    </row>
    <row r="13542" spans="1:4" x14ac:dyDescent="0.25">
      <c r="A13542" t="str">
        <f>T("   ZZZ_Monde")</f>
        <v xml:space="preserve">   ZZZ_Monde</v>
      </c>
      <c r="B13542" t="str">
        <f>T("   ZZZ_Monde")</f>
        <v xml:space="preserve">   ZZZ_Monde</v>
      </c>
      <c r="C13542">
        <v>7522193</v>
      </c>
      <c r="D13542">
        <v>15917.47</v>
      </c>
    </row>
    <row r="13543" spans="1:4" x14ac:dyDescent="0.25">
      <c r="A13543" t="str">
        <f>T("   CN")</f>
        <v xml:space="preserve">   CN</v>
      </c>
      <c r="B13543" t="str">
        <f>T("   Chine")</f>
        <v xml:space="preserve">   Chine</v>
      </c>
      <c r="C13543">
        <v>5917242</v>
      </c>
      <c r="D13543">
        <v>15504</v>
      </c>
    </row>
    <row r="13544" spans="1:4" x14ac:dyDescent="0.25">
      <c r="A13544" t="str">
        <f>T("   ES")</f>
        <v xml:space="preserve">   ES</v>
      </c>
      <c r="B13544" t="str">
        <f>T("   Espagne")</f>
        <v xml:space="preserve">   Espagne</v>
      </c>
      <c r="C13544">
        <v>408480</v>
      </c>
      <c r="D13544">
        <v>227.47</v>
      </c>
    </row>
    <row r="13545" spans="1:4" x14ac:dyDescent="0.25">
      <c r="A13545" t="str">
        <f>T("   FR")</f>
        <v xml:space="preserve">   FR</v>
      </c>
      <c r="B13545" t="str">
        <f>T("   France")</f>
        <v xml:space="preserve">   France</v>
      </c>
      <c r="C13545">
        <v>1196471</v>
      </c>
      <c r="D13545">
        <v>186</v>
      </c>
    </row>
    <row r="13546" spans="1:4" x14ac:dyDescent="0.25">
      <c r="A13546" t="str">
        <f>T("853669")</f>
        <v>853669</v>
      </c>
      <c r="B13546" t="str">
        <f>T("Fiches et prises de courant, pour une tension &lt;= 1.000 V (sauf douilles pour lampes)")</f>
        <v>Fiches et prises de courant, pour une tension &lt;= 1.000 V (sauf douilles pour lampes)</v>
      </c>
    </row>
    <row r="13547" spans="1:4" x14ac:dyDescent="0.25">
      <c r="A13547" t="str">
        <f>T("   ZZZ_Monde")</f>
        <v xml:space="preserve">   ZZZ_Monde</v>
      </c>
      <c r="B13547" t="str">
        <f>T("   ZZZ_Monde")</f>
        <v xml:space="preserve">   ZZZ_Monde</v>
      </c>
      <c r="C13547">
        <v>189720132</v>
      </c>
      <c r="D13547">
        <v>200392.25</v>
      </c>
    </row>
    <row r="13548" spans="1:4" x14ac:dyDescent="0.25">
      <c r="A13548" t="str">
        <f>T("   AT")</f>
        <v xml:space="preserve">   AT</v>
      </c>
      <c r="B13548" t="str">
        <f>T("   Autriche")</f>
        <v xml:space="preserve">   Autriche</v>
      </c>
      <c r="C13548">
        <v>73271</v>
      </c>
      <c r="D13548">
        <v>3</v>
      </c>
    </row>
    <row r="13549" spans="1:4" x14ac:dyDescent="0.25">
      <c r="A13549" t="str">
        <f>T("   BE")</f>
        <v xml:space="preserve">   BE</v>
      </c>
      <c r="B13549" t="str">
        <f>T("   Belgique")</f>
        <v xml:space="preserve">   Belgique</v>
      </c>
      <c r="C13549">
        <v>1345210</v>
      </c>
      <c r="D13549">
        <v>329</v>
      </c>
    </row>
    <row r="13550" spans="1:4" x14ac:dyDescent="0.25">
      <c r="A13550" t="str">
        <f>T("   CN")</f>
        <v xml:space="preserve">   CN</v>
      </c>
      <c r="B13550" t="str">
        <f>T("   Chine")</f>
        <v xml:space="preserve">   Chine</v>
      </c>
      <c r="C13550">
        <v>41621972</v>
      </c>
      <c r="D13550">
        <v>95106</v>
      </c>
    </row>
    <row r="13551" spans="1:4" x14ac:dyDescent="0.25">
      <c r="A13551" t="str">
        <f>T("   DE")</f>
        <v xml:space="preserve">   DE</v>
      </c>
      <c r="B13551" t="str">
        <f>T("   Allemagne")</f>
        <v xml:space="preserve">   Allemagne</v>
      </c>
      <c r="C13551">
        <v>1953</v>
      </c>
      <c r="D13551">
        <v>1</v>
      </c>
    </row>
    <row r="13552" spans="1:4" x14ac:dyDescent="0.25">
      <c r="A13552" t="str">
        <f>T("   DZ")</f>
        <v xml:space="preserve">   DZ</v>
      </c>
      <c r="B13552" t="str">
        <f>T("   Algérie")</f>
        <v xml:space="preserve">   Algérie</v>
      </c>
      <c r="C13552">
        <v>3092851</v>
      </c>
      <c r="D13552">
        <v>3412</v>
      </c>
    </row>
    <row r="13553" spans="1:4" x14ac:dyDescent="0.25">
      <c r="A13553" t="str">
        <f>T("   ES")</f>
        <v xml:space="preserve">   ES</v>
      </c>
      <c r="B13553" t="str">
        <f>T("   Espagne")</f>
        <v xml:space="preserve">   Espagne</v>
      </c>
      <c r="C13553">
        <v>4236190</v>
      </c>
      <c r="D13553">
        <v>1136</v>
      </c>
    </row>
    <row r="13554" spans="1:4" x14ac:dyDescent="0.25">
      <c r="A13554" t="str">
        <f>T("   FR")</f>
        <v xml:space="preserve">   FR</v>
      </c>
      <c r="B13554" t="str">
        <f>T("   France")</f>
        <v xml:space="preserve">   France</v>
      </c>
      <c r="C13554">
        <v>98690861</v>
      </c>
      <c r="D13554">
        <v>24246.75</v>
      </c>
    </row>
    <row r="13555" spans="1:4" x14ac:dyDescent="0.25">
      <c r="A13555" t="str">
        <f>T("   GB")</f>
        <v xml:space="preserve">   GB</v>
      </c>
      <c r="B13555" t="str">
        <f>T("   Royaume-Uni")</f>
        <v xml:space="preserve">   Royaume-Uni</v>
      </c>
      <c r="C13555">
        <v>13920</v>
      </c>
      <c r="D13555">
        <v>0.5</v>
      </c>
    </row>
    <row r="13556" spans="1:4" x14ac:dyDescent="0.25">
      <c r="A13556" t="str">
        <f>T("   GN")</f>
        <v xml:space="preserve">   GN</v>
      </c>
      <c r="B13556" t="str">
        <f>T("   Guinée")</f>
        <v xml:space="preserve">   Guinée</v>
      </c>
      <c r="C13556">
        <v>655960</v>
      </c>
      <c r="D13556">
        <v>90</v>
      </c>
    </row>
    <row r="13557" spans="1:4" x14ac:dyDescent="0.25">
      <c r="A13557" t="str">
        <f>T("   HK")</f>
        <v xml:space="preserve">   HK</v>
      </c>
      <c r="B13557" t="str">
        <f>T("   Hong-Kong")</f>
        <v xml:space="preserve">   Hong-Kong</v>
      </c>
      <c r="C13557">
        <v>1931864</v>
      </c>
      <c r="D13557">
        <v>3427</v>
      </c>
    </row>
    <row r="13558" spans="1:4" x14ac:dyDescent="0.25">
      <c r="A13558" t="str">
        <f>T("   MA")</f>
        <v xml:space="preserve">   MA</v>
      </c>
      <c r="B13558" t="str">
        <f>T("   Maroc")</f>
        <v xml:space="preserve">   Maroc</v>
      </c>
      <c r="C13558">
        <v>33330880</v>
      </c>
      <c r="D13558">
        <v>44441</v>
      </c>
    </row>
    <row r="13559" spans="1:4" x14ac:dyDescent="0.25">
      <c r="A13559" t="str">
        <f>T("   NG")</f>
        <v xml:space="preserve">   NG</v>
      </c>
      <c r="B13559" t="str">
        <f>T("   Nigéria")</f>
        <v xml:space="preserve">   Nigéria</v>
      </c>
      <c r="C13559">
        <v>176000</v>
      </c>
      <c r="D13559">
        <v>141</v>
      </c>
    </row>
    <row r="13560" spans="1:4" x14ac:dyDescent="0.25">
      <c r="A13560" t="str">
        <f>T("   TG")</f>
        <v xml:space="preserve">   TG</v>
      </c>
      <c r="B13560" t="str">
        <f>T("   Togo")</f>
        <v xml:space="preserve">   Togo</v>
      </c>
      <c r="C13560">
        <v>189200</v>
      </c>
      <c r="D13560">
        <v>539</v>
      </c>
    </row>
    <row r="13561" spans="1:4" x14ac:dyDescent="0.25">
      <c r="A13561" t="str">
        <f>T("   TR")</f>
        <v xml:space="preserve">   TR</v>
      </c>
      <c r="B13561" t="str">
        <f>T("   Turquie")</f>
        <v xml:space="preserve">   Turquie</v>
      </c>
      <c r="C13561">
        <v>4360000</v>
      </c>
      <c r="D13561">
        <v>27520</v>
      </c>
    </row>
    <row r="13562" spans="1:4" x14ac:dyDescent="0.25">
      <c r="A13562" t="str">
        <f>T("853690")</f>
        <v>853690</v>
      </c>
      <c r="B13562" t="str">
        <f>T("Appareillage pour le branchement, le raccordement ou la connexion des circuits électriques, pour une tension &lt;= 1.000 V (sauf fusibles et coupe-circuit, disjoncteurs et autres appareils pour la protection des circuits électriques, relais et autres commuta")</f>
        <v>Appareillage pour le branchement, le raccordement ou la connexion des circuits électriques, pour une tension &lt;= 1.000 V (sauf fusibles et coupe-circuit, disjoncteurs et autres appareils pour la protection des circuits électriques, relais et autres commuta</v>
      </c>
    </row>
    <row r="13563" spans="1:4" x14ac:dyDescent="0.25">
      <c r="A13563" t="str">
        <f>T("   ZZZ_Monde")</f>
        <v xml:space="preserve">   ZZZ_Monde</v>
      </c>
      <c r="B13563" t="str">
        <f>T("   ZZZ_Monde")</f>
        <v xml:space="preserve">   ZZZ_Monde</v>
      </c>
      <c r="C13563">
        <v>387221272</v>
      </c>
      <c r="D13563">
        <v>197880.85</v>
      </c>
    </row>
    <row r="13564" spans="1:4" x14ac:dyDescent="0.25">
      <c r="A13564" t="str">
        <f>T("   BE")</f>
        <v xml:space="preserve">   BE</v>
      </c>
      <c r="B13564" t="str">
        <f>T("   Belgique")</f>
        <v xml:space="preserve">   Belgique</v>
      </c>
      <c r="C13564">
        <v>4216024</v>
      </c>
      <c r="D13564">
        <v>1123</v>
      </c>
    </row>
    <row r="13565" spans="1:4" x14ac:dyDescent="0.25">
      <c r="A13565" t="str">
        <f>T("   CI")</f>
        <v xml:space="preserve">   CI</v>
      </c>
      <c r="B13565" t="str">
        <f>T("   Côte d'Ivoire")</f>
        <v xml:space="preserve">   Côte d'Ivoire</v>
      </c>
      <c r="C13565">
        <v>8523364</v>
      </c>
      <c r="D13565">
        <v>272</v>
      </c>
    </row>
    <row r="13566" spans="1:4" x14ac:dyDescent="0.25">
      <c r="A13566" t="str">
        <f>T("   CN")</f>
        <v xml:space="preserve">   CN</v>
      </c>
      <c r="B13566" t="str">
        <f>T("   Chine")</f>
        <v xml:space="preserve">   Chine</v>
      </c>
      <c r="C13566">
        <v>32746174</v>
      </c>
      <c r="D13566">
        <v>88028</v>
      </c>
    </row>
    <row r="13567" spans="1:4" x14ac:dyDescent="0.25">
      <c r="A13567" t="str">
        <f>T("   DE")</f>
        <v xml:space="preserve">   DE</v>
      </c>
      <c r="B13567" t="str">
        <f>T("   Allemagne")</f>
        <v xml:space="preserve">   Allemagne</v>
      </c>
      <c r="C13567">
        <v>3322732</v>
      </c>
      <c r="D13567">
        <v>48.75</v>
      </c>
    </row>
    <row r="13568" spans="1:4" x14ac:dyDescent="0.25">
      <c r="A13568" t="str">
        <f>T("   DZ")</f>
        <v xml:space="preserve">   DZ</v>
      </c>
      <c r="B13568" t="str">
        <f>T("   Algérie")</f>
        <v xml:space="preserve">   Algérie</v>
      </c>
      <c r="C13568">
        <v>1222710</v>
      </c>
      <c r="D13568">
        <v>1349</v>
      </c>
    </row>
    <row r="13569" spans="1:4" x14ac:dyDescent="0.25">
      <c r="A13569" t="str">
        <f>T("   EG")</f>
        <v xml:space="preserve">   EG</v>
      </c>
      <c r="B13569" t="str">
        <f>T("   Egypte")</f>
        <v xml:space="preserve">   Egypte</v>
      </c>
      <c r="C13569">
        <v>600000</v>
      </c>
      <c r="D13569">
        <v>400</v>
      </c>
    </row>
    <row r="13570" spans="1:4" x14ac:dyDescent="0.25">
      <c r="A13570" t="str">
        <f>T("   FR")</f>
        <v xml:space="preserve">   FR</v>
      </c>
      <c r="B13570" t="str">
        <f>T("   France")</f>
        <v xml:space="preserve">   France</v>
      </c>
      <c r="C13570">
        <v>265048438</v>
      </c>
      <c r="D13570">
        <v>22638.1</v>
      </c>
    </row>
    <row r="13571" spans="1:4" x14ac:dyDescent="0.25">
      <c r="A13571" t="str">
        <f>T("   GB")</f>
        <v xml:space="preserve">   GB</v>
      </c>
      <c r="B13571" t="str">
        <f>T("   Royaume-Uni")</f>
        <v xml:space="preserve">   Royaume-Uni</v>
      </c>
      <c r="C13571">
        <v>440672</v>
      </c>
      <c r="D13571">
        <v>4</v>
      </c>
    </row>
    <row r="13572" spans="1:4" x14ac:dyDescent="0.25">
      <c r="A13572" t="str">
        <f>T("   GE")</f>
        <v xml:space="preserve">   GE</v>
      </c>
      <c r="B13572" t="str">
        <f>T("   Géorgie")</f>
        <v xml:space="preserve">   Géorgie</v>
      </c>
      <c r="C13572">
        <v>393576</v>
      </c>
      <c r="D13572">
        <v>4</v>
      </c>
    </row>
    <row r="13573" spans="1:4" x14ac:dyDescent="0.25">
      <c r="A13573" t="str">
        <f>T("   HK")</f>
        <v xml:space="preserve">   HK</v>
      </c>
      <c r="B13573" t="str">
        <f>T("   Hong-Kong")</f>
        <v xml:space="preserve">   Hong-Kong</v>
      </c>
      <c r="C13573">
        <v>201952</v>
      </c>
      <c r="D13573">
        <v>110</v>
      </c>
    </row>
    <row r="13574" spans="1:4" x14ac:dyDescent="0.25">
      <c r="A13574" t="str">
        <f>T("   IT")</f>
        <v xml:space="preserve">   IT</v>
      </c>
      <c r="B13574" t="str">
        <f>T("   Italie")</f>
        <v xml:space="preserve">   Italie</v>
      </c>
      <c r="C13574">
        <v>10466310</v>
      </c>
      <c r="D13574">
        <v>4992</v>
      </c>
    </row>
    <row r="13575" spans="1:4" x14ac:dyDescent="0.25">
      <c r="A13575" t="str">
        <f>T("   MA")</f>
        <v xml:space="preserve">   MA</v>
      </c>
      <c r="B13575" t="str">
        <f>T("   Maroc")</f>
        <v xml:space="preserve">   Maroc</v>
      </c>
      <c r="C13575">
        <v>54532577</v>
      </c>
      <c r="D13575">
        <v>56018</v>
      </c>
    </row>
    <row r="13576" spans="1:4" x14ac:dyDescent="0.25">
      <c r="A13576" t="str">
        <f>T("   ML")</f>
        <v xml:space="preserve">   ML</v>
      </c>
      <c r="B13576" t="str">
        <f>T("   Mali")</f>
        <v xml:space="preserve">   Mali</v>
      </c>
      <c r="C13576">
        <v>1044052</v>
      </c>
      <c r="D13576">
        <v>13</v>
      </c>
    </row>
    <row r="13577" spans="1:4" x14ac:dyDescent="0.25">
      <c r="A13577" t="str">
        <f>T("   NO")</f>
        <v xml:space="preserve">   NO</v>
      </c>
      <c r="B13577" t="str">
        <f>T("   Norvège")</f>
        <v xml:space="preserve">   Norvège</v>
      </c>
      <c r="C13577">
        <v>95036</v>
      </c>
      <c r="D13577">
        <v>5</v>
      </c>
    </row>
    <row r="13578" spans="1:4" x14ac:dyDescent="0.25">
      <c r="A13578" t="str">
        <f>T("   TG")</f>
        <v xml:space="preserve">   TG</v>
      </c>
      <c r="B13578" t="str">
        <f>T("   Togo")</f>
        <v xml:space="preserve">   Togo</v>
      </c>
      <c r="C13578">
        <v>4367655</v>
      </c>
      <c r="D13578">
        <v>22876</v>
      </c>
    </row>
    <row r="13579" spans="1:4" x14ac:dyDescent="0.25">
      <c r="A13579" t="str">
        <f>T("853710")</f>
        <v>853710</v>
      </c>
      <c r="B13579" t="str">
        <f>T("Tableaux, armoires et combinaisons d'appareils simil., pour la commande ou la distribution électrique, pour une tension &gt;= 1.000 V")</f>
        <v>Tableaux, armoires et combinaisons d'appareils simil., pour la commande ou la distribution électrique, pour une tension &gt;= 1.000 V</v>
      </c>
    </row>
    <row r="13580" spans="1:4" x14ac:dyDescent="0.25">
      <c r="A13580" t="str">
        <f>T("   ZZZ_Monde")</f>
        <v xml:space="preserve">   ZZZ_Monde</v>
      </c>
      <c r="B13580" t="str">
        <f>T("   ZZZ_Monde")</f>
        <v xml:space="preserve">   ZZZ_Monde</v>
      </c>
      <c r="C13580">
        <v>184840534</v>
      </c>
      <c r="D13580">
        <v>17917.900000000001</v>
      </c>
    </row>
    <row r="13581" spans="1:4" x14ac:dyDescent="0.25">
      <c r="A13581" t="str">
        <f>T("   AE")</f>
        <v xml:space="preserve">   AE</v>
      </c>
      <c r="B13581" t="str">
        <f>T("   Emirats Arabes Unis")</f>
        <v xml:space="preserve">   Emirats Arabes Unis</v>
      </c>
      <c r="C13581">
        <v>7366651</v>
      </c>
      <c r="D13581">
        <v>397</v>
      </c>
    </row>
    <row r="13582" spans="1:4" x14ac:dyDescent="0.25">
      <c r="A13582" t="str">
        <f>T("   CI")</f>
        <v xml:space="preserve">   CI</v>
      </c>
      <c r="B13582" t="str">
        <f>T("   Côte d'Ivoire")</f>
        <v xml:space="preserve">   Côte d'Ivoire</v>
      </c>
      <c r="C13582">
        <v>1705968</v>
      </c>
      <c r="D13582">
        <v>205</v>
      </c>
    </row>
    <row r="13583" spans="1:4" x14ac:dyDescent="0.25">
      <c r="A13583" t="str">
        <f>T("   CN")</f>
        <v xml:space="preserve">   CN</v>
      </c>
      <c r="B13583" t="str">
        <f>T("   Chine")</f>
        <v xml:space="preserve">   Chine</v>
      </c>
      <c r="C13583">
        <v>13878358</v>
      </c>
      <c r="D13583">
        <v>3875</v>
      </c>
    </row>
    <row r="13584" spans="1:4" x14ac:dyDescent="0.25">
      <c r="A13584" t="str">
        <f>T("   DE")</f>
        <v xml:space="preserve">   DE</v>
      </c>
      <c r="B13584" t="str">
        <f>T("   Allemagne")</f>
        <v xml:space="preserve">   Allemagne</v>
      </c>
      <c r="C13584">
        <v>63390400</v>
      </c>
      <c r="D13584">
        <v>5291</v>
      </c>
    </row>
    <row r="13585" spans="1:4" x14ac:dyDescent="0.25">
      <c r="A13585" t="str">
        <f>T("   FR")</f>
        <v xml:space="preserve">   FR</v>
      </c>
      <c r="B13585" t="str">
        <f>T("   France")</f>
        <v xml:space="preserve">   France</v>
      </c>
      <c r="C13585">
        <v>32058440</v>
      </c>
      <c r="D13585">
        <v>1915.9</v>
      </c>
    </row>
    <row r="13586" spans="1:4" x14ac:dyDescent="0.25">
      <c r="A13586" t="str">
        <f>T("   HK")</f>
        <v xml:space="preserve">   HK</v>
      </c>
      <c r="B13586" t="str">
        <f>T("   Hong-Kong")</f>
        <v xml:space="preserve">   Hong-Kong</v>
      </c>
      <c r="C13586">
        <v>884009</v>
      </c>
      <c r="D13586">
        <v>1383</v>
      </c>
    </row>
    <row r="13587" spans="1:4" x14ac:dyDescent="0.25">
      <c r="A13587" t="str">
        <f>T("   NO")</f>
        <v xml:space="preserve">   NO</v>
      </c>
      <c r="B13587" t="str">
        <f>T("   Norvège")</f>
        <v xml:space="preserve">   Norvège</v>
      </c>
      <c r="C13587">
        <v>64281253</v>
      </c>
      <c r="D13587">
        <v>4384</v>
      </c>
    </row>
    <row r="13588" spans="1:4" x14ac:dyDescent="0.25">
      <c r="A13588" t="str">
        <f>T("   PK")</f>
        <v xml:space="preserve">   PK</v>
      </c>
      <c r="B13588" t="str">
        <f>T("   Pakistan")</f>
        <v xml:space="preserve">   Pakistan</v>
      </c>
      <c r="C13588">
        <v>1275455</v>
      </c>
      <c r="D13588">
        <v>467</v>
      </c>
    </row>
    <row r="13589" spans="1:4" x14ac:dyDescent="0.25">
      <c r="A13589" t="str">
        <f>T("853720")</f>
        <v>853720</v>
      </c>
      <c r="B13589" t="str">
        <f>T("Tableaux, armoires et combinaisons d'appareils simil., pour la commande ou la distribution électrique, pour une tension &gt; 1.000 V")</f>
        <v>Tableaux, armoires et combinaisons d'appareils simil., pour la commande ou la distribution électrique, pour une tension &gt; 1.000 V</v>
      </c>
    </row>
    <row r="13590" spans="1:4" x14ac:dyDescent="0.25">
      <c r="A13590" t="str">
        <f>T("   ZZZ_Monde")</f>
        <v xml:space="preserve">   ZZZ_Monde</v>
      </c>
      <c r="B13590" t="str">
        <f>T("   ZZZ_Monde")</f>
        <v xml:space="preserve">   ZZZ_Monde</v>
      </c>
      <c r="C13590">
        <v>253779233</v>
      </c>
      <c r="D13590">
        <v>36997</v>
      </c>
    </row>
    <row r="13591" spans="1:4" x14ac:dyDescent="0.25">
      <c r="A13591" t="str">
        <f>T("   BE")</f>
        <v xml:space="preserve">   BE</v>
      </c>
      <c r="B13591" t="str">
        <f>T("   Belgique")</f>
        <v xml:space="preserve">   Belgique</v>
      </c>
      <c r="C13591">
        <v>655960</v>
      </c>
      <c r="D13591">
        <v>703</v>
      </c>
    </row>
    <row r="13592" spans="1:4" x14ac:dyDescent="0.25">
      <c r="A13592" t="str">
        <f>T("   CH")</f>
        <v xml:space="preserve">   CH</v>
      </c>
      <c r="B13592" t="str">
        <f>T("   Suisse")</f>
        <v xml:space="preserve">   Suisse</v>
      </c>
      <c r="C13592">
        <v>43599424</v>
      </c>
      <c r="D13592">
        <v>3788</v>
      </c>
    </row>
    <row r="13593" spans="1:4" x14ac:dyDescent="0.25">
      <c r="A13593" t="str">
        <f>T("   CN")</f>
        <v xml:space="preserve">   CN</v>
      </c>
      <c r="B13593" t="str">
        <f>T("   Chine")</f>
        <v xml:space="preserve">   Chine</v>
      </c>
      <c r="C13593">
        <v>19697022</v>
      </c>
      <c r="D13593">
        <v>18858</v>
      </c>
    </row>
    <row r="13594" spans="1:4" x14ac:dyDescent="0.25">
      <c r="A13594" t="str">
        <f>T("   FR")</f>
        <v xml:space="preserve">   FR</v>
      </c>
      <c r="B13594" t="str">
        <f>T("   France")</f>
        <v xml:space="preserve">   France</v>
      </c>
      <c r="C13594">
        <v>163758327</v>
      </c>
      <c r="D13594">
        <v>8008</v>
      </c>
    </row>
    <row r="13595" spans="1:4" x14ac:dyDescent="0.25">
      <c r="A13595" t="str">
        <f>T("   IT")</f>
        <v xml:space="preserve">   IT</v>
      </c>
      <c r="B13595" t="str">
        <f>T("   Italie")</f>
        <v xml:space="preserve">   Italie</v>
      </c>
      <c r="C13595">
        <v>4495962</v>
      </c>
      <c r="D13595">
        <v>3140</v>
      </c>
    </row>
    <row r="13596" spans="1:4" x14ac:dyDescent="0.25">
      <c r="A13596" t="str">
        <f>T("   TR")</f>
        <v xml:space="preserve">   TR</v>
      </c>
      <c r="B13596" t="str">
        <f>T("   Turquie")</f>
        <v xml:space="preserve">   Turquie</v>
      </c>
      <c r="C13596">
        <v>21572538</v>
      </c>
      <c r="D13596">
        <v>2500</v>
      </c>
    </row>
    <row r="13597" spans="1:4" x14ac:dyDescent="0.25">
      <c r="A13597" t="str">
        <f>T("853810")</f>
        <v>853810</v>
      </c>
      <c r="B13597" t="str">
        <f>T("Tableaux, panneaux, consoles, pupitres, armoires et autres supports pour articles du n° 8537, dépourvus de leurs appareils")</f>
        <v>Tableaux, panneaux, consoles, pupitres, armoires et autres supports pour articles du n° 8537, dépourvus de leurs appareils</v>
      </c>
    </row>
    <row r="13598" spans="1:4" x14ac:dyDescent="0.25">
      <c r="A13598" t="str">
        <f>T("   ZZZ_Monde")</f>
        <v xml:space="preserve">   ZZZ_Monde</v>
      </c>
      <c r="B13598" t="str">
        <f>T("   ZZZ_Monde")</f>
        <v xml:space="preserve">   ZZZ_Monde</v>
      </c>
      <c r="C13598">
        <v>154252846</v>
      </c>
      <c r="D13598">
        <v>35554</v>
      </c>
    </row>
    <row r="13599" spans="1:4" x14ac:dyDescent="0.25">
      <c r="A13599" t="str">
        <f>T("   AT")</f>
        <v xml:space="preserve">   AT</v>
      </c>
      <c r="B13599" t="str">
        <f>T("   Autriche")</f>
        <v xml:space="preserve">   Autriche</v>
      </c>
      <c r="C13599">
        <v>13136255</v>
      </c>
      <c r="D13599">
        <v>66</v>
      </c>
    </row>
    <row r="13600" spans="1:4" x14ac:dyDescent="0.25">
      <c r="A13600" t="str">
        <f>T("   FR")</f>
        <v xml:space="preserve">   FR</v>
      </c>
      <c r="B13600" t="str">
        <f>T("   France")</f>
        <v xml:space="preserve">   France</v>
      </c>
      <c r="C13600">
        <v>111097235</v>
      </c>
      <c r="D13600">
        <v>5601</v>
      </c>
    </row>
    <row r="13601" spans="1:4" x14ac:dyDescent="0.25">
      <c r="A13601" t="str">
        <f>T("   MA")</f>
        <v xml:space="preserve">   MA</v>
      </c>
      <c r="B13601" t="str">
        <f>T("   Maroc")</f>
        <v xml:space="preserve">   Maroc</v>
      </c>
      <c r="C13601">
        <v>30019356</v>
      </c>
      <c r="D13601">
        <v>29887</v>
      </c>
    </row>
    <row r="13602" spans="1:4" x14ac:dyDescent="0.25">
      <c r="A13602" t="str">
        <f>T("853890")</f>
        <v>853890</v>
      </c>
      <c r="B13602" t="str">
        <f>T("Parties reconnaissables comme étant exclusivement ou principalement destinées aux appareils du n° 8535, 8536 ou 8537, n.d.a. (à l'excl. des tableaux, panneaux, consoles, pupitres, armoires et autres supports pour articles du n° 8537, dépourvus de leurs ap")</f>
        <v>Parties reconnaissables comme étant exclusivement ou principalement destinées aux appareils du n° 8535, 8536 ou 8537, n.d.a. (à l'excl. des tableaux, panneaux, consoles, pupitres, armoires et autres supports pour articles du n° 8537, dépourvus de leurs ap</v>
      </c>
    </row>
    <row r="13603" spans="1:4" x14ac:dyDescent="0.25">
      <c r="A13603" t="str">
        <f>T("   ZZZ_Monde")</f>
        <v xml:space="preserve">   ZZZ_Monde</v>
      </c>
      <c r="B13603" t="str">
        <f>T("   ZZZ_Monde")</f>
        <v xml:space="preserve">   ZZZ_Monde</v>
      </c>
      <c r="C13603">
        <v>140508810</v>
      </c>
      <c r="D13603">
        <v>28900.75</v>
      </c>
    </row>
    <row r="13604" spans="1:4" x14ac:dyDescent="0.25">
      <c r="A13604" t="str">
        <f>T("   BE")</f>
        <v xml:space="preserve">   BE</v>
      </c>
      <c r="B13604" t="str">
        <f>T("   Belgique")</f>
        <v xml:space="preserve">   Belgique</v>
      </c>
      <c r="C13604">
        <v>677889</v>
      </c>
      <c r="D13604">
        <v>19</v>
      </c>
    </row>
    <row r="13605" spans="1:4" x14ac:dyDescent="0.25">
      <c r="A13605" t="str">
        <f>T("   CI")</f>
        <v xml:space="preserve">   CI</v>
      </c>
      <c r="B13605" t="str">
        <f>T("   Côte d'Ivoire")</f>
        <v xml:space="preserve">   Côte d'Ivoire</v>
      </c>
      <c r="C13605">
        <v>206050</v>
      </c>
      <c r="D13605">
        <v>47</v>
      </c>
    </row>
    <row r="13606" spans="1:4" x14ac:dyDescent="0.25">
      <c r="A13606" t="str">
        <f>T("   CN")</f>
        <v xml:space="preserve">   CN</v>
      </c>
      <c r="B13606" t="str">
        <f>T("   Chine")</f>
        <v xml:space="preserve">   Chine</v>
      </c>
      <c r="C13606">
        <v>3839577</v>
      </c>
      <c r="D13606">
        <v>3905</v>
      </c>
    </row>
    <row r="13607" spans="1:4" x14ac:dyDescent="0.25">
      <c r="A13607" t="str">
        <f>T("   DE")</f>
        <v xml:space="preserve">   DE</v>
      </c>
      <c r="B13607" t="str">
        <f>T("   Allemagne")</f>
        <v xml:space="preserve">   Allemagne</v>
      </c>
      <c r="C13607">
        <v>537684</v>
      </c>
      <c r="D13607">
        <v>45.75</v>
      </c>
    </row>
    <row r="13608" spans="1:4" x14ac:dyDescent="0.25">
      <c r="A13608" t="str">
        <f>T("   DK")</f>
        <v xml:space="preserve">   DK</v>
      </c>
      <c r="B13608" t="str">
        <f>T("   Danemark")</f>
        <v xml:space="preserve">   Danemark</v>
      </c>
      <c r="C13608">
        <v>2793734</v>
      </c>
      <c r="D13608">
        <v>94</v>
      </c>
    </row>
    <row r="13609" spans="1:4" x14ac:dyDescent="0.25">
      <c r="A13609" t="str">
        <f>T("   FR")</f>
        <v xml:space="preserve">   FR</v>
      </c>
      <c r="B13609" t="str">
        <f>T("   France")</f>
        <v xml:space="preserve">   France</v>
      </c>
      <c r="C13609">
        <v>105484335</v>
      </c>
      <c r="D13609">
        <v>16283</v>
      </c>
    </row>
    <row r="13610" spans="1:4" x14ac:dyDescent="0.25">
      <c r="A13610" t="str">
        <f>T("   GE")</f>
        <v xml:space="preserve">   GE</v>
      </c>
      <c r="B13610" t="str">
        <f>T("   Géorgie")</f>
        <v xml:space="preserve">   Géorgie</v>
      </c>
      <c r="C13610">
        <v>78715</v>
      </c>
      <c r="D13610">
        <v>1</v>
      </c>
    </row>
    <row r="13611" spans="1:4" x14ac:dyDescent="0.25">
      <c r="A13611" t="str">
        <f>T("   IN")</f>
        <v xml:space="preserve">   IN</v>
      </c>
      <c r="B13611" t="str">
        <f>T("   Inde")</f>
        <v xml:space="preserve">   Inde</v>
      </c>
      <c r="C13611">
        <v>6101147</v>
      </c>
      <c r="D13611">
        <v>110</v>
      </c>
    </row>
    <row r="13612" spans="1:4" x14ac:dyDescent="0.25">
      <c r="A13612" t="str">
        <f>T("   IT")</f>
        <v xml:space="preserve">   IT</v>
      </c>
      <c r="B13612" t="str">
        <f>T("   Italie")</f>
        <v xml:space="preserve">   Italie</v>
      </c>
      <c r="C13612">
        <v>1100701</v>
      </c>
      <c r="D13612">
        <v>997</v>
      </c>
    </row>
    <row r="13613" spans="1:4" x14ac:dyDescent="0.25">
      <c r="A13613" t="str">
        <f>T("   MA")</f>
        <v xml:space="preserve">   MA</v>
      </c>
      <c r="B13613" t="str">
        <f>T("   Maroc")</f>
        <v xml:space="preserve">   Maroc</v>
      </c>
      <c r="C13613">
        <v>2790453</v>
      </c>
      <c r="D13613">
        <v>459</v>
      </c>
    </row>
    <row r="13614" spans="1:4" x14ac:dyDescent="0.25">
      <c r="A13614" t="str">
        <f>T("   NO")</f>
        <v xml:space="preserve">   NO</v>
      </c>
      <c r="B13614" t="str">
        <f>T("   Norvège")</f>
        <v xml:space="preserve">   Norvège</v>
      </c>
      <c r="C13614">
        <v>16218132</v>
      </c>
      <c r="D13614">
        <v>3990</v>
      </c>
    </row>
    <row r="13615" spans="1:4" x14ac:dyDescent="0.25">
      <c r="A13615" t="str">
        <f>T("   TG")</f>
        <v xml:space="preserve">   TG</v>
      </c>
      <c r="B13615" t="str">
        <f>T("   Togo")</f>
        <v xml:space="preserve">   Togo</v>
      </c>
      <c r="C13615">
        <v>680393</v>
      </c>
      <c r="D13615">
        <v>2950</v>
      </c>
    </row>
    <row r="13616" spans="1:4" x14ac:dyDescent="0.25">
      <c r="A13616" t="str">
        <f>T("853910")</f>
        <v>853910</v>
      </c>
      <c r="B13616" t="str">
        <f>T("Phares et projecteurs scellés")</f>
        <v>Phares et projecteurs scellés</v>
      </c>
    </row>
    <row r="13617" spans="1:4" x14ac:dyDescent="0.25">
      <c r="A13617" t="str">
        <f>T("   ZZZ_Monde")</f>
        <v xml:space="preserve">   ZZZ_Monde</v>
      </c>
      <c r="B13617" t="str">
        <f>T("   ZZZ_Monde")</f>
        <v xml:space="preserve">   ZZZ_Monde</v>
      </c>
      <c r="C13617">
        <v>49930113</v>
      </c>
      <c r="D13617">
        <v>10062</v>
      </c>
    </row>
    <row r="13618" spans="1:4" x14ac:dyDescent="0.25">
      <c r="A13618" t="str">
        <f>T("   BE")</f>
        <v xml:space="preserve">   BE</v>
      </c>
      <c r="B13618" t="str">
        <f>T("   Belgique")</f>
        <v xml:space="preserve">   Belgique</v>
      </c>
      <c r="C13618">
        <v>1789459</v>
      </c>
      <c r="D13618">
        <v>42</v>
      </c>
    </row>
    <row r="13619" spans="1:4" x14ac:dyDescent="0.25">
      <c r="A13619" t="str">
        <f>T("   CN")</f>
        <v xml:space="preserve">   CN</v>
      </c>
      <c r="B13619" t="str">
        <f>T("   Chine")</f>
        <v xml:space="preserve">   Chine</v>
      </c>
      <c r="C13619">
        <v>360792</v>
      </c>
      <c r="D13619">
        <v>1500</v>
      </c>
    </row>
    <row r="13620" spans="1:4" x14ac:dyDescent="0.25">
      <c r="A13620" t="str">
        <f>T("   FR")</f>
        <v xml:space="preserve">   FR</v>
      </c>
      <c r="B13620" t="str">
        <f>T("   France")</f>
        <v xml:space="preserve">   France</v>
      </c>
      <c r="C13620">
        <v>47650247</v>
      </c>
      <c r="D13620">
        <v>7820</v>
      </c>
    </row>
    <row r="13621" spans="1:4" x14ac:dyDescent="0.25">
      <c r="A13621" t="str">
        <f>T("   NG")</f>
        <v xml:space="preserve">   NG</v>
      </c>
      <c r="B13621" t="str">
        <f>T("   Nigéria")</f>
        <v xml:space="preserve">   Nigéria</v>
      </c>
      <c r="C13621">
        <v>75000</v>
      </c>
      <c r="D13621">
        <v>100</v>
      </c>
    </row>
    <row r="13622" spans="1:4" x14ac:dyDescent="0.25">
      <c r="A13622" t="str">
        <f>T("   TG")</f>
        <v xml:space="preserve">   TG</v>
      </c>
      <c r="B13622" t="str">
        <f>T("   Togo")</f>
        <v xml:space="preserve">   Togo</v>
      </c>
      <c r="C13622">
        <v>54615</v>
      </c>
      <c r="D13622">
        <v>600</v>
      </c>
    </row>
    <row r="13623" spans="1:4" x14ac:dyDescent="0.25">
      <c r="A13623" t="str">
        <f>T("853921")</f>
        <v>853921</v>
      </c>
      <c r="B13623" t="str">
        <f>T("Lampes et tubes halogènes, au tungstène (autres que phares et projecteurs scellés)")</f>
        <v>Lampes et tubes halogènes, au tungstène (autres que phares et projecteurs scellés)</v>
      </c>
    </row>
    <row r="13624" spans="1:4" x14ac:dyDescent="0.25">
      <c r="A13624" t="str">
        <f>T("   ZZZ_Monde")</f>
        <v xml:space="preserve">   ZZZ_Monde</v>
      </c>
      <c r="B13624" t="str">
        <f>T("   ZZZ_Monde")</f>
        <v xml:space="preserve">   ZZZ_Monde</v>
      </c>
      <c r="C13624">
        <v>499730</v>
      </c>
      <c r="D13624">
        <v>24</v>
      </c>
    </row>
    <row r="13625" spans="1:4" x14ac:dyDescent="0.25">
      <c r="A13625" t="str">
        <f>T("   DE")</f>
        <v xml:space="preserve">   DE</v>
      </c>
      <c r="B13625" t="str">
        <f>T("   Allemagne")</f>
        <v xml:space="preserve">   Allemagne</v>
      </c>
      <c r="C13625">
        <v>140920</v>
      </c>
      <c r="D13625">
        <v>9</v>
      </c>
    </row>
    <row r="13626" spans="1:4" x14ac:dyDescent="0.25">
      <c r="A13626" t="str">
        <f>T("   FR")</f>
        <v xml:space="preserve">   FR</v>
      </c>
      <c r="B13626" t="str">
        <f>T("   France")</f>
        <v xml:space="preserve">   France</v>
      </c>
      <c r="C13626">
        <v>358810</v>
      </c>
      <c r="D13626">
        <v>15</v>
      </c>
    </row>
    <row r="13627" spans="1:4" x14ac:dyDescent="0.25">
      <c r="A13627" t="str">
        <f>T("853929")</f>
        <v>853929</v>
      </c>
      <c r="B13627" t="str">
        <f>T("Lampes et tubes à incandescence électriques (autres que lampes et tubes halogènes, au tungstène, lampes d'une puissance &lt;= 200 W et pour une tension &gt; 100 V, et lampes à rayons ultraviolets ou infrarouges)")</f>
        <v>Lampes et tubes à incandescence électriques (autres que lampes et tubes halogènes, au tungstène, lampes d'une puissance &lt;= 200 W et pour une tension &gt; 100 V, et lampes à rayons ultraviolets ou infrarouges)</v>
      </c>
    </row>
    <row r="13628" spans="1:4" x14ac:dyDescent="0.25">
      <c r="A13628" t="str">
        <f>T("   ZZZ_Monde")</f>
        <v xml:space="preserve">   ZZZ_Monde</v>
      </c>
      <c r="B13628" t="str">
        <f>T("   ZZZ_Monde")</f>
        <v xml:space="preserve">   ZZZ_Monde</v>
      </c>
      <c r="C13628">
        <v>67297676</v>
      </c>
      <c r="D13628">
        <v>109015</v>
      </c>
    </row>
    <row r="13629" spans="1:4" x14ac:dyDescent="0.25">
      <c r="A13629" t="str">
        <f>T("   AT")</f>
        <v xml:space="preserve">   AT</v>
      </c>
      <c r="B13629" t="str">
        <f>T("   Autriche")</f>
        <v xml:space="preserve">   Autriche</v>
      </c>
      <c r="C13629">
        <v>14716463</v>
      </c>
      <c r="D13629">
        <v>573</v>
      </c>
    </row>
    <row r="13630" spans="1:4" x14ac:dyDescent="0.25">
      <c r="A13630" t="str">
        <f>T("   CA")</f>
        <v xml:space="preserve">   CA</v>
      </c>
      <c r="B13630" t="str">
        <f>T("   Canada")</f>
        <v xml:space="preserve">   Canada</v>
      </c>
      <c r="C13630">
        <v>983100</v>
      </c>
      <c r="D13630">
        <v>732</v>
      </c>
    </row>
    <row r="13631" spans="1:4" x14ac:dyDescent="0.25">
      <c r="A13631" t="str">
        <f>T("   CN")</f>
        <v xml:space="preserve">   CN</v>
      </c>
      <c r="B13631" t="str">
        <f>T("   Chine")</f>
        <v xml:space="preserve">   Chine</v>
      </c>
      <c r="C13631">
        <v>32833166</v>
      </c>
      <c r="D13631">
        <v>88594</v>
      </c>
    </row>
    <row r="13632" spans="1:4" x14ac:dyDescent="0.25">
      <c r="A13632" t="str">
        <f>T("   ES")</f>
        <v xml:space="preserve">   ES</v>
      </c>
      <c r="B13632" t="str">
        <f>T("   Espagne")</f>
        <v xml:space="preserve">   Espagne</v>
      </c>
      <c r="C13632">
        <v>1893665</v>
      </c>
      <c r="D13632">
        <v>755</v>
      </c>
    </row>
    <row r="13633" spans="1:4" x14ac:dyDescent="0.25">
      <c r="A13633" t="str">
        <f>T("   FR")</f>
        <v xml:space="preserve">   FR</v>
      </c>
      <c r="B13633" t="str">
        <f>T("   France")</f>
        <v xml:space="preserve">   France</v>
      </c>
      <c r="C13633">
        <v>4952716</v>
      </c>
      <c r="D13633">
        <v>493</v>
      </c>
    </row>
    <row r="13634" spans="1:4" x14ac:dyDescent="0.25">
      <c r="A13634" t="str">
        <f>T("   HK")</f>
        <v xml:space="preserve">   HK</v>
      </c>
      <c r="B13634" t="str">
        <f>T("   Hong-Kong")</f>
        <v xml:space="preserve">   Hong-Kong</v>
      </c>
      <c r="C13634">
        <v>544184</v>
      </c>
      <c r="D13634">
        <v>177</v>
      </c>
    </row>
    <row r="13635" spans="1:4" x14ac:dyDescent="0.25">
      <c r="A13635" t="str">
        <f>T("   IT")</f>
        <v xml:space="preserve">   IT</v>
      </c>
      <c r="B13635" t="str">
        <f>T("   Italie")</f>
        <v xml:space="preserve">   Italie</v>
      </c>
      <c r="C13635">
        <v>335852</v>
      </c>
      <c r="D13635">
        <v>53</v>
      </c>
    </row>
    <row r="13636" spans="1:4" x14ac:dyDescent="0.25">
      <c r="A13636" t="str">
        <f>T("   JP")</f>
        <v xml:space="preserve">   JP</v>
      </c>
      <c r="B13636" t="str">
        <f>T("   Japon")</f>
        <v xml:space="preserve">   Japon</v>
      </c>
      <c r="C13636">
        <v>585385</v>
      </c>
      <c r="D13636">
        <v>47</v>
      </c>
    </row>
    <row r="13637" spans="1:4" x14ac:dyDescent="0.25">
      <c r="A13637" t="str">
        <f>T("   NG")</f>
        <v xml:space="preserve">   NG</v>
      </c>
      <c r="B13637" t="str">
        <f>T("   Nigéria")</f>
        <v xml:space="preserve">   Nigéria</v>
      </c>
      <c r="C13637">
        <v>910000</v>
      </c>
      <c r="D13637">
        <v>2050</v>
      </c>
    </row>
    <row r="13638" spans="1:4" x14ac:dyDescent="0.25">
      <c r="A13638" t="str">
        <f>T("   NL")</f>
        <v xml:space="preserve">   NL</v>
      </c>
      <c r="B13638" t="str">
        <f>T("   Pays-bas")</f>
        <v xml:space="preserve">   Pays-bas</v>
      </c>
      <c r="C13638">
        <v>1094778</v>
      </c>
      <c r="D13638">
        <v>3</v>
      </c>
    </row>
    <row r="13639" spans="1:4" x14ac:dyDescent="0.25">
      <c r="A13639" t="str">
        <f>T("   PT")</f>
        <v xml:space="preserve">   PT</v>
      </c>
      <c r="B13639" t="str">
        <f>T("   Portugal")</f>
        <v xml:space="preserve">   Portugal</v>
      </c>
      <c r="C13639">
        <v>6550000</v>
      </c>
      <c r="D13639">
        <v>5941</v>
      </c>
    </row>
    <row r="13640" spans="1:4" x14ac:dyDescent="0.25">
      <c r="A13640" t="str">
        <f>T("   TG")</f>
        <v xml:space="preserve">   TG</v>
      </c>
      <c r="B13640" t="str">
        <f>T("   Togo")</f>
        <v xml:space="preserve">   Togo</v>
      </c>
      <c r="C13640">
        <v>1898367</v>
      </c>
      <c r="D13640">
        <v>9597</v>
      </c>
    </row>
    <row r="13641" spans="1:4" x14ac:dyDescent="0.25">
      <c r="A13641" t="str">
        <f>T("853931")</f>
        <v>853931</v>
      </c>
      <c r="B13641" t="str">
        <f>T("Lampes et tubes à décharge, fluorescents, à cathode chaude")</f>
        <v>Lampes et tubes à décharge, fluorescents, à cathode chaude</v>
      </c>
    </row>
    <row r="13642" spans="1:4" x14ac:dyDescent="0.25">
      <c r="A13642" t="str">
        <f>T("   ZZZ_Monde")</f>
        <v xml:space="preserve">   ZZZ_Monde</v>
      </c>
      <c r="B13642" t="str">
        <f>T("   ZZZ_Monde")</f>
        <v xml:space="preserve">   ZZZ_Monde</v>
      </c>
      <c r="C13642">
        <v>179943325</v>
      </c>
      <c r="D13642">
        <v>295483</v>
      </c>
    </row>
    <row r="13643" spans="1:4" x14ac:dyDescent="0.25">
      <c r="A13643" t="str">
        <f>T("   CN")</f>
        <v xml:space="preserve">   CN</v>
      </c>
      <c r="B13643" t="str">
        <f>T("   Chine")</f>
        <v xml:space="preserve">   Chine</v>
      </c>
      <c r="C13643">
        <v>43114576</v>
      </c>
      <c r="D13643">
        <v>72319</v>
      </c>
    </row>
    <row r="13644" spans="1:4" x14ac:dyDescent="0.25">
      <c r="A13644" t="str">
        <f>T("   FR")</f>
        <v xml:space="preserve">   FR</v>
      </c>
      <c r="B13644" t="str">
        <f>T("   France")</f>
        <v xml:space="preserve">   France</v>
      </c>
      <c r="C13644">
        <v>9223400</v>
      </c>
      <c r="D13644">
        <v>1837</v>
      </c>
    </row>
    <row r="13645" spans="1:4" x14ac:dyDescent="0.25">
      <c r="A13645" t="str">
        <f>T("   GH")</f>
        <v xml:space="preserve">   GH</v>
      </c>
      <c r="B13645" t="str">
        <f>T("   Ghana")</f>
        <v xml:space="preserve">   Ghana</v>
      </c>
      <c r="C13645">
        <v>2000000</v>
      </c>
      <c r="D13645">
        <v>11400</v>
      </c>
    </row>
    <row r="13646" spans="1:4" x14ac:dyDescent="0.25">
      <c r="A13646" t="str">
        <f>T("   NG")</f>
        <v xml:space="preserve">   NG</v>
      </c>
      <c r="B13646" t="str">
        <f>T("   Nigéria")</f>
        <v xml:space="preserve">   Nigéria</v>
      </c>
      <c r="C13646">
        <v>112716685</v>
      </c>
      <c r="D13646">
        <v>172350</v>
      </c>
    </row>
    <row r="13647" spans="1:4" x14ac:dyDescent="0.25">
      <c r="A13647" t="str">
        <f>T("   SE")</f>
        <v xml:space="preserve">   SE</v>
      </c>
      <c r="B13647" t="str">
        <f>T("   Suède")</f>
        <v xml:space="preserve">   Suède</v>
      </c>
      <c r="C13647">
        <v>3388664</v>
      </c>
      <c r="D13647">
        <v>17697</v>
      </c>
    </row>
    <row r="13648" spans="1:4" x14ac:dyDescent="0.25">
      <c r="A13648" t="str">
        <f>T("   TG")</f>
        <v xml:space="preserve">   TG</v>
      </c>
      <c r="B13648" t="str">
        <f>T("   Togo")</f>
        <v xml:space="preserve">   Togo</v>
      </c>
      <c r="C13648">
        <v>9500000</v>
      </c>
      <c r="D13648">
        <v>19880</v>
      </c>
    </row>
    <row r="13649" spans="1:4" x14ac:dyDescent="0.25">
      <c r="A13649" t="str">
        <f>T("853932")</f>
        <v>853932</v>
      </c>
      <c r="B13649" t="str">
        <f>T("Lampes à vapeur de mercure ou de sodium; lampes à halogénure métallique")</f>
        <v>Lampes à vapeur de mercure ou de sodium; lampes à halogénure métallique</v>
      </c>
    </row>
    <row r="13650" spans="1:4" x14ac:dyDescent="0.25">
      <c r="A13650" t="str">
        <f>T("   ZZZ_Monde")</f>
        <v xml:space="preserve">   ZZZ_Monde</v>
      </c>
      <c r="B13650" t="str">
        <f>T("   ZZZ_Monde")</f>
        <v xml:space="preserve">   ZZZ_Monde</v>
      </c>
      <c r="C13650">
        <v>493577</v>
      </c>
      <c r="D13650">
        <v>31</v>
      </c>
    </row>
    <row r="13651" spans="1:4" x14ac:dyDescent="0.25">
      <c r="A13651" t="str">
        <f>T("   FR")</f>
        <v xml:space="preserve">   FR</v>
      </c>
      <c r="B13651" t="str">
        <f>T("   France")</f>
        <v xml:space="preserve">   France</v>
      </c>
      <c r="C13651">
        <v>493577</v>
      </c>
      <c r="D13651">
        <v>31</v>
      </c>
    </row>
    <row r="13652" spans="1:4" x14ac:dyDescent="0.25">
      <c r="A13652" t="str">
        <f>T("853939")</f>
        <v>853939</v>
      </c>
      <c r="B13652" t="str">
        <f>T("Lampes et tubes à décharge (autres que fluorescents, à cathode chaude, à vapeur de mercure ou de sodium, à halogénure métallique et qu'à rayons ultraviolets)")</f>
        <v>Lampes et tubes à décharge (autres que fluorescents, à cathode chaude, à vapeur de mercure ou de sodium, à halogénure métallique et qu'à rayons ultraviolets)</v>
      </c>
    </row>
    <row r="13653" spans="1:4" x14ac:dyDescent="0.25">
      <c r="A13653" t="str">
        <f>T("   ZZZ_Monde")</f>
        <v xml:space="preserve">   ZZZ_Monde</v>
      </c>
      <c r="B13653" t="str">
        <f>T("   ZZZ_Monde")</f>
        <v xml:space="preserve">   ZZZ_Monde</v>
      </c>
      <c r="C13653">
        <v>74253512</v>
      </c>
      <c r="D13653">
        <v>103195.5</v>
      </c>
    </row>
    <row r="13654" spans="1:4" x14ac:dyDescent="0.25">
      <c r="A13654" t="str">
        <f>T("   AE")</f>
        <v xml:space="preserve">   AE</v>
      </c>
      <c r="B13654" t="str">
        <f>T("   Emirats Arabes Unis")</f>
        <v xml:space="preserve">   Emirats Arabes Unis</v>
      </c>
      <c r="C13654">
        <v>839677</v>
      </c>
      <c r="D13654">
        <v>1922</v>
      </c>
    </row>
    <row r="13655" spans="1:4" x14ac:dyDescent="0.25">
      <c r="A13655" t="str">
        <f>T("   BE")</f>
        <v xml:space="preserve">   BE</v>
      </c>
      <c r="B13655" t="str">
        <f>T("   Belgique")</f>
        <v xml:space="preserve">   Belgique</v>
      </c>
      <c r="C13655">
        <v>764150</v>
      </c>
      <c r="D13655">
        <v>44</v>
      </c>
    </row>
    <row r="13656" spans="1:4" x14ac:dyDescent="0.25">
      <c r="A13656" t="str">
        <f>T("   CN")</f>
        <v xml:space="preserve">   CN</v>
      </c>
      <c r="B13656" t="str">
        <f>T("   Chine")</f>
        <v xml:space="preserve">   Chine</v>
      </c>
      <c r="C13656">
        <v>32988511</v>
      </c>
      <c r="D13656">
        <v>78411</v>
      </c>
    </row>
    <row r="13657" spans="1:4" x14ac:dyDescent="0.25">
      <c r="A13657" t="str">
        <f>T("   FR")</f>
        <v xml:space="preserve">   FR</v>
      </c>
      <c r="B13657" t="str">
        <f>T("   France")</f>
        <v xml:space="preserve">   France</v>
      </c>
      <c r="C13657">
        <v>14575538</v>
      </c>
      <c r="D13657">
        <v>4348.5</v>
      </c>
    </row>
    <row r="13658" spans="1:4" x14ac:dyDescent="0.25">
      <c r="A13658" t="str">
        <f>T("   HK")</f>
        <v xml:space="preserve">   HK</v>
      </c>
      <c r="B13658" t="str">
        <f>T("   Hong-Kong")</f>
        <v xml:space="preserve">   Hong-Kong</v>
      </c>
      <c r="C13658">
        <v>690483</v>
      </c>
      <c r="D13658">
        <v>1559</v>
      </c>
    </row>
    <row r="13659" spans="1:4" x14ac:dyDescent="0.25">
      <c r="A13659" t="str">
        <f>T("   MA")</f>
        <v xml:space="preserve">   MA</v>
      </c>
      <c r="B13659" t="str">
        <f>T("   Maroc")</f>
        <v xml:space="preserve">   Maroc</v>
      </c>
      <c r="C13659">
        <v>3795385</v>
      </c>
      <c r="D13659">
        <v>3695</v>
      </c>
    </row>
    <row r="13660" spans="1:4" x14ac:dyDescent="0.25">
      <c r="A13660" t="str">
        <f>T("   SK")</f>
        <v xml:space="preserve">   SK</v>
      </c>
      <c r="B13660" t="str">
        <f>T("   Slovaquie")</f>
        <v xml:space="preserve">   Slovaquie</v>
      </c>
      <c r="C13660">
        <v>9830873</v>
      </c>
      <c r="D13660">
        <v>2800</v>
      </c>
    </row>
    <row r="13661" spans="1:4" x14ac:dyDescent="0.25">
      <c r="A13661" t="str">
        <f>T("   TN")</f>
        <v xml:space="preserve">   TN</v>
      </c>
      <c r="B13661" t="str">
        <f>T("   Tunisie")</f>
        <v xml:space="preserve">   Tunisie</v>
      </c>
      <c r="C13661">
        <v>10768895</v>
      </c>
      <c r="D13661">
        <v>10416</v>
      </c>
    </row>
    <row r="13662" spans="1:4" x14ac:dyDescent="0.25">
      <c r="A13662" t="str">
        <f>T("853949")</f>
        <v>853949</v>
      </c>
      <c r="B13662" t="str">
        <f>T("Lampes et tubes à rayons ultraviolets ou infrarouges")</f>
        <v>Lampes et tubes à rayons ultraviolets ou infrarouges</v>
      </c>
    </row>
    <row r="13663" spans="1:4" x14ac:dyDescent="0.25">
      <c r="A13663" t="str">
        <f>T("   ZZZ_Monde")</f>
        <v xml:space="preserve">   ZZZ_Monde</v>
      </c>
      <c r="B13663" t="str">
        <f>T("   ZZZ_Monde")</f>
        <v xml:space="preserve">   ZZZ_Monde</v>
      </c>
      <c r="C13663">
        <v>24473472</v>
      </c>
      <c r="D13663">
        <v>3171.5</v>
      </c>
    </row>
    <row r="13664" spans="1:4" x14ac:dyDescent="0.25">
      <c r="A13664" t="str">
        <f>T("   CH")</f>
        <v xml:space="preserve">   CH</v>
      </c>
      <c r="B13664" t="str">
        <f>T("   Suisse")</f>
        <v xml:space="preserve">   Suisse</v>
      </c>
      <c r="C13664">
        <v>202286</v>
      </c>
      <c r="D13664">
        <v>6</v>
      </c>
    </row>
    <row r="13665" spans="1:4" x14ac:dyDescent="0.25">
      <c r="A13665" t="str">
        <f>T("   CN")</f>
        <v xml:space="preserve">   CN</v>
      </c>
      <c r="B13665" t="str">
        <f>T("   Chine")</f>
        <v xml:space="preserve">   Chine</v>
      </c>
      <c r="C13665">
        <v>436920</v>
      </c>
      <c r="D13665">
        <v>1500</v>
      </c>
    </row>
    <row r="13666" spans="1:4" x14ac:dyDescent="0.25">
      <c r="A13666" t="str">
        <f>T("   DE")</f>
        <v xml:space="preserve">   DE</v>
      </c>
      <c r="B13666" t="str">
        <f>T("   Allemagne")</f>
        <v xml:space="preserve">   Allemagne</v>
      </c>
      <c r="C13666">
        <v>2404749</v>
      </c>
      <c r="D13666">
        <v>0.5</v>
      </c>
    </row>
    <row r="13667" spans="1:4" x14ac:dyDescent="0.25">
      <c r="A13667" t="str">
        <f>T("   FR")</f>
        <v xml:space="preserve">   FR</v>
      </c>
      <c r="B13667" t="str">
        <f>T("   France")</f>
        <v xml:space="preserve">   France</v>
      </c>
      <c r="C13667">
        <v>21129517</v>
      </c>
      <c r="D13667">
        <v>505</v>
      </c>
    </row>
    <row r="13668" spans="1:4" x14ac:dyDescent="0.25">
      <c r="A13668" t="str">
        <f>T("   TG")</f>
        <v xml:space="preserve">   TG</v>
      </c>
      <c r="B13668" t="str">
        <f>T("   Togo")</f>
        <v xml:space="preserve">   Togo</v>
      </c>
      <c r="C13668">
        <v>300000</v>
      </c>
      <c r="D13668">
        <v>1160</v>
      </c>
    </row>
    <row r="13669" spans="1:4" x14ac:dyDescent="0.25">
      <c r="A13669" t="str">
        <f>T("853990")</f>
        <v>853990</v>
      </c>
      <c r="B13669" t="str">
        <f>T("Parties de lampes et de tubes à incandescence ou à décharge, de phares et projecteurs scellés, de lampes à rayons ultraviolets et infrarouges et de lampes à arc, n.d.a.")</f>
        <v>Parties de lampes et de tubes à incandescence ou à décharge, de phares et projecteurs scellés, de lampes à rayons ultraviolets et infrarouges et de lampes à arc, n.d.a.</v>
      </c>
    </row>
    <row r="13670" spans="1:4" x14ac:dyDescent="0.25">
      <c r="A13670" t="str">
        <f>T("   ZZZ_Monde")</f>
        <v xml:space="preserve">   ZZZ_Monde</v>
      </c>
      <c r="B13670" t="str">
        <f>T("   ZZZ_Monde")</f>
        <v xml:space="preserve">   ZZZ_Monde</v>
      </c>
      <c r="C13670">
        <v>1708432</v>
      </c>
      <c r="D13670">
        <v>4</v>
      </c>
    </row>
    <row r="13671" spans="1:4" x14ac:dyDescent="0.25">
      <c r="A13671" t="str">
        <f>T("   FR")</f>
        <v xml:space="preserve">   FR</v>
      </c>
      <c r="B13671" t="str">
        <f>T("   France")</f>
        <v xml:space="preserve">   France</v>
      </c>
      <c r="C13671">
        <v>73369</v>
      </c>
      <c r="D13671">
        <v>1</v>
      </c>
    </row>
    <row r="13672" spans="1:4" x14ac:dyDescent="0.25">
      <c r="A13672" t="str">
        <f>T("   GB")</f>
        <v xml:space="preserve">   GB</v>
      </c>
      <c r="B13672" t="str">
        <f>T("   Royaume-Uni")</f>
        <v xml:space="preserve">   Royaume-Uni</v>
      </c>
      <c r="C13672">
        <v>1635063</v>
      </c>
      <c r="D13672">
        <v>3</v>
      </c>
    </row>
    <row r="13673" spans="1:4" x14ac:dyDescent="0.25">
      <c r="A13673" t="str">
        <f>T("854011")</f>
        <v>854011</v>
      </c>
      <c r="B13673" t="str">
        <f>T("Tubes cathodiques pour récepteurs de télévision et moniteurs vidéo, en couleurs")</f>
        <v>Tubes cathodiques pour récepteurs de télévision et moniteurs vidéo, en couleurs</v>
      </c>
    </row>
    <row r="13674" spans="1:4" x14ac:dyDescent="0.25">
      <c r="A13674" t="str">
        <f>T("   ZZZ_Monde")</f>
        <v xml:space="preserve">   ZZZ_Monde</v>
      </c>
      <c r="B13674" t="str">
        <f>T("   ZZZ_Monde")</f>
        <v xml:space="preserve">   ZZZ_Monde</v>
      </c>
      <c r="C13674">
        <v>155841</v>
      </c>
      <c r="D13674">
        <v>104</v>
      </c>
    </row>
    <row r="13675" spans="1:4" x14ac:dyDescent="0.25">
      <c r="A13675" t="str">
        <f>T("   AF")</f>
        <v xml:space="preserve">   AF</v>
      </c>
      <c r="B13675" t="str">
        <f>T("   Afghanistan")</f>
        <v xml:space="preserve">   Afghanistan</v>
      </c>
      <c r="C13675">
        <v>155841</v>
      </c>
      <c r="D13675">
        <v>104</v>
      </c>
    </row>
    <row r="13676" spans="1:4" x14ac:dyDescent="0.25">
      <c r="A13676" t="str">
        <f>T("854079")</f>
        <v>854079</v>
      </c>
      <c r="B13676" t="str">
        <f>T("Tubes pour hyperfréquences [tubes à ondes progressives, carcinotrons, par exemple] (sauf magnétrons, klystrons et tubes commandés par grille)")</f>
        <v>Tubes pour hyperfréquences [tubes à ondes progressives, carcinotrons, par exemple] (sauf magnétrons, klystrons et tubes commandés par grille)</v>
      </c>
    </row>
    <row r="13677" spans="1:4" x14ac:dyDescent="0.25">
      <c r="A13677" t="str">
        <f>T("   ZZZ_Monde")</f>
        <v xml:space="preserve">   ZZZ_Monde</v>
      </c>
      <c r="B13677" t="str">
        <f>T("   ZZZ_Monde")</f>
        <v xml:space="preserve">   ZZZ_Monde</v>
      </c>
      <c r="C13677">
        <v>14943659</v>
      </c>
      <c r="D13677">
        <v>4692</v>
      </c>
    </row>
    <row r="13678" spans="1:4" x14ac:dyDescent="0.25">
      <c r="A13678" t="str">
        <f>T("   CN")</f>
        <v xml:space="preserve">   CN</v>
      </c>
      <c r="B13678" t="str">
        <f>T("   Chine")</f>
        <v xml:space="preserve">   Chine</v>
      </c>
      <c r="C13678">
        <v>14943659</v>
      </c>
      <c r="D13678">
        <v>4692</v>
      </c>
    </row>
    <row r="13679" spans="1:4" x14ac:dyDescent="0.25">
      <c r="A13679" t="str">
        <f>T("854089")</f>
        <v>854089</v>
      </c>
      <c r="B13679" t="str">
        <f>T("Lampes, tubes et valves électroniques (autres que tubes de réception et d'amplification, tubes pour hyperfréquences, tubes à cathode et à photocathode, tubes de visualisation des données graphiques en noir et blanc ou en autres monochromes et en couleurs")</f>
        <v>Lampes, tubes et valves électroniques (autres que tubes de réception et d'amplification, tubes pour hyperfréquences, tubes à cathode et à photocathode, tubes de visualisation des données graphiques en noir et blanc ou en autres monochromes et en couleurs</v>
      </c>
    </row>
    <row r="13680" spans="1:4" x14ac:dyDescent="0.25">
      <c r="A13680" t="str">
        <f>T("   ZZZ_Monde")</f>
        <v xml:space="preserve">   ZZZ_Monde</v>
      </c>
      <c r="B13680" t="str">
        <f>T("   ZZZ_Monde")</f>
        <v xml:space="preserve">   ZZZ_Monde</v>
      </c>
      <c r="C13680">
        <v>4096339</v>
      </c>
      <c r="D13680">
        <v>1093</v>
      </c>
    </row>
    <row r="13681" spans="1:4" x14ac:dyDescent="0.25">
      <c r="A13681" t="str">
        <f>T("   CN")</f>
        <v xml:space="preserve">   CN</v>
      </c>
      <c r="B13681" t="str">
        <f>T("   Chine")</f>
        <v xml:space="preserve">   Chine</v>
      </c>
      <c r="C13681">
        <v>929928</v>
      </c>
      <c r="D13681">
        <v>1050</v>
      </c>
    </row>
    <row r="13682" spans="1:4" x14ac:dyDescent="0.25">
      <c r="A13682" t="str">
        <f>T("   FR")</f>
        <v xml:space="preserve">   FR</v>
      </c>
      <c r="B13682" t="str">
        <f>T("   France")</f>
        <v xml:space="preserve">   France</v>
      </c>
      <c r="C13682">
        <v>3166411</v>
      </c>
      <c r="D13682">
        <v>43</v>
      </c>
    </row>
    <row r="13683" spans="1:4" x14ac:dyDescent="0.25">
      <c r="A13683" t="str">
        <f>T("854110")</f>
        <v>854110</v>
      </c>
      <c r="B13683" t="str">
        <f>T("Diodes (sauf photodiodes et diodes émettrices de lumière)")</f>
        <v>Diodes (sauf photodiodes et diodes émettrices de lumière)</v>
      </c>
    </row>
    <row r="13684" spans="1:4" x14ac:dyDescent="0.25">
      <c r="A13684" t="str">
        <f>T("   ZZZ_Monde")</f>
        <v xml:space="preserve">   ZZZ_Monde</v>
      </c>
      <c r="B13684" t="str">
        <f>T("   ZZZ_Monde")</f>
        <v xml:space="preserve">   ZZZ_Monde</v>
      </c>
      <c r="C13684">
        <v>593821</v>
      </c>
      <c r="D13684">
        <v>7.5</v>
      </c>
    </row>
    <row r="13685" spans="1:4" x14ac:dyDescent="0.25">
      <c r="A13685" t="str">
        <f>T("   FR")</f>
        <v xml:space="preserve">   FR</v>
      </c>
      <c r="B13685" t="str">
        <f>T("   France")</f>
        <v xml:space="preserve">   France</v>
      </c>
      <c r="C13685">
        <v>593821</v>
      </c>
      <c r="D13685">
        <v>7.5</v>
      </c>
    </row>
    <row r="13686" spans="1:4" x14ac:dyDescent="0.25">
      <c r="A13686" t="str">
        <f>T("854129")</f>
        <v>854129</v>
      </c>
      <c r="B13686" t="str">
        <f>T("Transistors à pouvoir de dissipation &gt;= 1 W (autres que phototransistors)")</f>
        <v>Transistors à pouvoir de dissipation &gt;= 1 W (autres que phototransistors)</v>
      </c>
    </row>
    <row r="13687" spans="1:4" x14ac:dyDescent="0.25">
      <c r="A13687" t="str">
        <f>T("   ZZZ_Monde")</f>
        <v xml:space="preserve">   ZZZ_Monde</v>
      </c>
      <c r="B13687" t="str">
        <f>T("   ZZZ_Monde")</f>
        <v xml:space="preserve">   ZZZ_Monde</v>
      </c>
      <c r="C13687">
        <v>640873</v>
      </c>
      <c r="D13687">
        <v>4</v>
      </c>
    </row>
    <row r="13688" spans="1:4" x14ac:dyDescent="0.25">
      <c r="A13688" t="str">
        <f>T("   BE")</f>
        <v xml:space="preserve">   BE</v>
      </c>
      <c r="B13688" t="str">
        <f>T("   Belgique")</f>
        <v xml:space="preserve">   Belgique</v>
      </c>
      <c r="C13688">
        <v>640873</v>
      </c>
      <c r="D13688">
        <v>4</v>
      </c>
    </row>
    <row r="13689" spans="1:4" x14ac:dyDescent="0.25">
      <c r="A13689" t="str">
        <f>T("854140")</f>
        <v>854140</v>
      </c>
      <c r="B13689" t="str">
        <f>T("Dispositifs photosensibles à semi-conducteur, y.c. les cellules photovoltaïques même assemblées en modules ou constituées en panneaux; diodes émettrices de lumière (sauf génératrices photovoltaïques)")</f>
        <v>Dispositifs photosensibles à semi-conducteur, y.c. les cellules photovoltaïques même assemblées en modules ou constituées en panneaux; diodes émettrices de lumière (sauf génératrices photovoltaïques)</v>
      </c>
    </row>
    <row r="13690" spans="1:4" x14ac:dyDescent="0.25">
      <c r="A13690" t="str">
        <f>T("   ZZZ_Monde")</f>
        <v xml:space="preserve">   ZZZ_Monde</v>
      </c>
      <c r="B13690" t="str">
        <f>T("   ZZZ_Monde")</f>
        <v xml:space="preserve">   ZZZ_Monde</v>
      </c>
      <c r="C13690">
        <v>6156832</v>
      </c>
      <c r="D13690">
        <v>2288</v>
      </c>
    </row>
    <row r="13691" spans="1:4" x14ac:dyDescent="0.25">
      <c r="A13691" t="str">
        <f>T("   CN")</f>
        <v xml:space="preserve">   CN</v>
      </c>
      <c r="B13691" t="str">
        <f>T("   Chine")</f>
        <v xml:space="preserve">   Chine</v>
      </c>
      <c r="C13691">
        <v>58894</v>
      </c>
      <c r="D13691">
        <v>1500</v>
      </c>
    </row>
    <row r="13692" spans="1:4" x14ac:dyDescent="0.25">
      <c r="A13692" t="str">
        <f>T("   DE")</f>
        <v xml:space="preserve">   DE</v>
      </c>
      <c r="B13692" t="str">
        <f>T("   Allemagne")</f>
        <v xml:space="preserve">   Allemagne</v>
      </c>
      <c r="C13692">
        <v>789518</v>
      </c>
      <c r="D13692">
        <v>1</v>
      </c>
    </row>
    <row r="13693" spans="1:4" x14ac:dyDescent="0.25">
      <c r="A13693" t="str">
        <f>T("   FR")</f>
        <v xml:space="preserve">   FR</v>
      </c>
      <c r="B13693" t="str">
        <f>T("   France")</f>
        <v xml:space="preserve">   France</v>
      </c>
      <c r="C13693">
        <v>4457759</v>
      </c>
      <c r="D13693">
        <v>785</v>
      </c>
    </row>
    <row r="13694" spans="1:4" x14ac:dyDescent="0.25">
      <c r="A13694" t="str">
        <f>T("   TR")</f>
        <v xml:space="preserve">   TR</v>
      </c>
      <c r="B13694" t="str">
        <f>T("   Turquie")</f>
        <v xml:space="preserve">   Turquie</v>
      </c>
      <c r="C13694">
        <v>850661</v>
      </c>
      <c r="D13694">
        <v>2</v>
      </c>
    </row>
    <row r="13695" spans="1:4" x14ac:dyDescent="0.25">
      <c r="A13695" t="str">
        <f>T("854150")</f>
        <v>854150</v>
      </c>
      <c r="B13695" t="str">
        <f>T("Dispositifs à semi-conducteur, n.d.a.")</f>
        <v>Dispositifs à semi-conducteur, n.d.a.</v>
      </c>
    </row>
    <row r="13696" spans="1:4" x14ac:dyDescent="0.25">
      <c r="A13696" t="str">
        <f>T("   ZZZ_Monde")</f>
        <v xml:space="preserve">   ZZZ_Monde</v>
      </c>
      <c r="B13696" t="str">
        <f>T("   ZZZ_Monde")</f>
        <v xml:space="preserve">   ZZZ_Monde</v>
      </c>
      <c r="C13696">
        <v>16118869</v>
      </c>
      <c r="D13696">
        <v>3012</v>
      </c>
    </row>
    <row r="13697" spans="1:4" x14ac:dyDescent="0.25">
      <c r="A13697" t="str">
        <f>T("   BE")</f>
        <v xml:space="preserve">   BE</v>
      </c>
      <c r="B13697" t="str">
        <f>T("   Belgique")</f>
        <v xml:space="preserve">   Belgique</v>
      </c>
      <c r="C13697">
        <v>1279122</v>
      </c>
      <c r="D13697">
        <v>175</v>
      </c>
    </row>
    <row r="13698" spans="1:4" x14ac:dyDescent="0.25">
      <c r="A13698" t="str">
        <f>T("   FR")</f>
        <v xml:space="preserve">   FR</v>
      </c>
      <c r="B13698" t="str">
        <f>T("   France")</f>
        <v xml:space="preserve">   France</v>
      </c>
      <c r="C13698">
        <v>1275855</v>
      </c>
      <c r="D13698">
        <v>39</v>
      </c>
    </row>
    <row r="13699" spans="1:4" x14ac:dyDescent="0.25">
      <c r="A13699" t="str">
        <f>T("   US")</f>
        <v xml:space="preserve">   US</v>
      </c>
      <c r="B13699" t="str">
        <f>T("   Etats-Unis")</f>
        <v xml:space="preserve">   Etats-Unis</v>
      </c>
      <c r="C13699">
        <v>13563892</v>
      </c>
      <c r="D13699">
        <v>2798</v>
      </c>
    </row>
    <row r="13700" spans="1:4" x14ac:dyDescent="0.25">
      <c r="A13700" t="str">
        <f>T("854190")</f>
        <v>854190</v>
      </c>
      <c r="B13700" t="str">
        <f>T("Parties des diodes, transistors et dispositifs simil. à semi-conducteur, dispositifs photosensibles à semi-conducteur, diodes émettrices de lumière et cristaux piézo-électriques montés, n.d.a.")</f>
        <v>Parties des diodes, transistors et dispositifs simil. à semi-conducteur, dispositifs photosensibles à semi-conducteur, diodes émettrices de lumière et cristaux piézo-électriques montés, n.d.a.</v>
      </c>
    </row>
    <row r="13701" spans="1:4" x14ac:dyDescent="0.25">
      <c r="A13701" t="str">
        <f>T("   ZZZ_Monde")</f>
        <v xml:space="preserve">   ZZZ_Monde</v>
      </c>
      <c r="B13701" t="str">
        <f>T("   ZZZ_Monde")</f>
        <v xml:space="preserve">   ZZZ_Monde</v>
      </c>
      <c r="C13701">
        <v>406695</v>
      </c>
      <c r="D13701">
        <v>250</v>
      </c>
    </row>
    <row r="13702" spans="1:4" x14ac:dyDescent="0.25">
      <c r="A13702" t="str">
        <f>T("   DE")</f>
        <v xml:space="preserve">   DE</v>
      </c>
      <c r="B13702" t="str">
        <f>T("   Allemagne")</f>
        <v xml:space="preserve">   Allemagne</v>
      </c>
      <c r="C13702">
        <v>406695</v>
      </c>
      <c r="D13702">
        <v>250</v>
      </c>
    </row>
    <row r="13703" spans="1:4" x14ac:dyDescent="0.25">
      <c r="A13703" t="str">
        <f>T("854210")</f>
        <v>854210</v>
      </c>
      <c r="B13703" t="str">
        <f>T("Cartes munies d'un circuit intégré électronique [cartes intelligentes], munies ou non d'une piste magnétique")</f>
        <v>Cartes munies d'un circuit intégré électronique [cartes intelligentes], munies ou non d'une piste magnétique</v>
      </c>
    </row>
    <row r="13704" spans="1:4" x14ac:dyDescent="0.25">
      <c r="A13704" t="str">
        <f>T("   ZZZ_Monde")</f>
        <v xml:space="preserve">   ZZZ_Monde</v>
      </c>
      <c r="B13704" t="str">
        <f>T("   ZZZ_Monde")</f>
        <v xml:space="preserve">   ZZZ_Monde</v>
      </c>
      <c r="C13704">
        <v>69014474</v>
      </c>
      <c r="D13704">
        <v>4092.2</v>
      </c>
    </row>
    <row r="13705" spans="1:4" x14ac:dyDescent="0.25">
      <c r="A13705" t="str">
        <f>T("   AF")</f>
        <v xml:space="preserve">   AF</v>
      </c>
      <c r="B13705" t="str">
        <f>T("   Afghanistan")</f>
        <v xml:space="preserve">   Afghanistan</v>
      </c>
      <c r="C13705">
        <v>1908626</v>
      </c>
      <c r="D13705">
        <v>15</v>
      </c>
    </row>
    <row r="13706" spans="1:4" x14ac:dyDescent="0.25">
      <c r="A13706" t="str">
        <f>T("   CN")</f>
        <v xml:space="preserve">   CN</v>
      </c>
      <c r="B13706" t="str">
        <f>T("   Chine")</f>
        <v xml:space="preserve">   Chine</v>
      </c>
      <c r="C13706">
        <v>206216</v>
      </c>
      <c r="D13706">
        <v>1</v>
      </c>
    </row>
    <row r="13707" spans="1:4" x14ac:dyDescent="0.25">
      <c r="A13707" t="str">
        <f>T("   FR")</f>
        <v xml:space="preserve">   FR</v>
      </c>
      <c r="B13707" t="str">
        <f>T("   France")</f>
        <v xml:space="preserve">   France</v>
      </c>
      <c r="C13707">
        <v>38229370</v>
      </c>
      <c r="D13707">
        <v>225.2</v>
      </c>
    </row>
    <row r="13708" spans="1:4" x14ac:dyDescent="0.25">
      <c r="A13708" t="str">
        <f>T("   IE")</f>
        <v xml:space="preserve">   IE</v>
      </c>
      <c r="B13708" t="str">
        <f>T("   Irlande")</f>
        <v xml:space="preserve">   Irlande</v>
      </c>
      <c r="C13708">
        <v>22129001</v>
      </c>
      <c r="D13708">
        <v>3820</v>
      </c>
    </row>
    <row r="13709" spans="1:4" x14ac:dyDescent="0.25">
      <c r="A13709" t="str">
        <f>T("   IN")</f>
        <v xml:space="preserve">   IN</v>
      </c>
      <c r="B13709" t="str">
        <f>T("   Inde")</f>
        <v xml:space="preserve">   Inde</v>
      </c>
      <c r="C13709">
        <v>112420</v>
      </c>
      <c r="D13709">
        <v>4</v>
      </c>
    </row>
    <row r="13710" spans="1:4" x14ac:dyDescent="0.25">
      <c r="A13710" t="str">
        <f>T("   US")</f>
        <v xml:space="preserve">   US</v>
      </c>
      <c r="B13710" t="str">
        <f>T("   Etats-Unis")</f>
        <v xml:space="preserve">   Etats-Unis</v>
      </c>
      <c r="C13710">
        <v>395321</v>
      </c>
      <c r="D13710">
        <v>26</v>
      </c>
    </row>
    <row r="13711" spans="1:4" x14ac:dyDescent="0.25">
      <c r="A13711" t="str">
        <f>T("   ZA")</f>
        <v xml:space="preserve">   ZA</v>
      </c>
      <c r="B13711" t="str">
        <f>T("   Afrique du Sud")</f>
        <v xml:space="preserve">   Afrique du Sud</v>
      </c>
      <c r="C13711">
        <v>6033520</v>
      </c>
      <c r="D13711">
        <v>1</v>
      </c>
    </row>
    <row r="13712" spans="1:4" x14ac:dyDescent="0.25">
      <c r="A13712" t="str">
        <f>T("854221")</f>
        <v>854221</v>
      </c>
      <c r="B13712" t="str">
        <f>T("Circuits intégrés monolithiques, numériques (à l'excl. des cartes munies d'un circuit intégré électronique [cartes intelligentes])")</f>
        <v>Circuits intégrés monolithiques, numériques (à l'excl. des cartes munies d'un circuit intégré électronique [cartes intelligentes])</v>
      </c>
    </row>
    <row r="13713" spans="1:4" x14ac:dyDescent="0.25">
      <c r="A13713" t="str">
        <f>T("   ZZZ_Monde")</f>
        <v xml:space="preserve">   ZZZ_Monde</v>
      </c>
      <c r="B13713" t="str">
        <f>T("   ZZZ_Monde")</f>
        <v xml:space="preserve">   ZZZ_Monde</v>
      </c>
      <c r="C13713">
        <v>16433104</v>
      </c>
      <c r="D13713">
        <v>435</v>
      </c>
    </row>
    <row r="13714" spans="1:4" x14ac:dyDescent="0.25">
      <c r="A13714" t="str">
        <f>T("   FR")</f>
        <v xml:space="preserve">   FR</v>
      </c>
      <c r="B13714" t="str">
        <f>T("   France")</f>
        <v xml:space="preserve">   France</v>
      </c>
      <c r="C13714">
        <v>16433104</v>
      </c>
      <c r="D13714">
        <v>435</v>
      </c>
    </row>
    <row r="13715" spans="1:4" x14ac:dyDescent="0.25">
      <c r="A13715" t="str">
        <f>T("854229")</f>
        <v>854229</v>
      </c>
      <c r="B13715" t="str">
        <f>T("Circuits intégrés monolithiques, analogiques ou analogiques-numériques")</f>
        <v>Circuits intégrés monolithiques, analogiques ou analogiques-numériques</v>
      </c>
    </row>
    <row r="13716" spans="1:4" x14ac:dyDescent="0.25">
      <c r="A13716" t="str">
        <f>T("   ZZZ_Monde")</f>
        <v xml:space="preserve">   ZZZ_Monde</v>
      </c>
      <c r="B13716" t="str">
        <f>T("   ZZZ_Monde")</f>
        <v xml:space="preserve">   ZZZ_Monde</v>
      </c>
      <c r="C13716">
        <v>487703</v>
      </c>
      <c r="D13716">
        <v>31</v>
      </c>
    </row>
    <row r="13717" spans="1:4" x14ac:dyDescent="0.25">
      <c r="A13717" t="str">
        <f>T("   FI")</f>
        <v xml:space="preserve">   FI</v>
      </c>
      <c r="B13717" t="str">
        <f>T("   Finlande")</f>
        <v xml:space="preserve">   Finlande</v>
      </c>
      <c r="C13717">
        <v>20991</v>
      </c>
      <c r="D13717">
        <v>1</v>
      </c>
    </row>
    <row r="13718" spans="1:4" x14ac:dyDescent="0.25">
      <c r="A13718" t="str">
        <f>T("   FR")</f>
        <v xml:space="preserve">   FR</v>
      </c>
      <c r="B13718" t="str">
        <f>T("   France")</f>
        <v xml:space="preserve">   France</v>
      </c>
      <c r="C13718">
        <v>441120</v>
      </c>
      <c r="D13718">
        <v>26</v>
      </c>
    </row>
    <row r="13719" spans="1:4" x14ac:dyDescent="0.25">
      <c r="A13719" t="str">
        <f>T("   US")</f>
        <v xml:space="preserve">   US</v>
      </c>
      <c r="B13719" t="str">
        <f>T("   Etats-Unis")</f>
        <v xml:space="preserve">   Etats-Unis</v>
      </c>
      <c r="C13719">
        <v>25592</v>
      </c>
      <c r="D13719">
        <v>4</v>
      </c>
    </row>
    <row r="13720" spans="1:4" x14ac:dyDescent="0.25">
      <c r="A13720" t="str">
        <f>T("854270")</f>
        <v>854270</v>
      </c>
      <c r="B13720" t="str">
        <f>T("Micro-assemblages électroniques formés de composants discrets, actifs ou actifs et passifs, inséparables")</f>
        <v>Micro-assemblages électroniques formés de composants discrets, actifs ou actifs et passifs, inséparables</v>
      </c>
    </row>
    <row r="13721" spans="1:4" x14ac:dyDescent="0.25">
      <c r="A13721" t="str">
        <f>T("   ZZZ_Monde")</f>
        <v xml:space="preserve">   ZZZ_Monde</v>
      </c>
      <c r="B13721" t="str">
        <f>T("   ZZZ_Monde")</f>
        <v xml:space="preserve">   ZZZ_Monde</v>
      </c>
      <c r="C13721">
        <v>2274245</v>
      </c>
      <c r="D13721">
        <v>104</v>
      </c>
    </row>
    <row r="13722" spans="1:4" x14ac:dyDescent="0.25">
      <c r="A13722" t="str">
        <f>T("   FR")</f>
        <v xml:space="preserve">   FR</v>
      </c>
      <c r="B13722" t="str">
        <f>T("   France")</f>
        <v xml:space="preserve">   France</v>
      </c>
      <c r="C13722">
        <v>2274245</v>
      </c>
      <c r="D13722">
        <v>104</v>
      </c>
    </row>
    <row r="13723" spans="1:4" x14ac:dyDescent="0.25">
      <c r="A13723" t="str">
        <f>T("854319")</f>
        <v>854319</v>
      </c>
      <c r="B13723" t="str">
        <f>T("Accélérateurs de particules pour électrons, protons etc., électriques (à l'excl. des appareils d'implantation ionique pour doper les matières semi-conductrices)")</f>
        <v>Accélérateurs de particules pour électrons, protons etc., électriques (à l'excl. des appareils d'implantation ionique pour doper les matières semi-conductrices)</v>
      </c>
    </row>
    <row r="13724" spans="1:4" x14ac:dyDescent="0.25">
      <c r="A13724" t="str">
        <f>T("   ZZZ_Monde")</f>
        <v xml:space="preserve">   ZZZ_Monde</v>
      </c>
      <c r="B13724" t="str">
        <f>T("   ZZZ_Monde")</f>
        <v xml:space="preserve">   ZZZ_Monde</v>
      </c>
      <c r="C13724">
        <v>881877</v>
      </c>
      <c r="D13724">
        <v>504</v>
      </c>
    </row>
    <row r="13725" spans="1:4" x14ac:dyDescent="0.25">
      <c r="A13725" t="str">
        <f>T("   CN")</f>
        <v xml:space="preserve">   CN</v>
      </c>
      <c r="B13725" t="str">
        <f>T("   Chine")</f>
        <v xml:space="preserve">   Chine</v>
      </c>
      <c r="C13725">
        <v>881877</v>
      </c>
      <c r="D13725">
        <v>504</v>
      </c>
    </row>
    <row r="13726" spans="1:4" x14ac:dyDescent="0.25">
      <c r="A13726" t="str">
        <f>T("854381")</f>
        <v>854381</v>
      </c>
      <c r="B13726" t="str">
        <f>T("Cartes et étiquettes à déclenchement par effet de proximité, constituées par un circuit intégré à mémoire morte relié à une antenne imprimée")</f>
        <v>Cartes et étiquettes à déclenchement par effet de proximité, constituées par un circuit intégré à mémoire morte relié à une antenne imprimée</v>
      </c>
    </row>
    <row r="13727" spans="1:4" x14ac:dyDescent="0.25">
      <c r="A13727" t="str">
        <f>T("   ZZZ_Monde")</f>
        <v xml:space="preserve">   ZZZ_Monde</v>
      </c>
      <c r="B13727" t="str">
        <f>T("   ZZZ_Monde")</f>
        <v xml:space="preserve">   ZZZ_Monde</v>
      </c>
      <c r="C13727">
        <v>700000</v>
      </c>
      <c r="D13727">
        <v>1030</v>
      </c>
    </row>
    <row r="13728" spans="1:4" x14ac:dyDescent="0.25">
      <c r="A13728" t="str">
        <f>T("   GH")</f>
        <v xml:space="preserve">   GH</v>
      </c>
      <c r="B13728" t="str">
        <f>T("   Ghana")</f>
        <v xml:space="preserve">   Ghana</v>
      </c>
      <c r="C13728">
        <v>700000</v>
      </c>
      <c r="D13728">
        <v>1030</v>
      </c>
    </row>
    <row r="13729" spans="1:4" x14ac:dyDescent="0.25">
      <c r="A13729" t="str">
        <f>T("854389")</f>
        <v>854389</v>
      </c>
      <c r="B13729" t="str">
        <f>T("MACHINES ET APPAREILS ÉLECTRIQUES AYANT UNE FONCTION PROPRE, N.D.A. DANS LE CHAPITRE 85")</f>
        <v>MACHINES ET APPAREILS ÉLECTRIQUES AYANT UNE FONCTION PROPRE, N.D.A. DANS LE CHAPITRE 85</v>
      </c>
    </row>
    <row r="13730" spans="1:4" x14ac:dyDescent="0.25">
      <c r="A13730" t="str">
        <f>T("   ZZZ_Monde")</f>
        <v xml:space="preserve">   ZZZ_Monde</v>
      </c>
      <c r="B13730" t="str">
        <f>T("   ZZZ_Monde")</f>
        <v xml:space="preserve">   ZZZ_Monde</v>
      </c>
      <c r="C13730">
        <v>23626610</v>
      </c>
      <c r="D13730">
        <v>41732</v>
      </c>
    </row>
    <row r="13731" spans="1:4" x14ac:dyDescent="0.25">
      <c r="A13731" t="str">
        <f>T("   AE")</f>
        <v xml:space="preserve">   AE</v>
      </c>
      <c r="B13731" t="str">
        <f>T("   Emirats Arabes Unis")</f>
        <v xml:space="preserve">   Emirats Arabes Unis</v>
      </c>
      <c r="C13731">
        <v>373385</v>
      </c>
      <c r="D13731">
        <v>5000</v>
      </c>
    </row>
    <row r="13732" spans="1:4" x14ac:dyDescent="0.25">
      <c r="A13732" t="str">
        <f>T("   BE")</f>
        <v xml:space="preserve">   BE</v>
      </c>
      <c r="B13732" t="str">
        <f>T("   Belgique")</f>
        <v xml:space="preserve">   Belgique</v>
      </c>
      <c r="C13732">
        <v>3487451</v>
      </c>
      <c r="D13732">
        <v>655</v>
      </c>
    </row>
    <row r="13733" spans="1:4" x14ac:dyDescent="0.25">
      <c r="A13733" t="str">
        <f>T("   CN")</f>
        <v xml:space="preserve">   CN</v>
      </c>
      <c r="B13733" t="str">
        <f>T("   Chine")</f>
        <v xml:space="preserve">   Chine</v>
      </c>
      <c r="C13733">
        <v>12255466</v>
      </c>
      <c r="D13733">
        <v>30991</v>
      </c>
    </row>
    <row r="13734" spans="1:4" x14ac:dyDescent="0.25">
      <c r="A13734" t="str">
        <f>T("   FR")</f>
        <v xml:space="preserve">   FR</v>
      </c>
      <c r="B13734" t="str">
        <f>T("   France")</f>
        <v xml:space="preserve">   France</v>
      </c>
      <c r="C13734">
        <v>4542754</v>
      </c>
      <c r="D13734">
        <v>788</v>
      </c>
    </row>
    <row r="13735" spans="1:4" x14ac:dyDescent="0.25">
      <c r="A13735" t="str">
        <f>T("   GB")</f>
        <v xml:space="preserve">   GB</v>
      </c>
      <c r="B13735" t="str">
        <f>T("   Royaume-Uni")</f>
        <v xml:space="preserve">   Royaume-Uni</v>
      </c>
      <c r="C13735">
        <v>513617</v>
      </c>
      <c r="D13735">
        <v>4000</v>
      </c>
    </row>
    <row r="13736" spans="1:4" x14ac:dyDescent="0.25">
      <c r="A13736" t="str">
        <f>T("   JP")</f>
        <v xml:space="preserve">   JP</v>
      </c>
      <c r="B13736" t="str">
        <f>T("   Japon")</f>
        <v xml:space="preserve">   Japon</v>
      </c>
      <c r="C13736">
        <v>1270824</v>
      </c>
      <c r="D13736">
        <v>151</v>
      </c>
    </row>
    <row r="13737" spans="1:4" x14ac:dyDescent="0.25">
      <c r="A13737" t="str">
        <f>T("   LB")</f>
        <v xml:space="preserve">   LB</v>
      </c>
      <c r="B13737" t="str">
        <f>T("   Liban")</f>
        <v xml:space="preserve">   Liban</v>
      </c>
      <c r="C13737">
        <v>515982</v>
      </c>
      <c r="D13737">
        <v>103</v>
      </c>
    </row>
    <row r="13738" spans="1:4" x14ac:dyDescent="0.25">
      <c r="A13738" t="str">
        <f>T("   ZA")</f>
        <v xml:space="preserve">   ZA</v>
      </c>
      <c r="B13738" t="str">
        <f>T("   Afrique du Sud")</f>
        <v xml:space="preserve">   Afrique du Sud</v>
      </c>
      <c r="C13738">
        <v>667131</v>
      </c>
      <c r="D13738">
        <v>44</v>
      </c>
    </row>
    <row r="13739" spans="1:4" x14ac:dyDescent="0.25">
      <c r="A13739" t="str">
        <f>T("854390")</f>
        <v>854390</v>
      </c>
      <c r="B13739" t="str">
        <f>T("PARTIES DE MACHINES ET APPAREILS ÉLECTRIQUES AYANT UNE FONCTION PROPRE, N.D.A. DANS LE CHAPITRE 85")</f>
        <v>PARTIES DE MACHINES ET APPAREILS ÉLECTRIQUES AYANT UNE FONCTION PROPRE, N.D.A. DANS LE CHAPITRE 85</v>
      </c>
    </row>
    <row r="13740" spans="1:4" x14ac:dyDescent="0.25">
      <c r="A13740" t="str">
        <f>T("   ZZZ_Monde")</f>
        <v xml:space="preserve">   ZZZ_Monde</v>
      </c>
      <c r="B13740" t="str">
        <f>T("   ZZZ_Monde")</f>
        <v xml:space="preserve">   ZZZ_Monde</v>
      </c>
      <c r="C13740">
        <v>202074</v>
      </c>
      <c r="D13740">
        <v>2</v>
      </c>
    </row>
    <row r="13741" spans="1:4" x14ac:dyDescent="0.25">
      <c r="A13741" t="str">
        <f>T("   FR")</f>
        <v xml:space="preserve">   FR</v>
      </c>
      <c r="B13741" t="str">
        <f>T("   France")</f>
        <v xml:space="preserve">   France</v>
      </c>
      <c r="C13741">
        <v>202074</v>
      </c>
      <c r="D13741">
        <v>2</v>
      </c>
    </row>
    <row r="13742" spans="1:4" x14ac:dyDescent="0.25">
      <c r="A13742" t="str">
        <f>T("854411")</f>
        <v>854411</v>
      </c>
      <c r="B13742" t="str">
        <f>T("Fils pour bobinages pour l'électricité, en cuivre, isolés")</f>
        <v>Fils pour bobinages pour l'électricité, en cuivre, isolés</v>
      </c>
    </row>
    <row r="13743" spans="1:4" x14ac:dyDescent="0.25">
      <c r="A13743" t="str">
        <f>T("   ZZZ_Monde")</f>
        <v xml:space="preserve">   ZZZ_Monde</v>
      </c>
      <c r="B13743" t="str">
        <f>T("   ZZZ_Monde")</f>
        <v xml:space="preserve">   ZZZ_Monde</v>
      </c>
      <c r="C13743">
        <v>17474794</v>
      </c>
      <c r="D13743">
        <v>4332</v>
      </c>
    </row>
    <row r="13744" spans="1:4" x14ac:dyDescent="0.25">
      <c r="A13744" t="str">
        <f>T("   FR")</f>
        <v xml:space="preserve">   FR</v>
      </c>
      <c r="B13744" t="str">
        <f>T("   France")</f>
        <v xml:space="preserve">   France</v>
      </c>
      <c r="C13744">
        <v>17474794</v>
      </c>
      <c r="D13744">
        <v>4332</v>
      </c>
    </row>
    <row r="13745" spans="1:4" x14ac:dyDescent="0.25">
      <c r="A13745" t="str">
        <f>T("854419")</f>
        <v>854419</v>
      </c>
      <c r="B13745" t="str">
        <f>T("Fils pour bobinages pour l'électricité, autres qu'en cuivre, isolés")</f>
        <v>Fils pour bobinages pour l'électricité, autres qu'en cuivre, isolés</v>
      </c>
    </row>
    <row r="13746" spans="1:4" x14ac:dyDescent="0.25">
      <c r="A13746" t="str">
        <f>T("   ZZZ_Monde")</f>
        <v xml:space="preserve">   ZZZ_Monde</v>
      </c>
      <c r="B13746" t="str">
        <f>T("   ZZZ_Monde")</f>
        <v xml:space="preserve">   ZZZ_Monde</v>
      </c>
      <c r="C13746">
        <v>1464227</v>
      </c>
      <c r="D13746">
        <v>2792</v>
      </c>
    </row>
    <row r="13747" spans="1:4" x14ac:dyDescent="0.25">
      <c r="A13747" t="str">
        <f>T("   FR")</f>
        <v xml:space="preserve">   FR</v>
      </c>
      <c r="B13747" t="str">
        <f>T("   France")</f>
        <v xml:space="preserve">   France</v>
      </c>
      <c r="C13747">
        <v>1376727</v>
      </c>
      <c r="D13747">
        <v>2692</v>
      </c>
    </row>
    <row r="13748" spans="1:4" x14ac:dyDescent="0.25">
      <c r="A13748" t="str">
        <f>T("   NG")</f>
        <v xml:space="preserve">   NG</v>
      </c>
      <c r="B13748" t="str">
        <f>T("   Nigéria")</f>
        <v xml:space="preserve">   Nigéria</v>
      </c>
      <c r="C13748">
        <v>87500</v>
      </c>
      <c r="D13748">
        <v>100</v>
      </c>
    </row>
    <row r="13749" spans="1:4" x14ac:dyDescent="0.25">
      <c r="A13749" t="str">
        <f>T("854420")</f>
        <v>854420</v>
      </c>
      <c r="B13749" t="str">
        <f>T("Câbles coaxiaux et autres conducteurs électriques coaxiaux, isolés")</f>
        <v>Câbles coaxiaux et autres conducteurs électriques coaxiaux, isolés</v>
      </c>
    </row>
    <row r="13750" spans="1:4" x14ac:dyDescent="0.25">
      <c r="A13750" t="str">
        <f>T("   ZZZ_Monde")</f>
        <v xml:space="preserve">   ZZZ_Monde</v>
      </c>
      <c r="B13750" t="str">
        <f>T("   ZZZ_Monde")</f>
        <v xml:space="preserve">   ZZZ_Monde</v>
      </c>
      <c r="C13750">
        <v>325967223</v>
      </c>
      <c r="D13750">
        <v>418778.5</v>
      </c>
    </row>
    <row r="13751" spans="1:4" x14ac:dyDescent="0.25">
      <c r="A13751" t="str">
        <f>T("   BE")</f>
        <v xml:space="preserve">   BE</v>
      </c>
      <c r="B13751" t="str">
        <f>T("   Belgique")</f>
        <v xml:space="preserve">   Belgique</v>
      </c>
      <c r="C13751">
        <v>2125701</v>
      </c>
      <c r="D13751">
        <v>550</v>
      </c>
    </row>
    <row r="13752" spans="1:4" x14ac:dyDescent="0.25">
      <c r="A13752" t="str">
        <f>T("   CI")</f>
        <v xml:space="preserve">   CI</v>
      </c>
      <c r="B13752" t="str">
        <f>T("   Côte d'Ivoire")</f>
        <v xml:space="preserve">   Côte d'Ivoire</v>
      </c>
      <c r="C13752">
        <v>1330101</v>
      </c>
      <c r="D13752">
        <v>90</v>
      </c>
    </row>
    <row r="13753" spans="1:4" x14ac:dyDescent="0.25">
      <c r="A13753" t="str">
        <f>T("   CN")</f>
        <v xml:space="preserve">   CN</v>
      </c>
      <c r="B13753" t="str">
        <f>T("   Chine")</f>
        <v xml:space="preserve">   Chine</v>
      </c>
      <c r="C13753">
        <v>17980884</v>
      </c>
      <c r="D13753">
        <v>55831</v>
      </c>
    </row>
    <row r="13754" spans="1:4" x14ac:dyDescent="0.25">
      <c r="A13754" t="str">
        <f>T("   DE")</f>
        <v xml:space="preserve">   DE</v>
      </c>
      <c r="B13754" t="str">
        <f>T("   Allemagne")</f>
        <v xml:space="preserve">   Allemagne</v>
      </c>
      <c r="C13754">
        <v>10832799</v>
      </c>
      <c r="D13754">
        <v>316</v>
      </c>
    </row>
    <row r="13755" spans="1:4" x14ac:dyDescent="0.25">
      <c r="A13755" t="str">
        <f>T("   ES")</f>
        <v xml:space="preserve">   ES</v>
      </c>
      <c r="B13755" t="str">
        <f>T("   Espagne")</f>
        <v xml:space="preserve">   Espagne</v>
      </c>
      <c r="C13755">
        <v>29072803</v>
      </c>
      <c r="D13755">
        <v>4831</v>
      </c>
    </row>
    <row r="13756" spans="1:4" x14ac:dyDescent="0.25">
      <c r="A13756" t="str">
        <f>T("   FR")</f>
        <v xml:space="preserve">   FR</v>
      </c>
      <c r="B13756" t="str">
        <f>T("   France")</f>
        <v xml:space="preserve">   France</v>
      </c>
      <c r="C13756">
        <v>36159873</v>
      </c>
      <c r="D13756">
        <v>17918.5</v>
      </c>
    </row>
    <row r="13757" spans="1:4" x14ac:dyDescent="0.25">
      <c r="A13757" t="str">
        <f>T("   GB")</f>
        <v xml:space="preserve">   GB</v>
      </c>
      <c r="B13757" t="str">
        <f>T("   Royaume-Uni")</f>
        <v xml:space="preserve">   Royaume-Uni</v>
      </c>
      <c r="C13757">
        <v>625130</v>
      </c>
      <c r="D13757">
        <v>4</v>
      </c>
    </row>
    <row r="13758" spans="1:4" x14ac:dyDescent="0.25">
      <c r="A13758" t="str">
        <f>T("   MA")</f>
        <v xml:space="preserve">   MA</v>
      </c>
      <c r="B13758" t="str">
        <f>T("   Maroc")</f>
        <v xml:space="preserve">   Maroc</v>
      </c>
      <c r="C13758">
        <v>101893547</v>
      </c>
      <c r="D13758">
        <v>69914</v>
      </c>
    </row>
    <row r="13759" spans="1:4" x14ac:dyDescent="0.25">
      <c r="A13759" t="str">
        <f>T("   NG")</f>
        <v xml:space="preserve">   NG</v>
      </c>
      <c r="B13759" t="str">
        <f>T("   Nigéria")</f>
        <v xml:space="preserve">   Nigéria</v>
      </c>
      <c r="C13759">
        <v>1405250</v>
      </c>
      <c r="D13759">
        <v>1616</v>
      </c>
    </row>
    <row r="13760" spans="1:4" x14ac:dyDescent="0.25">
      <c r="A13760" t="str">
        <f>T("   SE")</f>
        <v xml:space="preserve">   SE</v>
      </c>
      <c r="B13760" t="str">
        <f>T("   Suède")</f>
        <v xml:space="preserve">   Suède</v>
      </c>
      <c r="C13760">
        <v>220980</v>
      </c>
      <c r="D13760">
        <v>12</v>
      </c>
    </row>
    <row r="13761" spans="1:4" x14ac:dyDescent="0.25">
      <c r="A13761" t="str">
        <f>T("   SN")</f>
        <v xml:space="preserve">   SN</v>
      </c>
      <c r="B13761" t="str">
        <f>T("   Sénégal")</f>
        <v xml:space="preserve">   Sénégal</v>
      </c>
      <c r="C13761">
        <v>105531800</v>
      </c>
      <c r="D13761">
        <v>239652</v>
      </c>
    </row>
    <row r="13762" spans="1:4" x14ac:dyDescent="0.25">
      <c r="A13762" t="str">
        <f>T("   TH")</f>
        <v xml:space="preserve">   TH</v>
      </c>
      <c r="B13762" t="str">
        <f>T("   Thaïlande")</f>
        <v xml:space="preserve">   Thaïlande</v>
      </c>
      <c r="C13762">
        <v>82400</v>
      </c>
      <c r="D13762">
        <v>40</v>
      </c>
    </row>
    <row r="13763" spans="1:4" x14ac:dyDescent="0.25">
      <c r="A13763" t="str">
        <f>T("   TN")</f>
        <v xml:space="preserve">   TN</v>
      </c>
      <c r="B13763" t="str">
        <f>T("   Tunisie")</f>
        <v xml:space="preserve">   Tunisie</v>
      </c>
      <c r="C13763">
        <v>18320963</v>
      </c>
      <c r="D13763">
        <v>27974</v>
      </c>
    </row>
    <row r="13764" spans="1:4" x14ac:dyDescent="0.25">
      <c r="A13764" t="str">
        <f>T("   US")</f>
        <v xml:space="preserve">   US</v>
      </c>
      <c r="B13764" t="str">
        <f>T("   Etats-Unis")</f>
        <v xml:space="preserve">   Etats-Unis</v>
      </c>
      <c r="C13764">
        <v>384992</v>
      </c>
      <c r="D13764">
        <v>30</v>
      </c>
    </row>
    <row r="13765" spans="1:4" x14ac:dyDescent="0.25">
      <c r="A13765" t="str">
        <f>T("854430")</f>
        <v>854430</v>
      </c>
      <c r="B13765" t="str">
        <f>T("Jeux de fils pour bougies d'allumage et autres jeux de fils, pour moyens de transport")</f>
        <v>Jeux de fils pour bougies d'allumage et autres jeux de fils, pour moyens de transport</v>
      </c>
    </row>
    <row r="13766" spans="1:4" x14ac:dyDescent="0.25">
      <c r="A13766" t="str">
        <f>T("   ZZZ_Monde")</f>
        <v xml:space="preserve">   ZZZ_Monde</v>
      </c>
      <c r="B13766" t="str">
        <f>T("   ZZZ_Monde")</f>
        <v xml:space="preserve">   ZZZ_Monde</v>
      </c>
      <c r="C13766">
        <v>3704581</v>
      </c>
      <c r="D13766">
        <v>101</v>
      </c>
    </row>
    <row r="13767" spans="1:4" x14ac:dyDescent="0.25">
      <c r="A13767" t="str">
        <f>T("   FI")</f>
        <v xml:space="preserve">   FI</v>
      </c>
      <c r="B13767" t="str">
        <f>T("   Finlande")</f>
        <v xml:space="preserve">   Finlande</v>
      </c>
      <c r="C13767">
        <v>41273</v>
      </c>
      <c r="D13767">
        <v>1</v>
      </c>
    </row>
    <row r="13768" spans="1:4" x14ac:dyDescent="0.25">
      <c r="A13768" t="str">
        <f>T("   IN")</f>
        <v xml:space="preserve">   IN</v>
      </c>
      <c r="B13768" t="str">
        <f>T("   Inde")</f>
        <v xml:space="preserve">   Inde</v>
      </c>
      <c r="C13768">
        <v>3663308</v>
      </c>
      <c r="D13768">
        <v>100</v>
      </c>
    </row>
    <row r="13769" spans="1:4" x14ac:dyDescent="0.25">
      <c r="A13769" t="str">
        <f>T("854441")</f>
        <v>854441</v>
      </c>
      <c r="B13769" t="str">
        <f>T("Conducteurs électriques, pour tension &lt;= 80 V, isolés, avec pièces de connexion, n.d.a.")</f>
        <v>Conducteurs électriques, pour tension &lt;= 80 V, isolés, avec pièces de connexion, n.d.a.</v>
      </c>
    </row>
    <row r="13770" spans="1:4" x14ac:dyDescent="0.25">
      <c r="A13770" t="str">
        <f>T("   ZZZ_Monde")</f>
        <v xml:space="preserve">   ZZZ_Monde</v>
      </c>
      <c r="B13770" t="str">
        <f>T("   ZZZ_Monde")</f>
        <v xml:space="preserve">   ZZZ_Monde</v>
      </c>
      <c r="C13770">
        <v>38792162</v>
      </c>
      <c r="D13770">
        <v>58522</v>
      </c>
    </row>
    <row r="13771" spans="1:4" x14ac:dyDescent="0.25">
      <c r="A13771" t="str">
        <f>T("   DE")</f>
        <v xml:space="preserve">   DE</v>
      </c>
      <c r="B13771" t="str">
        <f>T("   Allemagne")</f>
        <v xml:space="preserve">   Allemagne</v>
      </c>
      <c r="C13771">
        <v>698607</v>
      </c>
      <c r="D13771">
        <v>1</v>
      </c>
    </row>
    <row r="13772" spans="1:4" x14ac:dyDescent="0.25">
      <c r="A13772" t="str">
        <f>T("   FR")</f>
        <v xml:space="preserve">   FR</v>
      </c>
      <c r="B13772" t="str">
        <f>T("   France")</f>
        <v xml:space="preserve">   France</v>
      </c>
      <c r="C13772">
        <v>11291029</v>
      </c>
      <c r="D13772">
        <v>6095</v>
      </c>
    </row>
    <row r="13773" spans="1:4" x14ac:dyDescent="0.25">
      <c r="A13773" t="str">
        <f>T("   MA")</f>
        <v xml:space="preserve">   MA</v>
      </c>
      <c r="B13773" t="str">
        <f>T("   Maroc")</f>
        <v xml:space="preserve">   Maroc</v>
      </c>
      <c r="C13773">
        <v>26802526</v>
      </c>
      <c r="D13773">
        <v>52426</v>
      </c>
    </row>
    <row r="13774" spans="1:4" x14ac:dyDescent="0.25">
      <c r="A13774" t="str">
        <f>T("854449")</f>
        <v>854449</v>
      </c>
      <c r="B13774" t="str">
        <f>T("CONDUCTEURS ÉLECTRIQUES, POUR TENSION &lt;= 1.000 V, ISOLÉS, SANS PIÈCES DE CONNEXION, N.D.A.")</f>
        <v>CONDUCTEURS ÉLECTRIQUES, POUR TENSION &lt;= 1.000 V, ISOLÉS, SANS PIÈCES DE CONNEXION, N.D.A.</v>
      </c>
    </row>
    <row r="13775" spans="1:4" x14ac:dyDescent="0.25">
      <c r="A13775" t="str">
        <f>T("   ZZZ_Monde")</f>
        <v xml:space="preserve">   ZZZ_Monde</v>
      </c>
      <c r="B13775" t="str">
        <f>T("   ZZZ_Monde")</f>
        <v xml:space="preserve">   ZZZ_Monde</v>
      </c>
      <c r="C13775">
        <v>943975724</v>
      </c>
      <c r="D13775">
        <v>575424</v>
      </c>
    </row>
    <row r="13776" spans="1:4" x14ac:dyDescent="0.25">
      <c r="A13776" t="str">
        <f>T("   BE")</f>
        <v xml:space="preserve">   BE</v>
      </c>
      <c r="B13776" t="str">
        <f>T("   Belgique")</f>
        <v xml:space="preserve">   Belgique</v>
      </c>
      <c r="C13776">
        <v>213133801</v>
      </c>
      <c r="D13776">
        <v>97281</v>
      </c>
    </row>
    <row r="13777" spans="1:4" x14ac:dyDescent="0.25">
      <c r="A13777" t="str">
        <f>T("   CH")</f>
        <v xml:space="preserve">   CH</v>
      </c>
      <c r="B13777" t="str">
        <f>T("   Suisse")</f>
        <v xml:space="preserve">   Suisse</v>
      </c>
      <c r="C13777">
        <v>122556</v>
      </c>
      <c r="D13777">
        <v>74</v>
      </c>
    </row>
    <row r="13778" spans="1:4" x14ac:dyDescent="0.25">
      <c r="A13778" t="str">
        <f>T("   CI")</f>
        <v xml:space="preserve">   CI</v>
      </c>
      <c r="B13778" t="str">
        <f>T("   Côte d'Ivoire")</f>
        <v xml:space="preserve">   Côte d'Ivoire</v>
      </c>
      <c r="C13778">
        <v>64245998</v>
      </c>
      <c r="D13778">
        <v>29113</v>
      </c>
    </row>
    <row r="13779" spans="1:4" x14ac:dyDescent="0.25">
      <c r="A13779" t="str">
        <f>T("   CN")</f>
        <v xml:space="preserve">   CN</v>
      </c>
      <c r="B13779" t="str">
        <f>T("   Chine")</f>
        <v xml:space="preserve">   Chine</v>
      </c>
      <c r="C13779">
        <v>59350265</v>
      </c>
      <c r="D13779">
        <v>128422</v>
      </c>
    </row>
    <row r="13780" spans="1:4" x14ac:dyDescent="0.25">
      <c r="A13780" t="str">
        <f>T("   DE")</f>
        <v xml:space="preserve">   DE</v>
      </c>
      <c r="B13780" t="str">
        <f>T("   Allemagne")</f>
        <v xml:space="preserve">   Allemagne</v>
      </c>
      <c r="C13780">
        <v>1522433</v>
      </c>
      <c r="D13780">
        <v>25</v>
      </c>
    </row>
    <row r="13781" spans="1:4" x14ac:dyDescent="0.25">
      <c r="A13781" t="str">
        <f>T("   ES")</f>
        <v xml:space="preserve">   ES</v>
      </c>
      <c r="B13781" t="str">
        <f>T("   Espagne")</f>
        <v xml:space="preserve">   Espagne</v>
      </c>
      <c r="C13781">
        <v>6371405</v>
      </c>
      <c r="D13781">
        <v>1000</v>
      </c>
    </row>
    <row r="13782" spans="1:4" x14ac:dyDescent="0.25">
      <c r="A13782" t="str">
        <f>T("   FI")</f>
        <v xml:space="preserve">   FI</v>
      </c>
      <c r="B13782" t="str">
        <f>T("   Finlande")</f>
        <v xml:space="preserve">   Finlande</v>
      </c>
      <c r="C13782">
        <v>6763328</v>
      </c>
      <c r="D13782">
        <v>171</v>
      </c>
    </row>
    <row r="13783" spans="1:4" x14ac:dyDescent="0.25">
      <c r="A13783" t="str">
        <f>T("   FR")</f>
        <v xml:space="preserve">   FR</v>
      </c>
      <c r="B13783" t="str">
        <f>T("   France")</f>
        <v xml:space="preserve">   France</v>
      </c>
      <c r="C13783">
        <v>201416423</v>
      </c>
      <c r="D13783">
        <v>91802</v>
      </c>
    </row>
    <row r="13784" spans="1:4" x14ac:dyDescent="0.25">
      <c r="A13784" t="str">
        <f>T("   GB")</f>
        <v xml:space="preserve">   GB</v>
      </c>
      <c r="B13784" t="str">
        <f>T("   Royaume-Uni")</f>
        <v xml:space="preserve">   Royaume-Uni</v>
      </c>
      <c r="C13784">
        <v>3265621</v>
      </c>
      <c r="D13784">
        <v>302</v>
      </c>
    </row>
    <row r="13785" spans="1:4" x14ac:dyDescent="0.25">
      <c r="A13785" t="str">
        <f>T("   IT")</f>
        <v xml:space="preserve">   IT</v>
      </c>
      <c r="B13785" t="str">
        <f>T("   Italie")</f>
        <v xml:space="preserve">   Italie</v>
      </c>
      <c r="C13785">
        <v>69468</v>
      </c>
      <c r="D13785">
        <v>40</v>
      </c>
    </row>
    <row r="13786" spans="1:4" x14ac:dyDescent="0.25">
      <c r="A13786" t="str">
        <f>T("   MA")</f>
        <v xml:space="preserve">   MA</v>
      </c>
      <c r="B13786" t="str">
        <f>T("   Maroc")</f>
        <v xml:space="preserve">   Maroc</v>
      </c>
      <c r="C13786">
        <v>354110168</v>
      </c>
      <c r="D13786">
        <v>144609</v>
      </c>
    </row>
    <row r="13787" spans="1:4" x14ac:dyDescent="0.25">
      <c r="A13787" t="str">
        <f>T("   NL")</f>
        <v xml:space="preserve">   NL</v>
      </c>
      <c r="B13787" t="str">
        <f>T("   Pays-bas")</f>
        <v xml:space="preserve">   Pays-bas</v>
      </c>
      <c r="C13787">
        <v>177974</v>
      </c>
      <c r="D13787">
        <v>100</v>
      </c>
    </row>
    <row r="13788" spans="1:4" x14ac:dyDescent="0.25">
      <c r="A13788" t="str">
        <f>T("   NR")</f>
        <v xml:space="preserve">   NR</v>
      </c>
      <c r="B13788" t="str">
        <f>T("   Nauru")</f>
        <v xml:space="preserve">   Nauru</v>
      </c>
      <c r="C13788">
        <v>900191</v>
      </c>
      <c r="D13788">
        <v>40</v>
      </c>
    </row>
    <row r="13789" spans="1:4" x14ac:dyDescent="0.25">
      <c r="A13789" t="str">
        <f>T("   SN")</f>
        <v xml:space="preserve">   SN</v>
      </c>
      <c r="B13789" t="str">
        <f>T("   Sénégal")</f>
        <v xml:space="preserve">   Sénégal</v>
      </c>
      <c r="C13789">
        <v>449017</v>
      </c>
      <c r="D13789">
        <v>733</v>
      </c>
    </row>
    <row r="13790" spans="1:4" x14ac:dyDescent="0.25">
      <c r="A13790" t="str">
        <f>T("   TN")</f>
        <v xml:space="preserve">   TN</v>
      </c>
      <c r="B13790" t="str">
        <f>T("   Tunisie")</f>
        <v xml:space="preserve">   Tunisie</v>
      </c>
      <c r="C13790">
        <v>8738500</v>
      </c>
      <c r="D13790">
        <v>33055</v>
      </c>
    </row>
    <row r="13791" spans="1:4" x14ac:dyDescent="0.25">
      <c r="A13791" t="str">
        <f>T("   TR")</f>
        <v xml:space="preserve">   TR</v>
      </c>
      <c r="B13791" t="str">
        <f>T("   Turquie")</f>
        <v xml:space="preserve">   Turquie</v>
      </c>
      <c r="C13791">
        <v>23338576</v>
      </c>
      <c r="D13791">
        <v>48657</v>
      </c>
    </row>
    <row r="13792" spans="1:4" x14ac:dyDescent="0.25">
      <c r="A13792" t="str">
        <f>T("854451")</f>
        <v>854451</v>
      </c>
      <c r="B13792" t="str">
        <f>T("Conducteurs électriques, pour tension &gt; 80 V mais &lt;= 1.000 V, avec pièces de connexion, n.d.a.")</f>
        <v>Conducteurs électriques, pour tension &gt; 80 V mais &lt;= 1.000 V, avec pièces de connexion, n.d.a.</v>
      </c>
    </row>
    <row r="13793" spans="1:4" x14ac:dyDescent="0.25">
      <c r="A13793" t="str">
        <f>T("   ZZZ_Monde")</f>
        <v xml:space="preserve">   ZZZ_Monde</v>
      </c>
      <c r="B13793" t="str">
        <f>T("   ZZZ_Monde")</f>
        <v xml:space="preserve">   ZZZ_Monde</v>
      </c>
      <c r="C13793">
        <v>47495501</v>
      </c>
      <c r="D13793">
        <v>30811</v>
      </c>
    </row>
    <row r="13794" spans="1:4" x14ac:dyDescent="0.25">
      <c r="A13794" t="str">
        <f>T("   AE")</f>
        <v xml:space="preserve">   AE</v>
      </c>
      <c r="B13794" t="str">
        <f>T("   Emirats Arabes Unis")</f>
        <v xml:space="preserve">   Emirats Arabes Unis</v>
      </c>
      <c r="C13794">
        <v>894946</v>
      </c>
      <c r="D13794">
        <v>588</v>
      </c>
    </row>
    <row r="13795" spans="1:4" x14ac:dyDescent="0.25">
      <c r="A13795" t="str">
        <f>T("   CI")</f>
        <v xml:space="preserve">   CI</v>
      </c>
      <c r="B13795" t="str">
        <f>T("   Côte d'Ivoire")</f>
        <v xml:space="preserve">   Côte d'Ivoire</v>
      </c>
      <c r="C13795">
        <v>530857</v>
      </c>
      <c r="D13795">
        <v>2700</v>
      </c>
    </row>
    <row r="13796" spans="1:4" x14ac:dyDescent="0.25">
      <c r="A13796" t="str">
        <f>T("   CN")</f>
        <v xml:space="preserve">   CN</v>
      </c>
      <c r="B13796" t="str">
        <f>T("   Chine")</f>
        <v xml:space="preserve">   Chine</v>
      </c>
      <c r="C13796">
        <v>266428</v>
      </c>
      <c r="D13796">
        <v>166</v>
      </c>
    </row>
    <row r="13797" spans="1:4" x14ac:dyDescent="0.25">
      <c r="A13797" t="str">
        <f>T("   FR")</f>
        <v xml:space="preserve">   FR</v>
      </c>
      <c r="B13797" t="str">
        <f>T("   France")</f>
        <v xml:space="preserve">   France</v>
      </c>
      <c r="C13797">
        <v>39646446</v>
      </c>
      <c r="D13797">
        <v>11480</v>
      </c>
    </row>
    <row r="13798" spans="1:4" x14ac:dyDescent="0.25">
      <c r="A13798" t="str">
        <f>T("   GH")</f>
        <v xml:space="preserve">   GH</v>
      </c>
      <c r="B13798" t="str">
        <f>T("   Ghana")</f>
        <v xml:space="preserve">   Ghana</v>
      </c>
      <c r="C13798">
        <v>1732998</v>
      </c>
      <c r="D13798">
        <v>5920</v>
      </c>
    </row>
    <row r="13799" spans="1:4" x14ac:dyDescent="0.25">
      <c r="A13799" t="str">
        <f>T("   MA")</f>
        <v xml:space="preserve">   MA</v>
      </c>
      <c r="B13799" t="str">
        <f>T("   Maroc")</f>
        <v xml:space="preserve">   Maroc</v>
      </c>
      <c r="C13799">
        <v>2564803</v>
      </c>
      <c r="D13799">
        <v>2635</v>
      </c>
    </row>
    <row r="13800" spans="1:4" x14ac:dyDescent="0.25">
      <c r="A13800" t="str">
        <f>T("   NO")</f>
        <v xml:space="preserve">   NO</v>
      </c>
      <c r="B13800" t="str">
        <f>T("   Norvège")</f>
        <v xml:space="preserve">   Norvège</v>
      </c>
      <c r="C13800">
        <v>35842</v>
      </c>
      <c r="D13800">
        <v>2</v>
      </c>
    </row>
    <row r="13801" spans="1:4" x14ac:dyDescent="0.25">
      <c r="A13801" t="str">
        <f>T("   TG")</f>
        <v xml:space="preserve">   TG</v>
      </c>
      <c r="B13801" t="str">
        <f>T("   Togo")</f>
        <v xml:space="preserve">   Togo</v>
      </c>
      <c r="C13801">
        <v>1300000</v>
      </c>
      <c r="D13801">
        <v>7300</v>
      </c>
    </row>
    <row r="13802" spans="1:4" x14ac:dyDescent="0.25">
      <c r="A13802" t="str">
        <f>T("   US")</f>
        <v xml:space="preserve">   US</v>
      </c>
      <c r="B13802" t="str">
        <f>T("   Etats-Unis")</f>
        <v xml:space="preserve">   Etats-Unis</v>
      </c>
      <c r="C13802">
        <v>523181</v>
      </c>
      <c r="D13802">
        <v>20</v>
      </c>
    </row>
    <row r="13803" spans="1:4" x14ac:dyDescent="0.25">
      <c r="A13803" t="str">
        <f>T("854459")</f>
        <v>854459</v>
      </c>
      <c r="B13803" t="str">
        <f>T("Conducteurs électriques, pour tension &gt; 80 V mais &lt;= 1.000 V, sans pièces de connexion, n.d.a.")</f>
        <v>Conducteurs électriques, pour tension &gt; 80 V mais &lt;= 1.000 V, sans pièces de connexion, n.d.a.</v>
      </c>
    </row>
    <row r="13804" spans="1:4" x14ac:dyDescent="0.25">
      <c r="A13804" t="str">
        <f>T("   ZZZ_Monde")</f>
        <v xml:space="preserve">   ZZZ_Monde</v>
      </c>
      <c r="B13804" t="str">
        <f>T("   ZZZ_Monde")</f>
        <v xml:space="preserve">   ZZZ_Monde</v>
      </c>
      <c r="C13804">
        <v>335314889</v>
      </c>
      <c r="D13804">
        <v>384943</v>
      </c>
    </row>
    <row r="13805" spans="1:4" x14ac:dyDescent="0.25">
      <c r="A13805" t="str">
        <f>T("   AE")</f>
        <v xml:space="preserve">   AE</v>
      </c>
      <c r="B13805" t="str">
        <f>T("   Emirats Arabes Unis")</f>
        <v xml:space="preserve">   Emirats Arabes Unis</v>
      </c>
      <c r="C13805">
        <v>7670</v>
      </c>
      <c r="D13805">
        <v>25</v>
      </c>
    </row>
    <row r="13806" spans="1:4" x14ac:dyDescent="0.25">
      <c r="A13806" t="str">
        <f>T("   CN")</f>
        <v xml:space="preserve">   CN</v>
      </c>
      <c r="B13806" t="str">
        <f>T("   Chine")</f>
        <v xml:space="preserve">   Chine</v>
      </c>
      <c r="C13806">
        <v>7585032</v>
      </c>
      <c r="D13806">
        <v>45078</v>
      </c>
    </row>
    <row r="13807" spans="1:4" x14ac:dyDescent="0.25">
      <c r="A13807" t="str">
        <f>T("   FR")</f>
        <v xml:space="preserve">   FR</v>
      </c>
      <c r="B13807" t="str">
        <f>T("   France")</f>
        <v xml:space="preserve">   France</v>
      </c>
      <c r="C13807">
        <v>74787310</v>
      </c>
      <c r="D13807">
        <v>23239</v>
      </c>
    </row>
    <row r="13808" spans="1:4" x14ac:dyDescent="0.25">
      <c r="A13808" t="str">
        <f>T("   MA")</f>
        <v xml:space="preserve">   MA</v>
      </c>
      <c r="B13808" t="str">
        <f>T("   Maroc")</f>
        <v xml:space="preserve">   Maroc</v>
      </c>
      <c r="C13808">
        <v>9483214</v>
      </c>
      <c r="D13808">
        <v>11697</v>
      </c>
    </row>
    <row r="13809" spans="1:4" x14ac:dyDescent="0.25">
      <c r="A13809" t="str">
        <f>T("   NG")</f>
        <v xml:space="preserve">   NG</v>
      </c>
      <c r="B13809" t="str">
        <f>T("   Nigéria")</f>
        <v xml:space="preserve">   Nigéria</v>
      </c>
      <c r="C13809">
        <v>1000000</v>
      </c>
      <c r="D13809">
        <v>7780</v>
      </c>
    </row>
    <row r="13810" spans="1:4" x14ac:dyDescent="0.25">
      <c r="A13810" t="str">
        <f>T("   NL")</f>
        <v xml:space="preserve">   NL</v>
      </c>
      <c r="B13810" t="str">
        <f>T("   Pays-bas")</f>
        <v xml:space="preserve">   Pays-bas</v>
      </c>
      <c r="C13810">
        <v>127613</v>
      </c>
      <c r="D13810">
        <v>2</v>
      </c>
    </row>
    <row r="13811" spans="1:4" x14ac:dyDescent="0.25">
      <c r="A13811" t="str">
        <f>T("   SN")</f>
        <v xml:space="preserve">   SN</v>
      </c>
      <c r="B13811" t="str">
        <f>T("   Sénégal")</f>
        <v xml:space="preserve">   Sénégal</v>
      </c>
      <c r="C13811">
        <v>213769876</v>
      </c>
      <c r="D13811">
        <v>286161</v>
      </c>
    </row>
    <row r="13812" spans="1:4" x14ac:dyDescent="0.25">
      <c r="A13812" t="str">
        <f>T("   TG")</f>
        <v xml:space="preserve">   TG</v>
      </c>
      <c r="B13812" t="str">
        <f>T("   Togo")</f>
        <v xml:space="preserve">   Togo</v>
      </c>
      <c r="C13812">
        <v>8959337</v>
      </c>
      <c r="D13812">
        <v>7691</v>
      </c>
    </row>
    <row r="13813" spans="1:4" x14ac:dyDescent="0.25">
      <c r="A13813" t="str">
        <f>T("   TN")</f>
        <v xml:space="preserve">   TN</v>
      </c>
      <c r="B13813" t="str">
        <f>T("   Tunisie")</f>
        <v xml:space="preserve">   Tunisie</v>
      </c>
      <c r="C13813">
        <v>19594837</v>
      </c>
      <c r="D13813">
        <v>3270</v>
      </c>
    </row>
    <row r="13814" spans="1:4" x14ac:dyDescent="0.25">
      <c r="A13814" t="str">
        <f>T("854460")</f>
        <v>854460</v>
      </c>
      <c r="B13814" t="str">
        <f>T("Conducteurs électriques, pour tension &gt; 1.000 V, n.d.a.")</f>
        <v>Conducteurs électriques, pour tension &gt; 1.000 V, n.d.a.</v>
      </c>
    </row>
    <row r="13815" spans="1:4" x14ac:dyDescent="0.25">
      <c r="A13815" t="str">
        <f>T("   ZZZ_Monde")</f>
        <v xml:space="preserve">   ZZZ_Monde</v>
      </c>
      <c r="B13815" t="str">
        <f>T("   ZZZ_Monde")</f>
        <v xml:space="preserve">   ZZZ_Monde</v>
      </c>
      <c r="C13815">
        <v>271949950</v>
      </c>
      <c r="D13815">
        <v>102916.5</v>
      </c>
    </row>
    <row r="13816" spans="1:4" x14ac:dyDescent="0.25">
      <c r="A13816" t="str">
        <f>T("   AT")</f>
        <v xml:space="preserve">   AT</v>
      </c>
      <c r="B13816" t="str">
        <f>T("   Autriche")</f>
        <v xml:space="preserve">   Autriche</v>
      </c>
      <c r="C13816">
        <v>35576653</v>
      </c>
      <c r="D13816">
        <v>610.5</v>
      </c>
    </row>
    <row r="13817" spans="1:4" x14ac:dyDescent="0.25">
      <c r="A13817" t="str">
        <f>T("   BE")</f>
        <v xml:space="preserve">   BE</v>
      </c>
      <c r="B13817" t="str">
        <f>T("   Belgique")</f>
        <v xml:space="preserve">   Belgique</v>
      </c>
      <c r="C13817">
        <v>195921476</v>
      </c>
      <c r="D13817">
        <v>89487</v>
      </c>
    </row>
    <row r="13818" spans="1:4" x14ac:dyDescent="0.25">
      <c r="A13818" t="str">
        <f>T("   CN")</f>
        <v xml:space="preserve">   CN</v>
      </c>
      <c r="B13818" t="str">
        <f>T("   Chine")</f>
        <v xml:space="preserve">   Chine</v>
      </c>
      <c r="C13818">
        <v>11162800</v>
      </c>
      <c r="D13818">
        <v>7910</v>
      </c>
    </row>
    <row r="13819" spans="1:4" x14ac:dyDescent="0.25">
      <c r="A13819" t="str">
        <f>T("   FR")</f>
        <v xml:space="preserve">   FR</v>
      </c>
      <c r="B13819" t="str">
        <f>T("   France")</f>
        <v xml:space="preserve">   France</v>
      </c>
      <c r="C13819">
        <v>21010642</v>
      </c>
      <c r="D13819">
        <v>3915</v>
      </c>
    </row>
    <row r="13820" spans="1:4" x14ac:dyDescent="0.25">
      <c r="A13820" t="str">
        <f>T("   MA")</f>
        <v xml:space="preserve">   MA</v>
      </c>
      <c r="B13820" t="str">
        <f>T("   Maroc")</f>
        <v xml:space="preserve">   Maroc</v>
      </c>
      <c r="C13820">
        <v>612011</v>
      </c>
      <c r="D13820">
        <v>800</v>
      </c>
    </row>
    <row r="13821" spans="1:4" x14ac:dyDescent="0.25">
      <c r="A13821" t="str">
        <f>T("   SE")</f>
        <v xml:space="preserve">   SE</v>
      </c>
      <c r="B13821" t="str">
        <f>T("   Suède")</f>
        <v xml:space="preserve">   Suède</v>
      </c>
      <c r="C13821">
        <v>7666368</v>
      </c>
      <c r="D13821">
        <v>194</v>
      </c>
    </row>
    <row r="13822" spans="1:4" x14ac:dyDescent="0.25">
      <c r="A13822" t="str">
        <f>T("854470")</f>
        <v>854470</v>
      </c>
      <c r="B13822" t="str">
        <f>T("Câbles de fibres optiques constitués de fibres optiques gainées individuellement, comportant également des conducteurs électriques ou munis de pièces de connexion")</f>
        <v>Câbles de fibres optiques constitués de fibres optiques gainées individuellement, comportant également des conducteurs électriques ou munis de pièces de connexion</v>
      </c>
    </row>
    <row r="13823" spans="1:4" x14ac:dyDescent="0.25">
      <c r="A13823" t="str">
        <f>T("   ZZZ_Monde")</f>
        <v xml:space="preserve">   ZZZ_Monde</v>
      </c>
      <c r="B13823" t="str">
        <f>T("   ZZZ_Monde")</f>
        <v xml:space="preserve">   ZZZ_Monde</v>
      </c>
      <c r="C13823">
        <v>16984614</v>
      </c>
      <c r="D13823">
        <v>3531.55</v>
      </c>
    </row>
    <row r="13824" spans="1:4" x14ac:dyDescent="0.25">
      <c r="A13824" t="str">
        <f>T("   AT")</f>
        <v xml:space="preserve">   AT</v>
      </c>
      <c r="B13824" t="str">
        <f>T("   Autriche")</f>
        <v xml:space="preserve">   Autriche</v>
      </c>
      <c r="C13824">
        <v>747561</v>
      </c>
      <c r="D13824">
        <v>7.55</v>
      </c>
    </row>
    <row r="13825" spans="1:4" x14ac:dyDescent="0.25">
      <c r="A13825" t="str">
        <f>T("   FR")</f>
        <v xml:space="preserve">   FR</v>
      </c>
      <c r="B13825" t="str">
        <f>T("   France")</f>
        <v xml:space="preserve">   France</v>
      </c>
      <c r="C13825">
        <v>16196406</v>
      </c>
      <c r="D13825">
        <v>3523</v>
      </c>
    </row>
    <row r="13826" spans="1:4" x14ac:dyDescent="0.25">
      <c r="A13826" t="str">
        <f>T("   SN")</f>
        <v xml:space="preserve">   SN</v>
      </c>
      <c r="B13826" t="str">
        <f>T("   Sénégal")</f>
        <v xml:space="preserve">   Sénégal</v>
      </c>
      <c r="C13826">
        <v>40647</v>
      </c>
      <c r="D13826">
        <v>1</v>
      </c>
    </row>
    <row r="13827" spans="1:4" x14ac:dyDescent="0.25">
      <c r="A13827" t="str">
        <f>T("854519")</f>
        <v>854519</v>
      </c>
      <c r="B13827" t="str">
        <f>T("ÉLECTRODES EN GRAPHITE OU EN AUTRE CARBONE, POUR USAGES ÉLECTRIQUES (AUTRES QUE POUR FOURS)")</f>
        <v>ÉLECTRODES EN GRAPHITE OU EN AUTRE CARBONE, POUR USAGES ÉLECTRIQUES (AUTRES QUE POUR FOURS)</v>
      </c>
    </row>
    <row r="13828" spans="1:4" x14ac:dyDescent="0.25">
      <c r="A13828" t="str">
        <f>T("   ZZZ_Monde")</f>
        <v xml:space="preserve">   ZZZ_Monde</v>
      </c>
      <c r="B13828" t="str">
        <f>T("   ZZZ_Monde")</f>
        <v xml:space="preserve">   ZZZ_Monde</v>
      </c>
      <c r="C13828">
        <v>1064623</v>
      </c>
      <c r="D13828">
        <v>10</v>
      </c>
    </row>
    <row r="13829" spans="1:4" x14ac:dyDescent="0.25">
      <c r="A13829" t="str">
        <f>T("   DK")</f>
        <v xml:space="preserve">   DK</v>
      </c>
      <c r="B13829" t="str">
        <f>T("   Danemark")</f>
        <v xml:space="preserve">   Danemark</v>
      </c>
      <c r="C13829">
        <v>1064623</v>
      </c>
      <c r="D13829">
        <v>10</v>
      </c>
    </row>
    <row r="13830" spans="1:4" x14ac:dyDescent="0.25">
      <c r="A13830" t="str">
        <f>T("854520")</f>
        <v>854520</v>
      </c>
      <c r="B13830" t="str">
        <f>T("Balais en charbon, pour usages électriques")</f>
        <v>Balais en charbon, pour usages électriques</v>
      </c>
    </row>
    <row r="13831" spans="1:4" x14ac:dyDescent="0.25">
      <c r="A13831" t="str">
        <f>T("   ZZZ_Monde")</f>
        <v xml:space="preserve">   ZZZ_Monde</v>
      </c>
      <c r="B13831" t="str">
        <f>T("   ZZZ_Monde")</f>
        <v xml:space="preserve">   ZZZ_Monde</v>
      </c>
      <c r="C13831">
        <v>11673125</v>
      </c>
      <c r="D13831">
        <v>224</v>
      </c>
    </row>
    <row r="13832" spans="1:4" x14ac:dyDescent="0.25">
      <c r="A13832" t="str">
        <f>T("   FR")</f>
        <v xml:space="preserve">   FR</v>
      </c>
      <c r="B13832" t="str">
        <f>T("   France")</f>
        <v xml:space="preserve">   France</v>
      </c>
      <c r="C13832">
        <v>11673125</v>
      </c>
      <c r="D13832">
        <v>224</v>
      </c>
    </row>
    <row r="13833" spans="1:4" x14ac:dyDescent="0.25">
      <c r="A13833" t="str">
        <f>T("854590")</f>
        <v>854590</v>
      </c>
      <c r="B13833" t="str">
        <f>T("Articles en graphite ou en autre carbone, pour usages électriques (autres qu'électrodes et balais)")</f>
        <v>Articles en graphite ou en autre carbone, pour usages électriques (autres qu'électrodes et balais)</v>
      </c>
    </row>
    <row r="13834" spans="1:4" x14ac:dyDescent="0.25">
      <c r="A13834" t="str">
        <f>T("   ZZZ_Monde")</f>
        <v xml:space="preserve">   ZZZ_Monde</v>
      </c>
      <c r="B13834" t="str">
        <f>T("   ZZZ_Monde")</f>
        <v xml:space="preserve">   ZZZ_Monde</v>
      </c>
      <c r="C13834">
        <v>1338788</v>
      </c>
      <c r="D13834">
        <v>4</v>
      </c>
    </row>
    <row r="13835" spans="1:4" x14ac:dyDescent="0.25">
      <c r="A13835" t="str">
        <f>T("   NO")</f>
        <v xml:space="preserve">   NO</v>
      </c>
      <c r="B13835" t="str">
        <f>T("   Norvège")</f>
        <v xml:space="preserve">   Norvège</v>
      </c>
      <c r="C13835">
        <v>1091285</v>
      </c>
      <c r="D13835">
        <v>2</v>
      </c>
    </row>
    <row r="13836" spans="1:4" x14ac:dyDescent="0.25">
      <c r="A13836" t="str">
        <f>T("   TR")</f>
        <v xml:space="preserve">   TR</v>
      </c>
      <c r="B13836" t="str">
        <f>T("   Turquie")</f>
        <v xml:space="preserve">   Turquie</v>
      </c>
      <c r="C13836">
        <v>247503</v>
      </c>
      <c r="D13836">
        <v>2</v>
      </c>
    </row>
    <row r="13837" spans="1:4" x14ac:dyDescent="0.25">
      <c r="A13837" t="str">
        <f>T("854620")</f>
        <v>854620</v>
      </c>
      <c r="B13837" t="str">
        <f>T("Isolateurs en céramique, pour l'électricité (sauf pièces isolantes)")</f>
        <v>Isolateurs en céramique, pour l'électricité (sauf pièces isolantes)</v>
      </c>
    </row>
    <row r="13838" spans="1:4" x14ac:dyDescent="0.25">
      <c r="A13838" t="str">
        <f>T("   ZZZ_Monde")</f>
        <v xml:space="preserve">   ZZZ_Monde</v>
      </c>
      <c r="B13838" t="str">
        <f>T("   ZZZ_Monde")</f>
        <v xml:space="preserve">   ZZZ_Monde</v>
      </c>
      <c r="C13838">
        <v>738007</v>
      </c>
      <c r="D13838">
        <v>570</v>
      </c>
    </row>
    <row r="13839" spans="1:4" x14ac:dyDescent="0.25">
      <c r="A13839" t="str">
        <f>T("   TG")</f>
        <v xml:space="preserve">   TG</v>
      </c>
      <c r="B13839" t="str">
        <f>T("   Togo")</f>
        <v xml:space="preserve">   Togo</v>
      </c>
      <c r="C13839">
        <v>738007</v>
      </c>
      <c r="D13839">
        <v>570</v>
      </c>
    </row>
    <row r="13840" spans="1:4" x14ac:dyDescent="0.25">
      <c r="A13840" t="str">
        <f>T("854690")</f>
        <v>854690</v>
      </c>
      <c r="B13840" t="str">
        <f>T("Isolateurs pour usages électriques (sauf en verre ou en céramique et sauf pièces isolantes)")</f>
        <v>Isolateurs pour usages électriques (sauf en verre ou en céramique et sauf pièces isolantes)</v>
      </c>
    </row>
    <row r="13841" spans="1:4" x14ac:dyDescent="0.25">
      <c r="A13841" t="str">
        <f>T("   ZZZ_Monde")</f>
        <v xml:space="preserve">   ZZZ_Monde</v>
      </c>
      <c r="B13841" t="str">
        <f>T("   ZZZ_Monde")</f>
        <v xml:space="preserve">   ZZZ_Monde</v>
      </c>
      <c r="C13841">
        <v>269263558</v>
      </c>
      <c r="D13841">
        <v>73979</v>
      </c>
    </row>
    <row r="13842" spans="1:4" x14ac:dyDescent="0.25">
      <c r="A13842" t="str">
        <f>T("   FR")</f>
        <v xml:space="preserve">   FR</v>
      </c>
      <c r="B13842" t="str">
        <f>T("   France")</f>
        <v xml:space="preserve">   France</v>
      </c>
      <c r="C13842">
        <v>269263558</v>
      </c>
      <c r="D13842">
        <v>73979</v>
      </c>
    </row>
    <row r="13843" spans="1:4" x14ac:dyDescent="0.25">
      <c r="A13843" t="str">
        <f>T("854720")</f>
        <v>854720</v>
      </c>
      <c r="B13843" t="str">
        <f>T("Pièces isolantes en matières plastiques, pour usages électriques")</f>
        <v>Pièces isolantes en matières plastiques, pour usages électriques</v>
      </c>
    </row>
    <row r="13844" spans="1:4" x14ac:dyDescent="0.25">
      <c r="A13844" t="str">
        <f>T("   ZZZ_Monde")</f>
        <v xml:space="preserve">   ZZZ_Monde</v>
      </c>
      <c r="B13844" t="str">
        <f>T("   ZZZ_Monde")</f>
        <v xml:space="preserve">   ZZZ_Monde</v>
      </c>
      <c r="C13844">
        <v>1468039</v>
      </c>
      <c r="D13844">
        <v>1631</v>
      </c>
    </row>
    <row r="13845" spans="1:4" x14ac:dyDescent="0.25">
      <c r="A13845" t="str">
        <f>T("   MA")</f>
        <v xml:space="preserve">   MA</v>
      </c>
      <c r="B13845" t="str">
        <f>T("   Maroc")</f>
        <v xml:space="preserve">   Maroc</v>
      </c>
      <c r="C13845">
        <v>1468039</v>
      </c>
      <c r="D13845">
        <v>1631</v>
      </c>
    </row>
    <row r="13846" spans="1:4" x14ac:dyDescent="0.25">
      <c r="A13846" t="str">
        <f>T("854790")</f>
        <v>854790</v>
      </c>
      <c r="B13846" t="str">
        <f>T("Pièces isolantes, pour usages électriques (autres qu'en céramique ou en matières plastiques, et que tubes isolateurs et leurs pièces de raccordement, en métaux communs, isolés intérieurement)")</f>
        <v>Pièces isolantes, pour usages électriques (autres qu'en céramique ou en matières plastiques, et que tubes isolateurs et leurs pièces de raccordement, en métaux communs, isolés intérieurement)</v>
      </c>
    </row>
    <row r="13847" spans="1:4" x14ac:dyDescent="0.25">
      <c r="A13847" t="str">
        <f>T("   ZZZ_Monde")</f>
        <v xml:space="preserve">   ZZZ_Monde</v>
      </c>
      <c r="B13847" t="str">
        <f>T("   ZZZ_Monde")</f>
        <v xml:space="preserve">   ZZZ_Monde</v>
      </c>
      <c r="C13847">
        <v>10265277</v>
      </c>
      <c r="D13847">
        <v>13345.7</v>
      </c>
    </row>
    <row r="13848" spans="1:4" x14ac:dyDescent="0.25">
      <c r="A13848" t="str">
        <f>T("   BE")</f>
        <v xml:space="preserve">   BE</v>
      </c>
      <c r="B13848" t="str">
        <f>T("   Belgique")</f>
        <v xml:space="preserve">   Belgique</v>
      </c>
      <c r="C13848">
        <v>4429829</v>
      </c>
      <c r="D13848">
        <v>3520</v>
      </c>
    </row>
    <row r="13849" spans="1:4" x14ac:dyDescent="0.25">
      <c r="A13849" t="str">
        <f>T("   CN")</f>
        <v xml:space="preserve">   CN</v>
      </c>
      <c r="B13849" t="str">
        <f>T("   Chine")</f>
        <v xml:space="preserve">   Chine</v>
      </c>
      <c r="C13849">
        <v>2533128</v>
      </c>
      <c r="D13849">
        <v>5621</v>
      </c>
    </row>
    <row r="13850" spans="1:4" x14ac:dyDescent="0.25">
      <c r="A13850" t="str">
        <f>T("   FR")</f>
        <v xml:space="preserve">   FR</v>
      </c>
      <c r="B13850" t="str">
        <f>T("   France")</f>
        <v xml:space="preserve">   France</v>
      </c>
      <c r="C13850">
        <v>638004</v>
      </c>
      <c r="D13850">
        <v>4</v>
      </c>
    </row>
    <row r="13851" spans="1:4" x14ac:dyDescent="0.25">
      <c r="A13851" t="str">
        <f>T("   IT")</f>
        <v xml:space="preserve">   IT</v>
      </c>
      <c r="B13851" t="str">
        <f>T("   Italie")</f>
        <v xml:space="preserve">   Italie</v>
      </c>
      <c r="C13851">
        <v>1193847</v>
      </c>
      <c r="D13851">
        <v>2.7</v>
      </c>
    </row>
    <row r="13852" spans="1:4" x14ac:dyDescent="0.25">
      <c r="A13852" t="str">
        <f>T("   MA")</f>
        <v xml:space="preserve">   MA</v>
      </c>
      <c r="B13852" t="str">
        <f>T("   Maroc")</f>
        <v xml:space="preserve">   Maroc</v>
      </c>
      <c r="C13852">
        <v>226000</v>
      </c>
      <c r="D13852">
        <v>148</v>
      </c>
    </row>
    <row r="13853" spans="1:4" x14ac:dyDescent="0.25">
      <c r="A13853" t="str">
        <f>T("   NG")</f>
        <v xml:space="preserve">   NG</v>
      </c>
      <c r="B13853" t="str">
        <f>T("   Nigéria")</f>
        <v xml:space="preserve">   Nigéria</v>
      </c>
      <c r="C13853">
        <v>244469</v>
      </c>
      <c r="D13853">
        <v>2050</v>
      </c>
    </row>
    <row r="13854" spans="1:4" x14ac:dyDescent="0.25">
      <c r="A13854" t="str">
        <f>T("   TG")</f>
        <v xml:space="preserve">   TG</v>
      </c>
      <c r="B13854" t="str">
        <f>T("   Togo")</f>
        <v xml:space="preserve">   Togo</v>
      </c>
      <c r="C13854">
        <v>1000000</v>
      </c>
      <c r="D13854">
        <v>2000</v>
      </c>
    </row>
    <row r="13855" spans="1:4" x14ac:dyDescent="0.25">
      <c r="A13855" t="str">
        <f>T("854890")</f>
        <v>854890</v>
      </c>
      <c r="B13855" t="str">
        <f>T("PARTIES ÉLECTRIQUES DE MACHINES OU D'APPAREILS, N.D.A. DANS LE CHAPITRE 85")</f>
        <v>PARTIES ÉLECTRIQUES DE MACHINES OU D'APPAREILS, N.D.A. DANS LE CHAPITRE 85</v>
      </c>
    </row>
    <row r="13856" spans="1:4" x14ac:dyDescent="0.25">
      <c r="A13856" t="str">
        <f>T("   ZZZ_Monde")</f>
        <v xml:space="preserve">   ZZZ_Monde</v>
      </c>
      <c r="B13856" t="str">
        <f>T("   ZZZ_Monde")</f>
        <v xml:space="preserve">   ZZZ_Monde</v>
      </c>
      <c r="C13856">
        <v>2255183</v>
      </c>
      <c r="D13856">
        <v>109</v>
      </c>
    </row>
    <row r="13857" spans="1:4" x14ac:dyDescent="0.25">
      <c r="A13857" t="str">
        <f>T("   FR")</f>
        <v xml:space="preserve">   FR</v>
      </c>
      <c r="B13857" t="str">
        <f>T("   France")</f>
        <v xml:space="preserve">   France</v>
      </c>
      <c r="C13857">
        <v>2255183</v>
      </c>
      <c r="D13857">
        <v>109</v>
      </c>
    </row>
    <row r="13858" spans="1:4" x14ac:dyDescent="0.25">
      <c r="A13858" t="str">
        <f>T("860692")</f>
        <v>860692</v>
      </c>
      <c r="B13858" t="str">
        <f>T("Wagons, pour le transport sur rail de marchandises, ouverts, à parois non amovibles d'une hauteur &gt; 60 cm (à l'excl. des wagons à déchargement automatique)")</f>
        <v>Wagons, pour le transport sur rail de marchandises, ouverts, à parois non amovibles d'une hauteur &gt; 60 cm (à l'excl. des wagons à déchargement automatique)</v>
      </c>
    </row>
    <row r="13859" spans="1:4" x14ac:dyDescent="0.25">
      <c r="A13859" t="str">
        <f>T("   ZZZ_Monde")</f>
        <v xml:space="preserve">   ZZZ_Monde</v>
      </c>
      <c r="B13859" t="str">
        <f>T("   ZZZ_Monde")</f>
        <v xml:space="preserve">   ZZZ_Monde</v>
      </c>
      <c r="C13859">
        <v>55100640</v>
      </c>
      <c r="D13859">
        <v>56000</v>
      </c>
    </row>
    <row r="13860" spans="1:4" x14ac:dyDescent="0.25">
      <c r="A13860" t="str">
        <f>T("   FR")</f>
        <v xml:space="preserve">   FR</v>
      </c>
      <c r="B13860" t="str">
        <f>T("   France")</f>
        <v xml:space="preserve">   France</v>
      </c>
      <c r="C13860">
        <v>55100640</v>
      </c>
      <c r="D13860">
        <v>56000</v>
      </c>
    </row>
    <row r="13861" spans="1:4" x14ac:dyDescent="0.25">
      <c r="A13861" t="str">
        <f>T("860900")</f>
        <v>860900</v>
      </c>
      <c r="B13861" t="str">
        <f>T("CADRES ET CONTENEURS -Y.C. LES CONTENEURS-CITERNES ET LES CONTENEURS-RÉSERVOIRS- SPÉCIALEMENT CONÇUS ET ÉQUIPÉS POUR UN OU PLUSIEURS MODES DE TRANSPORT")</f>
        <v>CADRES ET CONTENEURS -Y.C. LES CONTENEURS-CITERNES ET LES CONTENEURS-RÉSERVOIRS- SPÉCIALEMENT CONÇUS ET ÉQUIPÉS POUR UN OU PLUSIEURS MODES DE TRANSPORT</v>
      </c>
    </row>
    <row r="13862" spans="1:4" x14ac:dyDescent="0.25">
      <c r="A13862" t="str">
        <f>T("   ZZZ_Monde")</f>
        <v xml:space="preserve">   ZZZ_Monde</v>
      </c>
      <c r="B13862" t="str">
        <f>T("   ZZZ_Monde")</f>
        <v xml:space="preserve">   ZZZ_Monde</v>
      </c>
      <c r="C13862">
        <v>12246117</v>
      </c>
      <c r="D13862">
        <v>6024</v>
      </c>
    </row>
    <row r="13863" spans="1:4" x14ac:dyDescent="0.25">
      <c r="A13863" t="str">
        <f>T("   DE")</f>
        <v xml:space="preserve">   DE</v>
      </c>
      <c r="B13863" t="str">
        <f>T("   Allemagne")</f>
        <v xml:space="preserve">   Allemagne</v>
      </c>
      <c r="C13863">
        <v>31486</v>
      </c>
      <c r="D13863">
        <v>137</v>
      </c>
    </row>
    <row r="13864" spans="1:4" x14ac:dyDescent="0.25">
      <c r="A13864" t="str">
        <f>T("   FR")</f>
        <v xml:space="preserve">   FR</v>
      </c>
      <c r="B13864" t="str">
        <f>T("   France")</f>
        <v xml:space="preserve">   France</v>
      </c>
      <c r="C13864">
        <v>12214631</v>
      </c>
      <c r="D13864">
        <v>5887</v>
      </c>
    </row>
    <row r="13865" spans="1:4" x14ac:dyDescent="0.25">
      <c r="A13865" t="str">
        <f>T("870110")</f>
        <v>870110</v>
      </c>
      <c r="B13865" t="str">
        <f>T("Motoculteurs et tracteurs de construction similaire pour l'industrie (sauf tracteurs pour véhicules automobiles articulés)")</f>
        <v>Motoculteurs et tracteurs de construction similaire pour l'industrie (sauf tracteurs pour véhicules automobiles articulés)</v>
      </c>
    </row>
    <row r="13866" spans="1:4" x14ac:dyDescent="0.25">
      <c r="A13866" t="str">
        <f>T("   ZZZ_Monde")</f>
        <v xml:space="preserve">   ZZZ_Monde</v>
      </c>
      <c r="B13866" t="str">
        <f>T("   ZZZ_Monde")</f>
        <v xml:space="preserve">   ZZZ_Monde</v>
      </c>
      <c r="C13866">
        <v>11734385</v>
      </c>
      <c r="D13866">
        <v>12047</v>
      </c>
    </row>
    <row r="13867" spans="1:4" x14ac:dyDescent="0.25">
      <c r="A13867" t="str">
        <f>T("   CN")</f>
        <v xml:space="preserve">   CN</v>
      </c>
      <c r="B13867" t="str">
        <f>T("   Chine")</f>
        <v xml:space="preserve">   Chine</v>
      </c>
      <c r="C13867">
        <v>10594410</v>
      </c>
      <c r="D13867">
        <v>7327</v>
      </c>
    </row>
    <row r="13868" spans="1:4" x14ac:dyDescent="0.25">
      <c r="A13868" t="str">
        <f>T("   DE")</f>
        <v xml:space="preserve">   DE</v>
      </c>
      <c r="B13868" t="str">
        <f>T("   Allemagne")</f>
        <v xml:space="preserve">   Allemagne</v>
      </c>
      <c r="C13868">
        <v>1000000</v>
      </c>
      <c r="D13868">
        <v>4200</v>
      </c>
    </row>
    <row r="13869" spans="1:4" x14ac:dyDescent="0.25">
      <c r="A13869" t="str">
        <f>T("   FR")</f>
        <v xml:space="preserve">   FR</v>
      </c>
      <c r="B13869" t="str">
        <f>T("   France")</f>
        <v xml:space="preserve">   France</v>
      </c>
      <c r="C13869">
        <v>139975</v>
      </c>
      <c r="D13869">
        <v>520</v>
      </c>
    </row>
    <row r="13870" spans="1:4" x14ac:dyDescent="0.25">
      <c r="A13870" t="str">
        <f>T("870120")</f>
        <v>870120</v>
      </c>
      <c r="B13870" t="str">
        <f>T("Tracteurs routiers pour semi-remorques")</f>
        <v>Tracteurs routiers pour semi-remorques</v>
      </c>
    </row>
    <row r="13871" spans="1:4" x14ac:dyDescent="0.25">
      <c r="A13871" t="str">
        <f>T("   ZZZ_Monde")</f>
        <v xml:space="preserve">   ZZZ_Monde</v>
      </c>
      <c r="B13871" t="str">
        <f>T("   ZZZ_Monde")</f>
        <v xml:space="preserve">   ZZZ_Monde</v>
      </c>
      <c r="C13871">
        <v>3166717493</v>
      </c>
      <c r="D13871">
        <v>6039170</v>
      </c>
    </row>
    <row r="13872" spans="1:4" x14ac:dyDescent="0.25">
      <c r="A13872" t="str">
        <f>T("   BE")</f>
        <v xml:space="preserve">   BE</v>
      </c>
      <c r="B13872" t="str">
        <f>T("   Belgique")</f>
        <v xml:space="preserve">   Belgique</v>
      </c>
      <c r="C13872">
        <v>1027720115</v>
      </c>
      <c r="D13872">
        <v>671363</v>
      </c>
    </row>
    <row r="13873" spans="1:4" x14ac:dyDescent="0.25">
      <c r="A13873" t="str">
        <f>T("   BF")</f>
        <v xml:space="preserve">   BF</v>
      </c>
      <c r="B13873" t="str">
        <f>T("   Burkina Faso")</f>
        <v xml:space="preserve">   Burkina Faso</v>
      </c>
      <c r="C13873">
        <v>2000000</v>
      </c>
      <c r="D13873">
        <v>6650</v>
      </c>
    </row>
    <row r="13874" spans="1:4" x14ac:dyDescent="0.25">
      <c r="A13874" t="str">
        <f>T("   BR")</f>
        <v xml:space="preserve">   BR</v>
      </c>
      <c r="B13874" t="str">
        <f>T("   Brésil")</f>
        <v xml:space="preserve">   Brésil</v>
      </c>
      <c r="C13874">
        <v>2000000</v>
      </c>
      <c r="D13874">
        <v>6831</v>
      </c>
    </row>
    <row r="13875" spans="1:4" x14ac:dyDescent="0.25">
      <c r="A13875" t="str">
        <f>T("   CA")</f>
        <v xml:space="preserve">   CA</v>
      </c>
      <c r="B13875" t="str">
        <f>T("   Canada")</f>
        <v xml:space="preserve">   Canada</v>
      </c>
      <c r="C13875">
        <v>4047933</v>
      </c>
      <c r="D13875">
        <v>10273</v>
      </c>
    </row>
    <row r="13876" spans="1:4" x14ac:dyDescent="0.25">
      <c r="A13876" t="str">
        <f>T("   CH")</f>
        <v xml:space="preserve">   CH</v>
      </c>
      <c r="B13876" t="str">
        <f>T("   Suisse")</f>
        <v xml:space="preserve">   Suisse</v>
      </c>
      <c r="C13876">
        <v>2000000</v>
      </c>
      <c r="D13876">
        <v>3200</v>
      </c>
    </row>
    <row r="13877" spans="1:4" x14ac:dyDescent="0.25">
      <c r="A13877" t="str">
        <f>T("   CN")</f>
        <v xml:space="preserve">   CN</v>
      </c>
      <c r="B13877" t="str">
        <f>T("   Chine")</f>
        <v xml:space="preserve">   Chine</v>
      </c>
      <c r="C13877">
        <v>210466647</v>
      </c>
      <c r="D13877">
        <v>132241</v>
      </c>
    </row>
    <row r="13878" spans="1:4" x14ac:dyDescent="0.25">
      <c r="A13878" t="str">
        <f>T("   DE")</f>
        <v xml:space="preserve">   DE</v>
      </c>
      <c r="B13878" t="str">
        <f>T("   Allemagne")</f>
        <v xml:space="preserve">   Allemagne</v>
      </c>
      <c r="C13878">
        <v>63916944</v>
      </c>
      <c r="D13878">
        <v>178700</v>
      </c>
    </row>
    <row r="13879" spans="1:4" x14ac:dyDescent="0.25">
      <c r="A13879" t="str">
        <f>T("   DK")</f>
        <v xml:space="preserve">   DK</v>
      </c>
      <c r="B13879" t="str">
        <f>T("   Danemark")</f>
        <v xml:space="preserve">   Danemark</v>
      </c>
      <c r="C13879">
        <v>2000000</v>
      </c>
      <c r="D13879">
        <v>2250</v>
      </c>
    </row>
    <row r="13880" spans="1:4" x14ac:dyDescent="0.25">
      <c r="A13880" t="str">
        <f>T("   ES")</f>
        <v xml:space="preserve">   ES</v>
      </c>
      <c r="B13880" t="str">
        <f>T("   Espagne")</f>
        <v xml:space="preserve">   Espagne</v>
      </c>
      <c r="C13880">
        <v>6000000</v>
      </c>
      <c r="D13880">
        <v>13371</v>
      </c>
    </row>
    <row r="13881" spans="1:4" x14ac:dyDescent="0.25">
      <c r="A13881" t="str">
        <f>T("   FR")</f>
        <v xml:space="preserve">   FR</v>
      </c>
      <c r="B13881" t="str">
        <f>T("   France")</f>
        <v xml:space="preserve">   France</v>
      </c>
      <c r="C13881">
        <v>960857060</v>
      </c>
      <c r="D13881">
        <v>2963435</v>
      </c>
    </row>
    <row r="13882" spans="1:4" x14ac:dyDescent="0.25">
      <c r="A13882" t="str">
        <f>T("   IT")</f>
        <v xml:space="preserve">   IT</v>
      </c>
      <c r="B13882" t="str">
        <f>T("   Italie")</f>
        <v xml:space="preserve">   Italie</v>
      </c>
      <c r="C13882">
        <v>57897104</v>
      </c>
      <c r="D13882">
        <v>159323</v>
      </c>
    </row>
    <row r="13883" spans="1:4" x14ac:dyDescent="0.25">
      <c r="A13883" t="str">
        <f>T("   JP")</f>
        <v xml:space="preserve">   JP</v>
      </c>
      <c r="B13883" t="str">
        <f>T("   Japon")</f>
        <v xml:space="preserve">   Japon</v>
      </c>
      <c r="C13883">
        <v>4003156</v>
      </c>
      <c r="D13883">
        <v>24130</v>
      </c>
    </row>
    <row r="13884" spans="1:4" x14ac:dyDescent="0.25">
      <c r="A13884" t="str">
        <f>T("   NG")</f>
        <v xml:space="preserve">   NG</v>
      </c>
      <c r="B13884" t="str">
        <f>T("   Nigéria")</f>
        <v xml:space="preserve">   Nigéria</v>
      </c>
      <c r="C13884">
        <v>1200000</v>
      </c>
      <c r="D13884">
        <v>7600</v>
      </c>
    </row>
    <row r="13885" spans="1:4" x14ac:dyDescent="0.25">
      <c r="A13885" t="str">
        <f>T("   NL")</f>
        <v xml:space="preserve">   NL</v>
      </c>
      <c r="B13885" t="str">
        <f>T("   Pays-bas")</f>
        <v xml:space="preserve">   Pays-bas</v>
      </c>
      <c r="C13885">
        <v>392372433</v>
      </c>
      <c r="D13885">
        <v>1027669</v>
      </c>
    </row>
    <row r="13886" spans="1:4" x14ac:dyDescent="0.25">
      <c r="A13886" t="str">
        <f>T("   NO")</f>
        <v xml:space="preserve">   NO</v>
      </c>
      <c r="B13886" t="str">
        <f>T("   Norvège")</f>
        <v xml:space="preserve">   Norvège</v>
      </c>
      <c r="C13886">
        <v>2000000</v>
      </c>
      <c r="D13886">
        <v>2334</v>
      </c>
    </row>
    <row r="13887" spans="1:4" x14ac:dyDescent="0.25">
      <c r="A13887" t="str">
        <f>T("   PL")</f>
        <v xml:space="preserve">   PL</v>
      </c>
      <c r="B13887" t="str">
        <f>T("   Pologne")</f>
        <v xml:space="preserve">   Pologne</v>
      </c>
      <c r="C13887">
        <v>62000000</v>
      </c>
      <c r="D13887">
        <v>138780</v>
      </c>
    </row>
    <row r="13888" spans="1:4" x14ac:dyDescent="0.25">
      <c r="A13888" t="str">
        <f>T("   PT")</f>
        <v xml:space="preserve">   PT</v>
      </c>
      <c r="B13888" t="str">
        <f>T("   Portugal")</f>
        <v xml:space="preserve">   Portugal</v>
      </c>
      <c r="C13888">
        <v>4000000</v>
      </c>
      <c r="D13888">
        <v>11100</v>
      </c>
    </row>
    <row r="13889" spans="1:4" x14ac:dyDescent="0.25">
      <c r="A13889" t="str">
        <f>T("   SE")</f>
        <v xml:space="preserve">   SE</v>
      </c>
      <c r="B13889" t="str">
        <f>T("   Suède")</f>
        <v xml:space="preserve">   Suède</v>
      </c>
      <c r="C13889">
        <v>4000000</v>
      </c>
      <c r="D13889">
        <v>15895</v>
      </c>
    </row>
    <row r="13890" spans="1:4" x14ac:dyDescent="0.25">
      <c r="A13890" t="str">
        <f>T("   SN")</f>
        <v xml:space="preserve">   SN</v>
      </c>
      <c r="B13890" t="str">
        <f>T("   Sénégal")</f>
        <v xml:space="preserve">   Sénégal</v>
      </c>
      <c r="C13890">
        <v>11672698</v>
      </c>
      <c r="D13890">
        <v>6000</v>
      </c>
    </row>
    <row r="13891" spans="1:4" x14ac:dyDescent="0.25">
      <c r="A13891" t="str">
        <f>T("   TG")</f>
        <v xml:space="preserve">   TG</v>
      </c>
      <c r="B13891" t="str">
        <f>T("   Togo")</f>
        <v xml:space="preserve">   Togo</v>
      </c>
      <c r="C13891">
        <v>311004328</v>
      </c>
      <c r="D13891">
        <v>562748</v>
      </c>
    </row>
    <row r="13892" spans="1:4" x14ac:dyDescent="0.25">
      <c r="A13892" t="str">
        <f>T("   US")</f>
        <v xml:space="preserve">   US</v>
      </c>
      <c r="B13892" t="str">
        <f>T("   Etats-Unis")</f>
        <v xml:space="preserve">   Etats-Unis</v>
      </c>
      <c r="C13892">
        <v>35559075</v>
      </c>
      <c r="D13892">
        <v>95277</v>
      </c>
    </row>
    <row r="13893" spans="1:4" x14ac:dyDescent="0.25">
      <c r="A13893" t="str">
        <f>T("870130")</f>
        <v>870130</v>
      </c>
      <c r="B13893" t="str">
        <f>T("Tracteurs à chenilles (sauf motoculteurs à chenille)")</f>
        <v>Tracteurs à chenilles (sauf motoculteurs à chenille)</v>
      </c>
    </row>
    <row r="13894" spans="1:4" x14ac:dyDescent="0.25">
      <c r="A13894" t="str">
        <f>T("   ZZZ_Monde")</f>
        <v xml:space="preserve">   ZZZ_Monde</v>
      </c>
      <c r="B13894" t="str">
        <f>T("   ZZZ_Monde")</f>
        <v xml:space="preserve">   ZZZ_Monde</v>
      </c>
      <c r="C13894">
        <v>33400434</v>
      </c>
      <c r="D13894">
        <v>19279</v>
      </c>
    </row>
    <row r="13895" spans="1:4" x14ac:dyDescent="0.25">
      <c r="A13895" t="str">
        <f>T("   CH")</f>
        <v xml:space="preserve">   CH</v>
      </c>
      <c r="B13895" t="str">
        <f>T("   Suisse")</f>
        <v xml:space="preserve">   Suisse</v>
      </c>
      <c r="C13895">
        <v>33400434</v>
      </c>
      <c r="D13895">
        <v>19279</v>
      </c>
    </row>
    <row r="13896" spans="1:4" x14ac:dyDescent="0.25">
      <c r="A13896" t="str">
        <f>T("870190")</f>
        <v>870190</v>
      </c>
      <c r="B13896" t="str">
        <f>T("Tracteurs (à l'excl. des chariots-tracteurs du n° 8709, ainsi que des motoculteurs, tracteurs routiers pour semi-remorques et tracteurs à chenilles)")</f>
        <v>Tracteurs (à l'excl. des chariots-tracteurs du n° 8709, ainsi que des motoculteurs, tracteurs routiers pour semi-remorques et tracteurs à chenilles)</v>
      </c>
    </row>
    <row r="13897" spans="1:4" x14ac:dyDescent="0.25">
      <c r="A13897" t="str">
        <f>T("   ZZZ_Monde")</f>
        <v xml:space="preserve">   ZZZ_Monde</v>
      </c>
      <c r="B13897" t="str">
        <f>T("   ZZZ_Monde")</f>
        <v xml:space="preserve">   ZZZ_Monde</v>
      </c>
      <c r="C13897">
        <v>351554040</v>
      </c>
      <c r="D13897">
        <v>176568</v>
      </c>
    </row>
    <row r="13898" spans="1:4" x14ac:dyDescent="0.25">
      <c r="A13898" t="str">
        <f>T("   BE")</f>
        <v xml:space="preserve">   BE</v>
      </c>
      <c r="B13898" t="str">
        <f>T("   Belgique")</f>
        <v xml:space="preserve">   Belgique</v>
      </c>
      <c r="C13898">
        <v>3957256</v>
      </c>
      <c r="D13898">
        <v>3700</v>
      </c>
    </row>
    <row r="13899" spans="1:4" x14ac:dyDescent="0.25">
      <c r="A13899" t="str">
        <f>T("   CH")</f>
        <v xml:space="preserve">   CH</v>
      </c>
      <c r="B13899" t="str">
        <f>T("   Suisse")</f>
        <v xml:space="preserve">   Suisse</v>
      </c>
      <c r="C13899">
        <v>48428215</v>
      </c>
      <c r="D13899">
        <v>5331</v>
      </c>
    </row>
    <row r="13900" spans="1:4" x14ac:dyDescent="0.25">
      <c r="A13900" t="str">
        <f>T("   CN")</f>
        <v xml:space="preserve">   CN</v>
      </c>
      <c r="B13900" t="str">
        <f>T("   Chine")</f>
        <v xml:space="preserve">   Chine</v>
      </c>
      <c r="C13900">
        <v>37648170</v>
      </c>
      <c r="D13900">
        <v>11200</v>
      </c>
    </row>
    <row r="13901" spans="1:4" x14ac:dyDescent="0.25">
      <c r="A13901" t="str">
        <f>T("   FR")</f>
        <v xml:space="preserve">   FR</v>
      </c>
      <c r="B13901" t="str">
        <f>T("   France")</f>
        <v xml:space="preserve">   France</v>
      </c>
      <c r="C13901">
        <v>129667506</v>
      </c>
      <c r="D13901">
        <v>85133</v>
      </c>
    </row>
    <row r="13902" spans="1:4" x14ac:dyDescent="0.25">
      <c r="A13902" t="str">
        <f>T("   GB")</f>
        <v xml:space="preserve">   GB</v>
      </c>
      <c r="B13902" t="str">
        <f>T("   Royaume-Uni")</f>
        <v xml:space="preserve">   Royaume-Uni</v>
      </c>
      <c r="C13902">
        <v>50508920</v>
      </c>
      <c r="D13902">
        <v>6300</v>
      </c>
    </row>
    <row r="13903" spans="1:4" x14ac:dyDescent="0.25">
      <c r="A13903" t="str">
        <f>T("   GH")</f>
        <v xml:space="preserve">   GH</v>
      </c>
      <c r="B13903" t="str">
        <f>T("   Ghana")</f>
        <v xml:space="preserve">   Ghana</v>
      </c>
      <c r="C13903">
        <v>1683068</v>
      </c>
      <c r="D13903">
        <v>7422</v>
      </c>
    </row>
    <row r="13904" spans="1:4" x14ac:dyDescent="0.25">
      <c r="A13904" t="str">
        <f>T("   IN")</f>
        <v xml:space="preserve">   IN</v>
      </c>
      <c r="B13904" t="str">
        <f>T("   Inde")</f>
        <v xml:space="preserve">   Inde</v>
      </c>
      <c r="C13904">
        <v>46050934</v>
      </c>
      <c r="D13904">
        <v>11480</v>
      </c>
    </row>
    <row r="13905" spans="1:4" x14ac:dyDescent="0.25">
      <c r="A13905" t="str">
        <f>T("   IT")</f>
        <v xml:space="preserve">   IT</v>
      </c>
      <c r="B13905" t="str">
        <f>T("   Italie")</f>
        <v xml:space="preserve">   Italie</v>
      </c>
      <c r="C13905">
        <v>3698710</v>
      </c>
      <c r="D13905">
        <v>11370</v>
      </c>
    </row>
    <row r="13906" spans="1:4" x14ac:dyDescent="0.25">
      <c r="A13906" t="str">
        <f>T("   TG")</f>
        <v xml:space="preserve">   TG</v>
      </c>
      <c r="B13906" t="str">
        <f>T("   Togo")</f>
        <v xml:space="preserve">   Togo</v>
      </c>
      <c r="C13906">
        <v>27911261</v>
      </c>
      <c r="D13906">
        <v>33082</v>
      </c>
    </row>
    <row r="13907" spans="1:4" x14ac:dyDescent="0.25">
      <c r="A13907" t="str">
        <f>T("   US")</f>
        <v xml:space="preserve">   US</v>
      </c>
      <c r="B13907" t="str">
        <f>T("   Etats-Unis")</f>
        <v xml:space="preserve">   Etats-Unis</v>
      </c>
      <c r="C13907">
        <v>2000000</v>
      </c>
      <c r="D13907">
        <v>1550</v>
      </c>
    </row>
    <row r="13908" spans="1:4" x14ac:dyDescent="0.25">
      <c r="A13908" t="str">
        <f>T("870210")</f>
        <v>870210</v>
      </c>
      <c r="B13908" t="s">
        <v>31</v>
      </c>
    </row>
    <row r="13909" spans="1:4" x14ac:dyDescent="0.25">
      <c r="A13909" t="str">
        <f>T("   ZZZ_Monde")</f>
        <v xml:space="preserve">   ZZZ_Monde</v>
      </c>
      <c r="B13909" t="str">
        <f>T("   ZZZ_Monde")</f>
        <v xml:space="preserve">   ZZZ_Monde</v>
      </c>
      <c r="C13909">
        <v>989350643</v>
      </c>
      <c r="D13909">
        <v>628096</v>
      </c>
    </row>
    <row r="13910" spans="1:4" x14ac:dyDescent="0.25">
      <c r="A13910" t="str">
        <f>T("   AE")</f>
        <v xml:space="preserve">   AE</v>
      </c>
      <c r="B13910" t="str">
        <f>T("   Emirats Arabes Unis")</f>
        <v xml:space="preserve">   Emirats Arabes Unis</v>
      </c>
      <c r="C13910">
        <v>47279422</v>
      </c>
      <c r="D13910">
        <v>50000</v>
      </c>
    </row>
    <row r="13911" spans="1:4" x14ac:dyDescent="0.25">
      <c r="A13911" t="str">
        <f>T("   AU")</f>
        <v xml:space="preserve">   AU</v>
      </c>
      <c r="B13911" t="str">
        <f>T("   Australie")</f>
        <v xml:space="preserve">   Australie</v>
      </c>
      <c r="C13911">
        <v>1274530</v>
      </c>
      <c r="D13911">
        <v>2500</v>
      </c>
    </row>
    <row r="13912" spans="1:4" x14ac:dyDescent="0.25">
      <c r="A13912" t="str">
        <f>T("   BE")</f>
        <v xml:space="preserve">   BE</v>
      </c>
      <c r="B13912" t="str">
        <f>T("   Belgique")</f>
        <v xml:space="preserve">   Belgique</v>
      </c>
      <c r="C13912">
        <v>351454349</v>
      </c>
      <c r="D13912">
        <v>180053</v>
      </c>
    </row>
    <row r="13913" spans="1:4" x14ac:dyDescent="0.25">
      <c r="A13913" t="str">
        <f>T("   CH")</f>
        <v xml:space="preserve">   CH</v>
      </c>
      <c r="B13913" t="str">
        <f>T("   Suisse")</f>
        <v xml:space="preserve">   Suisse</v>
      </c>
      <c r="C13913">
        <v>6000000</v>
      </c>
      <c r="D13913">
        <v>5309</v>
      </c>
    </row>
    <row r="13914" spans="1:4" x14ac:dyDescent="0.25">
      <c r="A13914" t="str">
        <f>T("   CN")</f>
        <v xml:space="preserve">   CN</v>
      </c>
      <c r="B13914" t="str">
        <f>T("   Chine")</f>
        <v xml:space="preserve">   Chine</v>
      </c>
      <c r="C13914">
        <v>25017700</v>
      </c>
      <c r="D13914">
        <v>3235</v>
      </c>
    </row>
    <row r="13915" spans="1:4" x14ac:dyDescent="0.25">
      <c r="A13915" t="str">
        <f>T("   DE")</f>
        <v xml:space="preserve">   DE</v>
      </c>
      <c r="B13915" t="str">
        <f>T("   Allemagne")</f>
        <v xml:space="preserve">   Allemagne</v>
      </c>
      <c r="C13915">
        <v>33867334</v>
      </c>
      <c r="D13915">
        <v>44420</v>
      </c>
    </row>
    <row r="13916" spans="1:4" x14ac:dyDescent="0.25">
      <c r="A13916" t="str">
        <f>T("   DK")</f>
        <v xml:space="preserve">   DK</v>
      </c>
      <c r="B13916" t="str">
        <f>T("   Danemark")</f>
        <v xml:space="preserve">   Danemark</v>
      </c>
      <c r="C13916">
        <v>3600000</v>
      </c>
      <c r="D13916">
        <v>3750</v>
      </c>
    </row>
    <row r="13917" spans="1:4" x14ac:dyDescent="0.25">
      <c r="A13917" t="str">
        <f>T("   ES")</f>
        <v xml:space="preserve">   ES</v>
      </c>
      <c r="B13917" t="str">
        <f>T("   Espagne")</f>
        <v xml:space="preserve">   Espagne</v>
      </c>
      <c r="C13917">
        <v>35315315</v>
      </c>
      <c r="D13917">
        <v>14051</v>
      </c>
    </row>
    <row r="13918" spans="1:4" x14ac:dyDescent="0.25">
      <c r="A13918" t="str">
        <f>T("   FR")</f>
        <v xml:space="preserve">   FR</v>
      </c>
      <c r="B13918" t="str">
        <f>T("   France")</f>
        <v xml:space="preserve">   France</v>
      </c>
      <c r="C13918">
        <v>320258738</v>
      </c>
      <c r="D13918">
        <v>174617</v>
      </c>
    </row>
    <row r="13919" spans="1:4" x14ac:dyDescent="0.25">
      <c r="A13919" t="str">
        <f>T("   GH")</f>
        <v xml:space="preserve">   GH</v>
      </c>
      <c r="B13919" t="str">
        <f>T("   Ghana")</f>
        <v xml:space="preserve">   Ghana</v>
      </c>
      <c r="C13919">
        <v>19678372</v>
      </c>
      <c r="D13919">
        <v>6900</v>
      </c>
    </row>
    <row r="13920" spans="1:4" x14ac:dyDescent="0.25">
      <c r="A13920" t="str">
        <f>T("   IT")</f>
        <v xml:space="preserve">   IT</v>
      </c>
      <c r="B13920" t="str">
        <f>T("   Italie")</f>
        <v xml:space="preserve">   Italie</v>
      </c>
      <c r="C13920">
        <v>3600256</v>
      </c>
      <c r="D13920">
        <v>7161</v>
      </c>
    </row>
    <row r="13921" spans="1:4" x14ac:dyDescent="0.25">
      <c r="A13921" t="str">
        <f>T("   JP")</f>
        <v xml:space="preserve">   JP</v>
      </c>
      <c r="B13921" t="str">
        <f>T("   Japon")</f>
        <v xml:space="preserve">   Japon</v>
      </c>
      <c r="C13921">
        <v>6027923</v>
      </c>
      <c r="D13921">
        <v>7700</v>
      </c>
    </row>
    <row r="13922" spans="1:4" x14ac:dyDescent="0.25">
      <c r="A13922" t="str">
        <f>T("   NG")</f>
        <v xml:space="preserve">   NG</v>
      </c>
      <c r="B13922" t="str">
        <f>T("   Nigéria")</f>
        <v xml:space="preserve">   Nigéria</v>
      </c>
      <c r="C13922">
        <v>1200000</v>
      </c>
      <c r="D13922">
        <v>1695</v>
      </c>
    </row>
    <row r="13923" spans="1:4" x14ac:dyDescent="0.25">
      <c r="A13923" t="str">
        <f>T("   NL")</f>
        <v xml:space="preserve">   NL</v>
      </c>
      <c r="B13923" t="str">
        <f>T("   Pays-bas")</f>
        <v xml:space="preserve">   Pays-bas</v>
      </c>
      <c r="C13923">
        <v>38400000</v>
      </c>
      <c r="D13923">
        <v>43155</v>
      </c>
    </row>
    <row r="13924" spans="1:4" x14ac:dyDescent="0.25">
      <c r="A13924" t="str">
        <f>T("   NO")</f>
        <v xml:space="preserve">   NO</v>
      </c>
      <c r="B13924" t="str">
        <f>T("   Norvège")</f>
        <v xml:space="preserve">   Norvège</v>
      </c>
      <c r="C13924">
        <v>1200000</v>
      </c>
      <c r="D13924">
        <v>800</v>
      </c>
    </row>
    <row r="13925" spans="1:4" x14ac:dyDescent="0.25">
      <c r="A13925" t="str">
        <f>T("   TG")</f>
        <v xml:space="preserve">   TG</v>
      </c>
      <c r="B13925" t="str">
        <f>T("   Togo")</f>
        <v xml:space="preserve">   Togo</v>
      </c>
      <c r="C13925">
        <v>75191483</v>
      </c>
      <c r="D13925">
        <v>71901</v>
      </c>
    </row>
    <row r="13926" spans="1:4" x14ac:dyDescent="0.25">
      <c r="A13926" t="str">
        <f>T("   US")</f>
        <v xml:space="preserve">   US</v>
      </c>
      <c r="B13926" t="str">
        <f>T("   Etats-Unis")</f>
        <v xml:space="preserve">   Etats-Unis</v>
      </c>
      <c r="C13926">
        <v>19985221</v>
      </c>
      <c r="D13926">
        <v>10849</v>
      </c>
    </row>
    <row r="13927" spans="1:4" x14ac:dyDescent="0.25">
      <c r="A13927" t="str">
        <f>T("870290")</f>
        <v>870290</v>
      </c>
      <c r="B13927" t="s">
        <v>32</v>
      </c>
    </row>
    <row r="13928" spans="1:4" x14ac:dyDescent="0.25">
      <c r="A13928" t="str">
        <f>T("   ZZZ_Monde")</f>
        <v xml:space="preserve">   ZZZ_Monde</v>
      </c>
      <c r="B13928" t="str">
        <f>T("   ZZZ_Monde")</f>
        <v xml:space="preserve">   ZZZ_Monde</v>
      </c>
      <c r="C13928">
        <v>1115998593</v>
      </c>
      <c r="D13928">
        <v>776253</v>
      </c>
    </row>
    <row r="13929" spans="1:4" x14ac:dyDescent="0.25">
      <c r="A13929" t="str">
        <f>T("   AE")</f>
        <v xml:space="preserve">   AE</v>
      </c>
      <c r="B13929" t="str">
        <f>T("   Emirats Arabes Unis")</f>
        <v xml:space="preserve">   Emirats Arabes Unis</v>
      </c>
      <c r="C13929">
        <v>45491446</v>
      </c>
      <c r="D13929">
        <v>7125</v>
      </c>
    </row>
    <row r="13930" spans="1:4" x14ac:dyDescent="0.25">
      <c r="A13930" t="str">
        <f>T("   BE")</f>
        <v xml:space="preserve">   BE</v>
      </c>
      <c r="B13930" t="str">
        <f>T("   Belgique")</f>
        <v xml:space="preserve">   Belgique</v>
      </c>
      <c r="C13930">
        <v>352202435</v>
      </c>
      <c r="D13930">
        <v>239070</v>
      </c>
    </row>
    <row r="13931" spans="1:4" x14ac:dyDescent="0.25">
      <c r="A13931" t="str">
        <f>T("   CH")</f>
        <v xml:space="preserve">   CH</v>
      </c>
      <c r="B13931" t="str">
        <f>T("   Suisse")</f>
        <v xml:space="preserve">   Suisse</v>
      </c>
      <c r="C13931">
        <v>13200000</v>
      </c>
      <c r="D13931">
        <v>11820</v>
      </c>
    </row>
    <row r="13932" spans="1:4" x14ac:dyDescent="0.25">
      <c r="A13932" t="str">
        <f>T("   CN")</f>
        <v xml:space="preserve">   CN</v>
      </c>
      <c r="B13932" t="str">
        <f>T("   Chine")</f>
        <v xml:space="preserve">   Chine</v>
      </c>
      <c r="C13932">
        <v>231121300</v>
      </c>
      <c r="D13932">
        <v>58786</v>
      </c>
    </row>
    <row r="13933" spans="1:4" x14ac:dyDescent="0.25">
      <c r="A13933" t="str">
        <f>T("   DE")</f>
        <v xml:space="preserve">   DE</v>
      </c>
      <c r="B13933" t="str">
        <f>T("   Allemagne")</f>
        <v xml:space="preserve">   Allemagne</v>
      </c>
      <c r="C13933">
        <v>54108614</v>
      </c>
      <c r="D13933">
        <v>66303</v>
      </c>
    </row>
    <row r="13934" spans="1:4" x14ac:dyDescent="0.25">
      <c r="A13934" t="str">
        <f>T("   DK")</f>
        <v xml:space="preserve">   DK</v>
      </c>
      <c r="B13934" t="str">
        <f>T("   Danemark")</f>
        <v xml:space="preserve">   Danemark</v>
      </c>
      <c r="C13934">
        <v>6000000</v>
      </c>
      <c r="D13934">
        <v>6991</v>
      </c>
    </row>
    <row r="13935" spans="1:4" x14ac:dyDescent="0.25">
      <c r="A13935" t="str">
        <f>T("   ES")</f>
        <v xml:space="preserve">   ES</v>
      </c>
      <c r="B13935" t="str">
        <f>T("   Espagne")</f>
        <v xml:space="preserve">   Espagne</v>
      </c>
      <c r="C13935">
        <v>1200000</v>
      </c>
      <c r="D13935">
        <v>1445</v>
      </c>
    </row>
    <row r="13936" spans="1:4" x14ac:dyDescent="0.25">
      <c r="A13936" t="str">
        <f>T("   FR")</f>
        <v xml:space="preserve">   FR</v>
      </c>
      <c r="B13936" t="str">
        <f>T("   France")</f>
        <v xml:space="preserve">   France</v>
      </c>
      <c r="C13936">
        <v>113772510</v>
      </c>
      <c r="D13936">
        <v>121323</v>
      </c>
    </row>
    <row r="13937" spans="1:4" x14ac:dyDescent="0.25">
      <c r="A13937" t="str">
        <f>T("   GB")</f>
        <v xml:space="preserve">   GB</v>
      </c>
      <c r="B13937" t="str">
        <f>T("   Royaume-Uni")</f>
        <v xml:space="preserve">   Royaume-Uni</v>
      </c>
      <c r="C13937">
        <v>1200000</v>
      </c>
      <c r="D13937">
        <v>2380</v>
      </c>
    </row>
    <row r="13938" spans="1:4" x14ac:dyDescent="0.25">
      <c r="A13938" t="str">
        <f>T("   IT")</f>
        <v xml:space="preserve">   IT</v>
      </c>
      <c r="B13938" t="str">
        <f>T("   Italie")</f>
        <v xml:space="preserve">   Italie</v>
      </c>
      <c r="C13938">
        <v>6000000</v>
      </c>
      <c r="D13938">
        <v>11400</v>
      </c>
    </row>
    <row r="13939" spans="1:4" x14ac:dyDescent="0.25">
      <c r="A13939" t="str">
        <f>T("   JP")</f>
        <v xml:space="preserve">   JP</v>
      </c>
      <c r="B13939" t="str">
        <f>T("   Japon")</f>
        <v xml:space="preserve">   Japon</v>
      </c>
      <c r="C13939">
        <v>6989164</v>
      </c>
      <c r="D13939">
        <v>6040</v>
      </c>
    </row>
    <row r="13940" spans="1:4" x14ac:dyDescent="0.25">
      <c r="A13940" t="str">
        <f>T("   NE")</f>
        <v xml:space="preserve">   NE</v>
      </c>
      <c r="B13940" t="str">
        <f>T("   Niger")</f>
        <v xml:space="preserve">   Niger</v>
      </c>
      <c r="C13940">
        <v>1200000</v>
      </c>
      <c r="D13940">
        <v>950</v>
      </c>
    </row>
    <row r="13941" spans="1:4" x14ac:dyDescent="0.25">
      <c r="A13941" t="str">
        <f>T("   NL")</f>
        <v xml:space="preserve">   NL</v>
      </c>
      <c r="B13941" t="str">
        <f>T("   Pays-bas")</f>
        <v xml:space="preserve">   Pays-bas</v>
      </c>
      <c r="C13941">
        <v>150925026</v>
      </c>
      <c r="D13941">
        <v>173990</v>
      </c>
    </row>
    <row r="13942" spans="1:4" x14ac:dyDescent="0.25">
      <c r="A13942" t="str">
        <f>T("   PT")</f>
        <v xml:space="preserve">   PT</v>
      </c>
      <c r="B13942" t="str">
        <f>T("   Portugal")</f>
        <v xml:space="preserve">   Portugal</v>
      </c>
      <c r="C13942">
        <v>63516200</v>
      </c>
      <c r="D13942">
        <v>11750</v>
      </c>
    </row>
    <row r="13943" spans="1:4" x14ac:dyDescent="0.25">
      <c r="A13943" t="str">
        <f>T("   SO")</f>
        <v xml:space="preserve">   SO</v>
      </c>
      <c r="B13943" t="str">
        <f>T("   Somalie")</f>
        <v xml:space="preserve">   Somalie</v>
      </c>
      <c r="C13943">
        <v>1200000</v>
      </c>
      <c r="D13943">
        <v>1100</v>
      </c>
    </row>
    <row r="13944" spans="1:4" x14ac:dyDescent="0.25">
      <c r="A13944" t="str">
        <f>T("   TG")</f>
        <v xml:space="preserve">   TG</v>
      </c>
      <c r="B13944" t="str">
        <f>T("   Togo")</f>
        <v xml:space="preserve">   Togo</v>
      </c>
      <c r="C13944">
        <v>15937541</v>
      </c>
      <c r="D13944">
        <v>14988</v>
      </c>
    </row>
    <row r="13945" spans="1:4" x14ac:dyDescent="0.25">
      <c r="A13945" t="str">
        <f>T("   US")</f>
        <v xml:space="preserve">   US</v>
      </c>
      <c r="B13945" t="str">
        <f>T("   Etats-Unis")</f>
        <v xml:space="preserve">   Etats-Unis</v>
      </c>
      <c r="C13945">
        <v>51934357</v>
      </c>
      <c r="D13945">
        <v>40792</v>
      </c>
    </row>
    <row r="13946" spans="1:4" x14ac:dyDescent="0.25">
      <c r="A13946" t="str">
        <f>T("870310")</f>
        <v>870310</v>
      </c>
      <c r="B13946" t="str">
        <f>T("Véhicules pour se déplacer sur la neige; véhicules pour le transport de personnes sur les terrains de golf, et simil.")</f>
        <v>Véhicules pour se déplacer sur la neige; véhicules pour le transport de personnes sur les terrains de golf, et simil.</v>
      </c>
    </row>
    <row r="13947" spans="1:4" x14ac:dyDescent="0.25">
      <c r="A13947" t="str">
        <f>T("   ZZZ_Monde")</f>
        <v xml:space="preserve">   ZZZ_Monde</v>
      </c>
      <c r="B13947" t="str">
        <f>T("   ZZZ_Monde")</f>
        <v xml:space="preserve">   ZZZ_Monde</v>
      </c>
      <c r="C13947">
        <v>568030</v>
      </c>
      <c r="D13947">
        <v>300</v>
      </c>
    </row>
    <row r="13948" spans="1:4" x14ac:dyDescent="0.25">
      <c r="A13948" t="str">
        <f>T("   NG")</f>
        <v xml:space="preserve">   NG</v>
      </c>
      <c r="B13948" t="str">
        <f>T("   Nigéria")</f>
        <v xml:space="preserve">   Nigéria</v>
      </c>
      <c r="C13948">
        <v>568030</v>
      </c>
      <c r="D13948">
        <v>300</v>
      </c>
    </row>
    <row r="13949" spans="1:4" x14ac:dyDescent="0.25">
      <c r="A13949" t="str">
        <f>T("870321")</f>
        <v>870321</v>
      </c>
      <c r="B13949" t="s">
        <v>33</v>
      </c>
    </row>
    <row r="13950" spans="1:4" x14ac:dyDescent="0.25">
      <c r="A13950" t="str">
        <f>T("   ZZZ_Monde")</f>
        <v xml:space="preserve">   ZZZ_Monde</v>
      </c>
      <c r="B13950" t="str">
        <f>T("   ZZZ_Monde")</f>
        <v xml:space="preserve">   ZZZ_Monde</v>
      </c>
      <c r="C13950">
        <v>11854857</v>
      </c>
      <c r="D13950">
        <v>3783</v>
      </c>
    </row>
    <row r="13951" spans="1:4" x14ac:dyDescent="0.25">
      <c r="A13951" t="str">
        <f>T("   CN")</f>
        <v xml:space="preserve">   CN</v>
      </c>
      <c r="B13951" t="str">
        <f>T("   Chine")</f>
        <v xml:space="preserve">   Chine</v>
      </c>
      <c r="C13951">
        <v>6540807</v>
      </c>
      <c r="D13951">
        <v>1000</v>
      </c>
    </row>
    <row r="13952" spans="1:4" x14ac:dyDescent="0.25">
      <c r="A13952" t="str">
        <f>T("   US")</f>
        <v xml:space="preserve">   US</v>
      </c>
      <c r="B13952" t="str">
        <f>T("   Etats-Unis")</f>
        <v xml:space="preserve">   Etats-Unis</v>
      </c>
      <c r="C13952">
        <v>5314050</v>
      </c>
      <c r="D13952">
        <v>2783</v>
      </c>
    </row>
    <row r="13953" spans="1:4" x14ac:dyDescent="0.25">
      <c r="A13953" t="str">
        <f>T("870322")</f>
        <v>870322</v>
      </c>
      <c r="B13953" t="s">
        <v>34</v>
      </c>
    </row>
    <row r="13954" spans="1:4" x14ac:dyDescent="0.25">
      <c r="A13954" t="str">
        <f>T("   ZZZ_Monde")</f>
        <v xml:space="preserve">   ZZZ_Monde</v>
      </c>
      <c r="B13954" t="str">
        <f>T("   ZZZ_Monde")</f>
        <v xml:space="preserve">   ZZZ_Monde</v>
      </c>
      <c r="C13954">
        <v>19513067058</v>
      </c>
      <c r="D13954">
        <v>16746670.800000001</v>
      </c>
    </row>
    <row r="13955" spans="1:4" x14ac:dyDescent="0.25">
      <c r="A13955" t="str">
        <f>T("   AE")</f>
        <v xml:space="preserve">   AE</v>
      </c>
      <c r="B13955" t="str">
        <f>T("   Emirats Arabes Unis")</f>
        <v xml:space="preserve">   Emirats Arabes Unis</v>
      </c>
      <c r="C13955">
        <v>128184770</v>
      </c>
      <c r="D13955">
        <v>19170</v>
      </c>
    </row>
    <row r="13956" spans="1:4" x14ac:dyDescent="0.25">
      <c r="A13956" t="str">
        <f>T("   AL")</f>
        <v xml:space="preserve">   AL</v>
      </c>
      <c r="B13956" t="str">
        <f>T("   Albanie")</f>
        <v xml:space="preserve">   Albanie</v>
      </c>
      <c r="C13956">
        <v>1200000</v>
      </c>
      <c r="D13956">
        <v>985</v>
      </c>
    </row>
    <row r="13957" spans="1:4" x14ac:dyDescent="0.25">
      <c r="A13957" t="str">
        <f>T("   AM")</f>
        <v xml:space="preserve">   AM</v>
      </c>
      <c r="B13957" t="str">
        <f>T("   Arménie")</f>
        <v xml:space="preserve">   Arménie</v>
      </c>
      <c r="C13957">
        <v>11116134</v>
      </c>
      <c r="D13957">
        <v>3780</v>
      </c>
    </row>
    <row r="13958" spans="1:4" x14ac:dyDescent="0.25">
      <c r="A13958" t="str">
        <f>T("   BE")</f>
        <v xml:space="preserve">   BE</v>
      </c>
      <c r="B13958" t="str">
        <f>T("   Belgique")</f>
        <v xml:space="preserve">   Belgique</v>
      </c>
      <c r="C13958">
        <v>2327994808</v>
      </c>
      <c r="D13958">
        <v>1534903</v>
      </c>
    </row>
    <row r="13959" spans="1:4" x14ac:dyDescent="0.25">
      <c r="A13959" t="str">
        <f>T("   BF")</f>
        <v xml:space="preserve">   BF</v>
      </c>
      <c r="B13959" t="str">
        <f>T("   Burkina Faso")</f>
        <v xml:space="preserve">   Burkina Faso</v>
      </c>
      <c r="C13959">
        <v>2400000</v>
      </c>
      <c r="D13959">
        <v>3180</v>
      </c>
    </row>
    <row r="13960" spans="1:4" x14ac:dyDescent="0.25">
      <c r="A13960" t="str">
        <f>T("   CA")</f>
        <v xml:space="preserve">   CA</v>
      </c>
      <c r="B13960" t="str">
        <f>T("   Canada")</f>
        <v xml:space="preserve">   Canada</v>
      </c>
      <c r="C13960">
        <v>85650890</v>
      </c>
      <c r="D13960">
        <v>58363</v>
      </c>
    </row>
    <row r="13961" spans="1:4" x14ac:dyDescent="0.25">
      <c r="A13961" t="str">
        <f>T("   CH")</f>
        <v xml:space="preserve">   CH</v>
      </c>
      <c r="B13961" t="str">
        <f>T("   Suisse")</f>
        <v xml:space="preserve">   Suisse</v>
      </c>
      <c r="C13961">
        <v>482397698</v>
      </c>
      <c r="D13961">
        <v>360702</v>
      </c>
    </row>
    <row r="13962" spans="1:4" x14ac:dyDescent="0.25">
      <c r="A13962" t="str">
        <f>T("   CI")</f>
        <v xml:space="preserve">   CI</v>
      </c>
      <c r="B13962" t="str">
        <f>T("   Côte d'Ivoire")</f>
        <v xml:space="preserve">   Côte d'Ivoire</v>
      </c>
      <c r="C13962">
        <v>8693076</v>
      </c>
      <c r="D13962">
        <v>1500</v>
      </c>
    </row>
    <row r="13963" spans="1:4" x14ac:dyDescent="0.25">
      <c r="A13963" t="str">
        <f>T("   CM")</f>
        <v xml:space="preserve">   CM</v>
      </c>
      <c r="B13963" t="str">
        <f>T("   Cameroun")</f>
        <v xml:space="preserve">   Cameroun</v>
      </c>
      <c r="C13963">
        <v>2400000</v>
      </c>
      <c r="D13963">
        <v>2315</v>
      </c>
    </row>
    <row r="13964" spans="1:4" x14ac:dyDescent="0.25">
      <c r="A13964" t="str">
        <f>T("   CN")</f>
        <v xml:space="preserve">   CN</v>
      </c>
      <c r="B13964" t="str">
        <f>T("   Chine")</f>
        <v xml:space="preserve">   Chine</v>
      </c>
      <c r="C13964">
        <v>32730325</v>
      </c>
      <c r="D13964">
        <v>15477</v>
      </c>
    </row>
    <row r="13965" spans="1:4" x14ac:dyDescent="0.25">
      <c r="A13965" t="str">
        <f>T("   CU")</f>
        <v xml:space="preserve">   CU</v>
      </c>
      <c r="B13965" t="str">
        <f>T("   Cuba")</f>
        <v xml:space="preserve">   Cuba</v>
      </c>
      <c r="C13965">
        <v>1200000</v>
      </c>
      <c r="D13965">
        <v>1000</v>
      </c>
    </row>
    <row r="13966" spans="1:4" x14ac:dyDescent="0.25">
      <c r="A13966" t="str">
        <f>T("   CZ")</f>
        <v xml:space="preserve">   CZ</v>
      </c>
      <c r="B13966" t="str">
        <f>T("   Tchèque, République")</f>
        <v xml:space="preserve">   Tchèque, République</v>
      </c>
      <c r="C13966">
        <v>1200000</v>
      </c>
      <c r="D13966">
        <v>1000</v>
      </c>
    </row>
    <row r="13967" spans="1:4" x14ac:dyDescent="0.25">
      <c r="A13967" t="str">
        <f>T("   DE")</f>
        <v xml:space="preserve">   DE</v>
      </c>
      <c r="B13967" t="str">
        <f>T("   Allemagne")</f>
        <v xml:space="preserve">   Allemagne</v>
      </c>
      <c r="C13967">
        <v>2233826848</v>
      </c>
      <c r="D13967">
        <v>1737131</v>
      </c>
    </row>
    <row r="13968" spans="1:4" x14ac:dyDescent="0.25">
      <c r="A13968" t="str">
        <f>T("   DK")</f>
        <v xml:space="preserve">   DK</v>
      </c>
      <c r="B13968" t="str">
        <f>T("   Danemark")</f>
        <v xml:space="preserve">   Danemark</v>
      </c>
      <c r="C13968">
        <v>35158852</v>
      </c>
      <c r="D13968">
        <v>25980</v>
      </c>
    </row>
    <row r="13969" spans="1:4" x14ac:dyDescent="0.25">
      <c r="A13969" t="str">
        <f>T("   ES")</f>
        <v xml:space="preserve">   ES</v>
      </c>
      <c r="B13969" t="str">
        <f>T("   Espagne")</f>
        <v xml:space="preserve">   Espagne</v>
      </c>
      <c r="C13969">
        <v>32923150</v>
      </c>
      <c r="D13969">
        <v>15175</v>
      </c>
    </row>
    <row r="13970" spans="1:4" x14ac:dyDescent="0.25">
      <c r="A13970" t="str">
        <f>T("   FR")</f>
        <v xml:space="preserve">   FR</v>
      </c>
      <c r="B13970" t="str">
        <f>T("   France")</f>
        <v xml:space="preserve">   France</v>
      </c>
      <c r="C13970">
        <v>1321697483</v>
      </c>
      <c r="D13970">
        <v>761740</v>
      </c>
    </row>
    <row r="13971" spans="1:4" x14ac:dyDescent="0.25">
      <c r="A13971" t="str">
        <f>T("   GB")</f>
        <v xml:space="preserve">   GB</v>
      </c>
      <c r="B13971" t="str">
        <f>T("   Royaume-Uni")</f>
        <v xml:space="preserve">   Royaume-Uni</v>
      </c>
      <c r="C13971">
        <v>22666339</v>
      </c>
      <c r="D13971">
        <v>20445</v>
      </c>
    </row>
    <row r="13972" spans="1:4" x14ac:dyDescent="0.25">
      <c r="A13972" t="str">
        <f>T("   GH")</f>
        <v xml:space="preserve">   GH</v>
      </c>
      <c r="B13972" t="str">
        <f>T("   Ghana")</f>
        <v xml:space="preserve">   Ghana</v>
      </c>
      <c r="C13972">
        <v>5953562</v>
      </c>
      <c r="D13972">
        <v>6219</v>
      </c>
    </row>
    <row r="13973" spans="1:4" x14ac:dyDescent="0.25">
      <c r="A13973" t="str">
        <f>T("   GR")</f>
        <v xml:space="preserve">   GR</v>
      </c>
      <c r="B13973" t="str">
        <f>T("   Grèce")</f>
        <v xml:space="preserve">   Grèce</v>
      </c>
      <c r="C13973">
        <v>1200000</v>
      </c>
      <c r="D13973">
        <v>800</v>
      </c>
    </row>
    <row r="13974" spans="1:4" x14ac:dyDescent="0.25">
      <c r="A13974" t="str">
        <f>T("   IE")</f>
        <v xml:space="preserve">   IE</v>
      </c>
      <c r="B13974" t="str">
        <f>T("   Irlande")</f>
        <v xml:space="preserve">   Irlande</v>
      </c>
      <c r="C13974">
        <v>4601356</v>
      </c>
      <c r="D13974">
        <v>1200</v>
      </c>
    </row>
    <row r="13975" spans="1:4" x14ac:dyDescent="0.25">
      <c r="A13975" t="str">
        <f>T("   IL")</f>
        <v xml:space="preserve">   IL</v>
      </c>
      <c r="B13975" t="str">
        <f>T("   Israël")</f>
        <v xml:space="preserve">   Israël</v>
      </c>
      <c r="C13975">
        <v>2400000</v>
      </c>
      <c r="D13975">
        <v>2000</v>
      </c>
    </row>
    <row r="13976" spans="1:4" x14ac:dyDescent="0.25">
      <c r="A13976" t="str">
        <f>T("   IS")</f>
        <v xml:space="preserve">   IS</v>
      </c>
      <c r="B13976" t="str">
        <f>T("   Islande")</f>
        <v xml:space="preserve">   Islande</v>
      </c>
      <c r="C13976">
        <v>1350000</v>
      </c>
      <c r="D13976">
        <v>1800</v>
      </c>
    </row>
    <row r="13977" spans="1:4" x14ac:dyDescent="0.25">
      <c r="A13977" t="str">
        <f>T("   IT")</f>
        <v xml:space="preserve">   IT</v>
      </c>
      <c r="B13977" t="str">
        <f>T("   Italie")</f>
        <v xml:space="preserve">   Italie</v>
      </c>
      <c r="C13977">
        <v>150668217</v>
      </c>
      <c r="D13977">
        <v>147206</v>
      </c>
    </row>
    <row r="13978" spans="1:4" x14ac:dyDescent="0.25">
      <c r="A13978" t="str">
        <f>T("   JP")</f>
        <v xml:space="preserve">   JP</v>
      </c>
      <c r="B13978" t="str">
        <f>T("   Japon")</f>
        <v xml:space="preserve">   Japon</v>
      </c>
      <c r="C13978">
        <v>362997751</v>
      </c>
      <c r="D13978">
        <v>192148</v>
      </c>
    </row>
    <row r="13979" spans="1:4" x14ac:dyDescent="0.25">
      <c r="A13979" t="str">
        <f>T("   KR")</f>
        <v xml:space="preserve">   KR</v>
      </c>
      <c r="B13979" t="str">
        <f>T("   Corée, République de")</f>
        <v xml:space="preserve">   Corée, République de</v>
      </c>
      <c r="C13979">
        <v>39783652</v>
      </c>
      <c r="D13979">
        <v>7345</v>
      </c>
    </row>
    <row r="13980" spans="1:4" x14ac:dyDescent="0.25">
      <c r="A13980" t="str">
        <f>T("   KW")</f>
        <v xml:space="preserve">   KW</v>
      </c>
      <c r="B13980" t="str">
        <f>T("   Koweit")</f>
        <v xml:space="preserve">   Koweit</v>
      </c>
      <c r="C13980">
        <v>1200525</v>
      </c>
      <c r="D13980">
        <v>1250</v>
      </c>
    </row>
    <row r="13981" spans="1:4" x14ac:dyDescent="0.25">
      <c r="A13981" t="str">
        <f>T("   LT")</f>
        <v xml:space="preserve">   LT</v>
      </c>
      <c r="B13981" t="str">
        <f>T("   Lituanie")</f>
        <v xml:space="preserve">   Lituanie</v>
      </c>
      <c r="C13981">
        <v>1200000</v>
      </c>
      <c r="D13981">
        <v>850</v>
      </c>
    </row>
    <row r="13982" spans="1:4" x14ac:dyDescent="0.25">
      <c r="A13982" t="str">
        <f>T("   MA")</f>
        <v xml:space="preserve">   MA</v>
      </c>
      <c r="B13982" t="str">
        <f>T("   Maroc")</f>
        <v xml:space="preserve">   Maroc</v>
      </c>
      <c r="C13982">
        <v>1200000</v>
      </c>
      <c r="D13982">
        <v>1500</v>
      </c>
    </row>
    <row r="13983" spans="1:4" x14ac:dyDescent="0.25">
      <c r="A13983" t="str">
        <f>T("   ML")</f>
        <v xml:space="preserve">   ML</v>
      </c>
      <c r="B13983" t="str">
        <f>T("   Mali")</f>
        <v xml:space="preserve">   Mali</v>
      </c>
      <c r="C13983">
        <v>1200000</v>
      </c>
      <c r="D13983">
        <v>890</v>
      </c>
    </row>
    <row r="13984" spans="1:4" x14ac:dyDescent="0.25">
      <c r="A13984" t="str">
        <f>T("   NE")</f>
        <v xml:space="preserve">   NE</v>
      </c>
      <c r="B13984" t="str">
        <f>T("   Niger")</f>
        <v xml:space="preserve">   Niger</v>
      </c>
      <c r="C13984">
        <v>8924732</v>
      </c>
      <c r="D13984">
        <v>1775</v>
      </c>
    </row>
    <row r="13985" spans="1:4" x14ac:dyDescent="0.25">
      <c r="A13985" t="str">
        <f>T("   NF")</f>
        <v xml:space="preserve">   NF</v>
      </c>
      <c r="B13985" t="str">
        <f>T("   Norfolk, île")</f>
        <v xml:space="preserve">   Norfolk, île</v>
      </c>
      <c r="C13985">
        <v>6180501</v>
      </c>
      <c r="D13985">
        <v>5781</v>
      </c>
    </row>
    <row r="13986" spans="1:4" x14ac:dyDescent="0.25">
      <c r="A13986" t="str">
        <f>T("   NG")</f>
        <v xml:space="preserve">   NG</v>
      </c>
      <c r="B13986" t="str">
        <f>T("   Nigéria")</f>
        <v xml:space="preserve">   Nigéria</v>
      </c>
      <c r="C13986">
        <v>62096422</v>
      </c>
      <c r="D13986">
        <v>14675</v>
      </c>
    </row>
    <row r="13987" spans="1:4" x14ac:dyDescent="0.25">
      <c r="A13987" t="str">
        <f>T("   NL")</f>
        <v xml:space="preserve">   NL</v>
      </c>
      <c r="B13987" t="str">
        <f>T("   Pays-bas")</f>
        <v xml:space="preserve">   Pays-bas</v>
      </c>
      <c r="C13987">
        <v>3382566980</v>
      </c>
      <c r="D13987">
        <v>2578099</v>
      </c>
    </row>
    <row r="13988" spans="1:4" x14ac:dyDescent="0.25">
      <c r="A13988" t="str">
        <f>T("   NO")</f>
        <v xml:space="preserve">   NO</v>
      </c>
      <c r="B13988" t="str">
        <f>T("   Norvège")</f>
        <v xml:space="preserve">   Norvège</v>
      </c>
      <c r="C13988">
        <v>14961862</v>
      </c>
      <c r="D13988">
        <v>10980</v>
      </c>
    </row>
    <row r="13989" spans="1:4" x14ac:dyDescent="0.25">
      <c r="A13989" t="str">
        <f>T("   PH")</f>
        <v xml:space="preserve">   PH</v>
      </c>
      <c r="B13989" t="str">
        <f>T("   Philippines")</f>
        <v xml:space="preserve">   Philippines</v>
      </c>
      <c r="C13989">
        <v>1774168</v>
      </c>
      <c r="D13989">
        <v>1000</v>
      </c>
    </row>
    <row r="13990" spans="1:4" x14ac:dyDescent="0.25">
      <c r="A13990" t="str">
        <f>T("   PL")</f>
        <v xml:space="preserve">   PL</v>
      </c>
      <c r="B13990" t="str">
        <f>T("   Pologne")</f>
        <v xml:space="preserve">   Pologne</v>
      </c>
      <c r="C13990">
        <v>6188893</v>
      </c>
      <c r="D13990">
        <v>4880</v>
      </c>
    </row>
    <row r="13991" spans="1:4" x14ac:dyDescent="0.25">
      <c r="A13991" t="str">
        <f>T("   SA")</f>
        <v xml:space="preserve">   SA</v>
      </c>
      <c r="B13991" t="str">
        <f>T("   Arabie Saoudite")</f>
        <v xml:space="preserve">   Arabie Saoudite</v>
      </c>
      <c r="C13991">
        <v>23099805</v>
      </c>
      <c r="D13991">
        <v>7910</v>
      </c>
    </row>
    <row r="13992" spans="1:4" x14ac:dyDescent="0.25">
      <c r="A13992" t="str">
        <f>T("   SD")</f>
        <v xml:space="preserve">   SD</v>
      </c>
      <c r="B13992" t="str">
        <f>T("   Soudan")</f>
        <v xml:space="preserve">   Soudan</v>
      </c>
      <c r="C13992">
        <v>1301877</v>
      </c>
      <c r="D13992">
        <v>1429</v>
      </c>
    </row>
    <row r="13993" spans="1:4" x14ac:dyDescent="0.25">
      <c r="A13993" t="str">
        <f>T("   SE")</f>
        <v xml:space="preserve">   SE</v>
      </c>
      <c r="B13993" t="str">
        <f>T("   Suède")</f>
        <v xml:space="preserve">   Suède</v>
      </c>
      <c r="C13993">
        <v>6000000</v>
      </c>
      <c r="D13993">
        <v>6420</v>
      </c>
    </row>
    <row r="13994" spans="1:4" x14ac:dyDescent="0.25">
      <c r="A13994" t="str">
        <f>T("   SN")</f>
        <v xml:space="preserve">   SN</v>
      </c>
      <c r="B13994" t="str">
        <f>T("   Sénégal")</f>
        <v xml:space="preserve">   Sénégal</v>
      </c>
      <c r="C13994">
        <v>2264668</v>
      </c>
      <c r="D13994">
        <v>1850</v>
      </c>
    </row>
    <row r="13995" spans="1:4" x14ac:dyDescent="0.25">
      <c r="A13995" t="str">
        <f>T("   SZ")</f>
        <v xml:space="preserve">   SZ</v>
      </c>
      <c r="B13995" t="str">
        <f>T("   Swaziland")</f>
        <v xml:space="preserve">   Swaziland</v>
      </c>
      <c r="C13995">
        <v>1992376</v>
      </c>
      <c r="D13995">
        <v>800</v>
      </c>
    </row>
    <row r="13996" spans="1:4" x14ac:dyDescent="0.25">
      <c r="A13996" t="str">
        <f>T("   TG")</f>
        <v xml:space="preserve">   TG</v>
      </c>
      <c r="B13996" t="str">
        <f>T("   Togo")</f>
        <v xml:space="preserve">   Togo</v>
      </c>
      <c r="C13996">
        <v>265225816</v>
      </c>
      <c r="D13996">
        <v>126735.8</v>
      </c>
    </row>
    <row r="13997" spans="1:4" x14ac:dyDescent="0.25">
      <c r="A13997" t="str">
        <f>T("   TH")</f>
        <v xml:space="preserve">   TH</v>
      </c>
      <c r="B13997" t="str">
        <f>T("   Thaïlande")</f>
        <v xml:space="preserve">   Thaïlande</v>
      </c>
      <c r="C13997">
        <v>32802696</v>
      </c>
      <c r="D13997">
        <v>6100</v>
      </c>
    </row>
    <row r="13998" spans="1:4" x14ac:dyDescent="0.25">
      <c r="A13998" t="str">
        <f>T("   US")</f>
        <v xml:space="preserve">   US</v>
      </c>
      <c r="B13998" t="str">
        <f>T("   Etats-Unis")</f>
        <v xml:space="preserve">   Etats-Unis</v>
      </c>
      <c r="C13998">
        <v>7338110103</v>
      </c>
      <c r="D13998">
        <v>4322231</v>
      </c>
    </row>
    <row r="13999" spans="1:4" x14ac:dyDescent="0.25">
      <c r="A13999" t="str">
        <f>T("   Z2")</f>
        <v xml:space="preserve">   Z2</v>
      </c>
      <c r="B13999" t="str">
        <f>T("   Pays non défini")</f>
        <v xml:space="preserve">   Pays non défini</v>
      </c>
      <c r="C13999">
        <v>1011566500</v>
      </c>
      <c r="D13999">
        <v>4722979</v>
      </c>
    </row>
    <row r="14000" spans="1:4" x14ac:dyDescent="0.25">
      <c r="A14000" t="str">
        <f>T("   ZA")</f>
        <v xml:space="preserve">   ZA</v>
      </c>
      <c r="B14000" t="str">
        <f>T("   Afrique du Sud")</f>
        <v xml:space="preserve">   Afrique du Sud</v>
      </c>
      <c r="C14000">
        <v>42814223</v>
      </c>
      <c r="D14000">
        <v>6972</v>
      </c>
    </row>
    <row r="14001" spans="1:4" x14ac:dyDescent="0.25">
      <c r="A14001" t="str">
        <f>T("870323")</f>
        <v>870323</v>
      </c>
      <c r="B14001" t="s">
        <v>35</v>
      </c>
    </row>
    <row r="14002" spans="1:4" x14ac:dyDescent="0.25">
      <c r="A14002" t="str">
        <f>T("   ZZZ_Monde")</f>
        <v xml:space="preserve">   ZZZ_Monde</v>
      </c>
      <c r="B14002" t="str">
        <f>T("   ZZZ_Monde")</f>
        <v xml:space="preserve">   ZZZ_Monde</v>
      </c>
      <c r="C14002">
        <v>7699748554</v>
      </c>
      <c r="D14002">
        <v>2573391</v>
      </c>
    </row>
    <row r="14003" spans="1:4" x14ac:dyDescent="0.25">
      <c r="A14003" t="str">
        <f>T("   AE")</f>
        <v xml:space="preserve">   AE</v>
      </c>
      <c r="B14003" t="str">
        <f>T("   Emirats Arabes Unis")</f>
        <v xml:space="preserve">   Emirats Arabes Unis</v>
      </c>
      <c r="C14003">
        <v>242336818</v>
      </c>
      <c r="D14003">
        <v>44790</v>
      </c>
    </row>
    <row r="14004" spans="1:4" x14ac:dyDescent="0.25">
      <c r="A14004" t="str">
        <f>T("   BE")</f>
        <v xml:space="preserve">   BE</v>
      </c>
      <c r="B14004" t="str">
        <f>T("   Belgique")</f>
        <v xml:space="preserve">   Belgique</v>
      </c>
      <c r="C14004">
        <v>732135957</v>
      </c>
      <c r="D14004">
        <v>146279</v>
      </c>
    </row>
    <row r="14005" spans="1:4" x14ac:dyDescent="0.25">
      <c r="A14005" t="str">
        <f>T("   BF")</f>
        <v xml:space="preserve">   BF</v>
      </c>
      <c r="B14005" t="str">
        <f>T("   Burkina Faso")</f>
        <v xml:space="preserve">   Burkina Faso</v>
      </c>
      <c r="C14005">
        <v>13504173</v>
      </c>
      <c r="D14005">
        <v>2945</v>
      </c>
    </row>
    <row r="14006" spans="1:4" x14ac:dyDescent="0.25">
      <c r="A14006" t="str">
        <f>T("   CA")</f>
        <v xml:space="preserve">   CA</v>
      </c>
      <c r="B14006" t="str">
        <f>T("   Canada")</f>
        <v xml:space="preserve">   Canada</v>
      </c>
      <c r="C14006">
        <v>15153514</v>
      </c>
      <c r="D14006">
        <v>11541</v>
      </c>
    </row>
    <row r="14007" spans="1:4" x14ac:dyDescent="0.25">
      <c r="A14007" t="str">
        <f>T("   CH")</f>
        <v xml:space="preserve">   CH</v>
      </c>
      <c r="B14007" t="str">
        <f>T("   Suisse")</f>
        <v xml:space="preserve">   Suisse</v>
      </c>
      <c r="C14007">
        <v>42176522</v>
      </c>
      <c r="D14007">
        <v>29338</v>
      </c>
    </row>
    <row r="14008" spans="1:4" x14ac:dyDescent="0.25">
      <c r="A14008" t="str">
        <f>T("   CM")</f>
        <v xml:space="preserve">   CM</v>
      </c>
      <c r="B14008" t="str">
        <f>T("   Cameroun")</f>
        <v xml:space="preserve">   Cameroun</v>
      </c>
      <c r="C14008">
        <v>20183497</v>
      </c>
      <c r="D14008">
        <v>3059</v>
      </c>
    </row>
    <row r="14009" spans="1:4" x14ac:dyDescent="0.25">
      <c r="A14009" t="str">
        <f>T("   CN")</f>
        <v xml:space="preserve">   CN</v>
      </c>
      <c r="B14009" t="str">
        <f>T("   Chine")</f>
        <v xml:space="preserve">   Chine</v>
      </c>
      <c r="C14009">
        <v>97905119</v>
      </c>
      <c r="D14009">
        <v>24657</v>
      </c>
    </row>
    <row r="14010" spans="1:4" x14ac:dyDescent="0.25">
      <c r="A14010" t="str">
        <f>T("   DE")</f>
        <v xml:space="preserve">   DE</v>
      </c>
      <c r="B14010" t="str">
        <f>T("   Allemagne")</f>
        <v xml:space="preserve">   Allemagne</v>
      </c>
      <c r="C14010">
        <v>265209418</v>
      </c>
      <c r="D14010">
        <v>79747</v>
      </c>
    </row>
    <row r="14011" spans="1:4" x14ac:dyDescent="0.25">
      <c r="A14011" t="str">
        <f>T("   DK")</f>
        <v xml:space="preserve">   DK</v>
      </c>
      <c r="B14011" t="str">
        <f>T("   Danemark")</f>
        <v xml:space="preserve">   Danemark</v>
      </c>
      <c r="C14011">
        <v>188201499</v>
      </c>
      <c r="D14011">
        <v>28249</v>
      </c>
    </row>
    <row r="14012" spans="1:4" x14ac:dyDescent="0.25">
      <c r="A14012" t="str">
        <f>T("   ES")</f>
        <v xml:space="preserve">   ES</v>
      </c>
      <c r="B14012" t="str">
        <f>T("   Espagne")</f>
        <v xml:space="preserve">   Espagne</v>
      </c>
      <c r="C14012">
        <v>126292926</v>
      </c>
      <c r="D14012">
        <v>19913</v>
      </c>
    </row>
    <row r="14013" spans="1:4" x14ac:dyDescent="0.25">
      <c r="A14013" t="str">
        <f>T("   FR")</f>
        <v xml:space="preserve">   FR</v>
      </c>
      <c r="B14013" t="str">
        <f>T("   France")</f>
        <v xml:space="preserve">   France</v>
      </c>
      <c r="C14013">
        <v>1061350253</v>
      </c>
      <c r="D14013">
        <v>215225</v>
      </c>
    </row>
    <row r="14014" spans="1:4" x14ac:dyDescent="0.25">
      <c r="A14014" t="str">
        <f>T("   GB")</f>
        <v xml:space="preserve">   GB</v>
      </c>
      <c r="B14014" t="str">
        <f>T("   Royaume-Uni")</f>
        <v xml:space="preserve">   Royaume-Uni</v>
      </c>
      <c r="C14014">
        <v>1200000</v>
      </c>
      <c r="D14014">
        <v>2000</v>
      </c>
    </row>
    <row r="14015" spans="1:4" x14ac:dyDescent="0.25">
      <c r="A14015" t="str">
        <f>T("   GH")</f>
        <v xml:space="preserve">   GH</v>
      </c>
      <c r="B14015" t="str">
        <f>T("   Ghana")</f>
        <v xml:space="preserve">   Ghana</v>
      </c>
      <c r="C14015">
        <v>13392914</v>
      </c>
      <c r="D14015">
        <v>3995</v>
      </c>
    </row>
    <row r="14016" spans="1:4" x14ac:dyDescent="0.25">
      <c r="A14016" t="str">
        <f>T("   IT")</f>
        <v xml:space="preserve">   IT</v>
      </c>
      <c r="B14016" t="str">
        <f>T("   Italie")</f>
        <v xml:space="preserve">   Italie</v>
      </c>
      <c r="C14016">
        <v>21198305</v>
      </c>
      <c r="D14016">
        <v>19098</v>
      </c>
    </row>
    <row r="14017" spans="1:4" x14ac:dyDescent="0.25">
      <c r="A14017" t="str">
        <f>T("   JP")</f>
        <v xml:space="preserve">   JP</v>
      </c>
      <c r="B14017" t="str">
        <f>T("   Japon")</f>
        <v xml:space="preserve">   Japon</v>
      </c>
      <c r="C14017">
        <v>558636309</v>
      </c>
      <c r="D14017">
        <v>91522</v>
      </c>
    </row>
    <row r="14018" spans="1:4" x14ac:dyDescent="0.25">
      <c r="A14018" t="str">
        <f>T("   KR")</f>
        <v xml:space="preserve">   KR</v>
      </c>
      <c r="B14018" t="str">
        <f>T("   Corée, République de")</f>
        <v xml:space="preserve">   Corée, République de</v>
      </c>
      <c r="C14018">
        <v>297636556</v>
      </c>
      <c r="D14018">
        <v>52769</v>
      </c>
    </row>
    <row r="14019" spans="1:4" x14ac:dyDescent="0.25">
      <c r="A14019" t="str">
        <f>T("   KW")</f>
        <v xml:space="preserve">   KW</v>
      </c>
      <c r="B14019" t="str">
        <f>T("   Koweit")</f>
        <v xml:space="preserve">   Koweit</v>
      </c>
      <c r="C14019">
        <v>51922688</v>
      </c>
      <c r="D14019">
        <v>6870</v>
      </c>
    </row>
    <row r="14020" spans="1:4" x14ac:dyDescent="0.25">
      <c r="A14020" t="str">
        <f>T("   MC")</f>
        <v xml:space="preserve">   MC</v>
      </c>
      <c r="B14020" t="str">
        <f>T("   Monaco")</f>
        <v xml:space="preserve">   Monaco</v>
      </c>
      <c r="C14020">
        <v>21448150</v>
      </c>
      <c r="D14020">
        <v>850</v>
      </c>
    </row>
    <row r="14021" spans="1:4" x14ac:dyDescent="0.25">
      <c r="A14021" t="str">
        <f>T("   ML")</f>
        <v xml:space="preserve">   ML</v>
      </c>
      <c r="B14021" t="str">
        <f>T("   Mali")</f>
        <v xml:space="preserve">   Mali</v>
      </c>
      <c r="C14021">
        <v>20762703</v>
      </c>
      <c r="D14021">
        <v>3275</v>
      </c>
    </row>
    <row r="14022" spans="1:4" x14ac:dyDescent="0.25">
      <c r="A14022" t="str">
        <f>T("   NG")</f>
        <v xml:space="preserve">   NG</v>
      </c>
      <c r="B14022" t="str">
        <f>T("   Nigéria")</f>
        <v xml:space="preserve">   Nigéria</v>
      </c>
      <c r="C14022">
        <v>1200000</v>
      </c>
      <c r="D14022">
        <v>1200</v>
      </c>
    </row>
    <row r="14023" spans="1:4" x14ac:dyDescent="0.25">
      <c r="A14023" t="str">
        <f>T("   NL")</f>
        <v xml:space="preserve">   NL</v>
      </c>
      <c r="B14023" t="str">
        <f>T("   Pays-bas")</f>
        <v xml:space="preserve">   Pays-bas</v>
      </c>
      <c r="C14023">
        <v>483922438</v>
      </c>
      <c r="D14023">
        <v>148182</v>
      </c>
    </row>
    <row r="14024" spans="1:4" x14ac:dyDescent="0.25">
      <c r="A14024" t="str">
        <f>T("   PL")</f>
        <v xml:space="preserve">   PL</v>
      </c>
      <c r="B14024" t="str">
        <f>T("   Pologne")</f>
        <v xml:space="preserve">   Pologne</v>
      </c>
      <c r="C14024">
        <v>3100542</v>
      </c>
      <c r="D14024">
        <v>3350</v>
      </c>
    </row>
    <row r="14025" spans="1:4" x14ac:dyDescent="0.25">
      <c r="A14025" t="str">
        <f>T("   SE")</f>
        <v xml:space="preserve">   SE</v>
      </c>
      <c r="B14025" t="str">
        <f>T("   Suède")</f>
        <v xml:space="preserve">   Suède</v>
      </c>
      <c r="C14025">
        <v>1200000</v>
      </c>
      <c r="D14025">
        <v>1010</v>
      </c>
    </row>
    <row r="14026" spans="1:4" x14ac:dyDescent="0.25">
      <c r="A14026" t="str">
        <f>T("   SN")</f>
        <v xml:space="preserve">   SN</v>
      </c>
      <c r="B14026" t="str">
        <f>T("   Sénégal")</f>
        <v xml:space="preserve">   Sénégal</v>
      </c>
      <c r="C14026">
        <v>89408214</v>
      </c>
      <c r="D14026">
        <v>14650</v>
      </c>
    </row>
    <row r="14027" spans="1:4" x14ac:dyDescent="0.25">
      <c r="A14027" t="str">
        <f>T("   TG")</f>
        <v xml:space="preserve">   TG</v>
      </c>
      <c r="B14027" t="str">
        <f>T("   Togo")</f>
        <v xml:space="preserve">   Togo</v>
      </c>
      <c r="C14027">
        <v>77582769</v>
      </c>
      <c r="D14027">
        <v>37427</v>
      </c>
    </row>
    <row r="14028" spans="1:4" x14ac:dyDescent="0.25">
      <c r="A14028" t="str">
        <f>T("   US")</f>
        <v xml:space="preserve">   US</v>
      </c>
      <c r="B14028" t="str">
        <f>T("   Etats-Unis")</f>
        <v xml:space="preserve">   Etats-Unis</v>
      </c>
      <c r="C14028">
        <v>3241009576</v>
      </c>
      <c r="D14028">
        <v>1577780</v>
      </c>
    </row>
    <row r="14029" spans="1:4" x14ac:dyDescent="0.25">
      <c r="A14029" t="str">
        <f>T("   ZA")</f>
        <v xml:space="preserve">   ZA</v>
      </c>
      <c r="B14029" t="str">
        <f>T("   Afrique du Sud")</f>
        <v xml:space="preserve">   Afrique du Sud</v>
      </c>
      <c r="C14029">
        <v>11677694</v>
      </c>
      <c r="D14029">
        <v>3670</v>
      </c>
    </row>
    <row r="14030" spans="1:4" x14ac:dyDescent="0.25">
      <c r="A14030" t="str">
        <f>T("870324")</f>
        <v>870324</v>
      </c>
      <c r="B14030" t="s">
        <v>36</v>
      </c>
    </row>
    <row r="14031" spans="1:4" x14ac:dyDescent="0.25">
      <c r="A14031" t="str">
        <f>T("   ZZZ_Monde")</f>
        <v xml:space="preserve">   ZZZ_Monde</v>
      </c>
      <c r="B14031" t="str">
        <f>T("   ZZZ_Monde")</f>
        <v xml:space="preserve">   ZZZ_Monde</v>
      </c>
      <c r="C14031">
        <v>913726537</v>
      </c>
      <c r="D14031">
        <v>189448</v>
      </c>
    </row>
    <row r="14032" spans="1:4" x14ac:dyDescent="0.25">
      <c r="A14032" t="str">
        <f>T("   AE")</f>
        <v xml:space="preserve">   AE</v>
      </c>
      <c r="B14032" t="str">
        <f>T("   Emirats Arabes Unis")</f>
        <v xml:space="preserve">   Emirats Arabes Unis</v>
      </c>
      <c r="C14032">
        <v>78851400</v>
      </c>
      <c r="D14032">
        <v>16458</v>
      </c>
    </row>
    <row r="14033" spans="1:4" x14ac:dyDescent="0.25">
      <c r="A14033" t="str">
        <f>T("   BE")</f>
        <v xml:space="preserve">   BE</v>
      </c>
      <c r="B14033" t="str">
        <f>T("   Belgique")</f>
        <v xml:space="preserve">   Belgique</v>
      </c>
      <c r="C14033">
        <v>25266139</v>
      </c>
      <c r="D14033">
        <v>7407</v>
      </c>
    </row>
    <row r="14034" spans="1:4" x14ac:dyDescent="0.25">
      <c r="A14034" t="str">
        <f>T("   CA")</f>
        <v xml:space="preserve">   CA</v>
      </c>
      <c r="B14034" t="str">
        <f>T("   Canada")</f>
        <v xml:space="preserve">   Canada</v>
      </c>
      <c r="C14034">
        <v>3207238</v>
      </c>
      <c r="D14034">
        <v>2973</v>
      </c>
    </row>
    <row r="14035" spans="1:4" x14ac:dyDescent="0.25">
      <c r="A14035" t="str">
        <f>T("   CI")</f>
        <v xml:space="preserve">   CI</v>
      </c>
      <c r="B14035" t="str">
        <f>T("   Côte d'Ivoire")</f>
        <v xml:space="preserve">   Côte d'Ivoire</v>
      </c>
      <c r="C14035">
        <v>16784964</v>
      </c>
      <c r="D14035">
        <v>2328</v>
      </c>
    </row>
    <row r="14036" spans="1:4" x14ac:dyDescent="0.25">
      <c r="A14036" t="str">
        <f>T("   CN")</f>
        <v xml:space="preserve">   CN</v>
      </c>
      <c r="B14036" t="str">
        <f>T("   Chine")</f>
        <v xml:space="preserve">   Chine</v>
      </c>
      <c r="C14036">
        <v>4266215</v>
      </c>
      <c r="D14036">
        <v>1780</v>
      </c>
    </row>
    <row r="14037" spans="1:4" x14ac:dyDescent="0.25">
      <c r="A14037" t="str">
        <f>T("   DE")</f>
        <v xml:space="preserve">   DE</v>
      </c>
      <c r="B14037" t="str">
        <f>T("   Allemagne")</f>
        <v xml:space="preserve">   Allemagne</v>
      </c>
      <c r="C14037">
        <v>83481737</v>
      </c>
      <c r="D14037">
        <v>11569</v>
      </c>
    </row>
    <row r="14038" spans="1:4" x14ac:dyDescent="0.25">
      <c r="A14038" t="str">
        <f>T("   ES")</f>
        <v xml:space="preserve">   ES</v>
      </c>
      <c r="B14038" t="str">
        <f>T("   Espagne")</f>
        <v xml:space="preserve">   Espagne</v>
      </c>
      <c r="C14038">
        <v>28236212</v>
      </c>
      <c r="D14038">
        <v>3962</v>
      </c>
    </row>
    <row r="14039" spans="1:4" x14ac:dyDescent="0.25">
      <c r="A14039" t="str">
        <f>T("   FR")</f>
        <v xml:space="preserve">   FR</v>
      </c>
      <c r="B14039" t="str">
        <f>T("   France")</f>
        <v xml:space="preserve">   France</v>
      </c>
      <c r="C14039">
        <v>62448071</v>
      </c>
      <c r="D14039">
        <v>5980</v>
      </c>
    </row>
    <row r="14040" spans="1:4" x14ac:dyDescent="0.25">
      <c r="A14040" t="str">
        <f>T("   GB")</f>
        <v xml:space="preserve">   GB</v>
      </c>
      <c r="B14040" t="str">
        <f>T("   Royaume-Uni")</f>
        <v xml:space="preserve">   Royaume-Uni</v>
      </c>
      <c r="C14040">
        <v>1623297</v>
      </c>
      <c r="D14040">
        <v>2500</v>
      </c>
    </row>
    <row r="14041" spans="1:4" x14ac:dyDescent="0.25">
      <c r="A14041" t="str">
        <f>T("   KR")</f>
        <v xml:space="preserve">   KR</v>
      </c>
      <c r="B14041" t="str">
        <f>T("   Corée, République de")</f>
        <v xml:space="preserve">   Corée, République de</v>
      </c>
      <c r="C14041">
        <v>25052268</v>
      </c>
      <c r="D14041">
        <v>3930</v>
      </c>
    </row>
    <row r="14042" spans="1:4" x14ac:dyDescent="0.25">
      <c r="A14042" t="str">
        <f>T("   KW")</f>
        <v xml:space="preserve">   KW</v>
      </c>
      <c r="B14042" t="str">
        <f>T("   Koweit")</f>
        <v xml:space="preserve">   Koweit</v>
      </c>
      <c r="C14042">
        <v>45936000</v>
      </c>
      <c r="D14042">
        <v>2000</v>
      </c>
    </row>
    <row r="14043" spans="1:4" x14ac:dyDescent="0.25">
      <c r="A14043" t="str">
        <f>T("   MA")</f>
        <v xml:space="preserve">   MA</v>
      </c>
      <c r="B14043" t="str">
        <f>T("   Maroc")</f>
        <v xml:space="preserve">   Maroc</v>
      </c>
      <c r="C14043">
        <v>16502212</v>
      </c>
      <c r="D14043">
        <v>2500</v>
      </c>
    </row>
    <row r="14044" spans="1:4" x14ac:dyDescent="0.25">
      <c r="A14044" t="str">
        <f>T("   NG")</f>
        <v xml:space="preserve">   NG</v>
      </c>
      <c r="B14044" t="str">
        <f>T("   Nigéria")</f>
        <v xml:space="preserve">   Nigéria</v>
      </c>
      <c r="C14044">
        <v>1200000</v>
      </c>
      <c r="D14044">
        <v>1000</v>
      </c>
    </row>
    <row r="14045" spans="1:4" x14ac:dyDescent="0.25">
      <c r="A14045" t="str">
        <f>T("   NL")</f>
        <v xml:space="preserve">   NL</v>
      </c>
      <c r="B14045" t="str">
        <f>T("   Pays-bas")</f>
        <v xml:space="preserve">   Pays-bas</v>
      </c>
      <c r="C14045">
        <v>165211099</v>
      </c>
      <c r="D14045">
        <v>25655</v>
      </c>
    </row>
    <row r="14046" spans="1:4" x14ac:dyDescent="0.25">
      <c r="A14046" t="str">
        <f>T("   SA")</f>
        <v xml:space="preserve">   SA</v>
      </c>
      <c r="B14046" t="str">
        <f>T("   Arabie Saoudite")</f>
        <v xml:space="preserve">   Arabie Saoudite</v>
      </c>
      <c r="C14046">
        <v>80994112</v>
      </c>
      <c r="D14046">
        <v>8000</v>
      </c>
    </row>
    <row r="14047" spans="1:4" x14ac:dyDescent="0.25">
      <c r="A14047" t="str">
        <f>T("   TG")</f>
        <v xml:space="preserve">   TG</v>
      </c>
      <c r="B14047" t="str">
        <f>T("   Togo")</f>
        <v xml:space="preserve">   Togo</v>
      </c>
      <c r="C14047">
        <v>3473104</v>
      </c>
      <c r="D14047">
        <v>2480</v>
      </c>
    </row>
    <row r="14048" spans="1:4" x14ac:dyDescent="0.25">
      <c r="A14048" t="str">
        <f>T("   US")</f>
        <v xml:space="preserve">   US</v>
      </c>
      <c r="B14048" t="str">
        <f>T("   Etats-Unis")</f>
        <v xml:space="preserve">   Etats-Unis</v>
      </c>
      <c r="C14048">
        <v>271192469</v>
      </c>
      <c r="D14048">
        <v>88926</v>
      </c>
    </row>
    <row r="14049" spans="1:4" x14ac:dyDescent="0.25">
      <c r="A14049" t="str">
        <f>T("870331")</f>
        <v>870331</v>
      </c>
      <c r="B14049" t="s">
        <v>37</v>
      </c>
    </row>
    <row r="14050" spans="1:4" x14ac:dyDescent="0.25">
      <c r="A14050" t="str">
        <f>T("   ZZZ_Monde")</f>
        <v xml:space="preserve">   ZZZ_Monde</v>
      </c>
      <c r="B14050" t="str">
        <f>T("   ZZZ_Monde")</f>
        <v xml:space="preserve">   ZZZ_Monde</v>
      </c>
      <c r="C14050">
        <v>103461216</v>
      </c>
      <c r="D14050">
        <v>16870</v>
      </c>
    </row>
    <row r="14051" spans="1:4" x14ac:dyDescent="0.25">
      <c r="A14051" t="str">
        <f>T("   BE")</f>
        <v xml:space="preserve">   BE</v>
      </c>
      <c r="B14051" t="str">
        <f>T("   Belgique")</f>
        <v xml:space="preserve">   Belgique</v>
      </c>
      <c r="C14051">
        <v>34129135</v>
      </c>
      <c r="D14051">
        <v>6100</v>
      </c>
    </row>
    <row r="14052" spans="1:4" x14ac:dyDescent="0.25">
      <c r="A14052" t="str">
        <f>T("   CN")</f>
        <v xml:space="preserve">   CN</v>
      </c>
      <c r="B14052" t="str">
        <f>T("   Chine")</f>
        <v xml:space="preserve">   Chine</v>
      </c>
      <c r="C14052">
        <v>31100228</v>
      </c>
      <c r="D14052">
        <v>4095</v>
      </c>
    </row>
    <row r="14053" spans="1:4" x14ac:dyDescent="0.25">
      <c r="A14053" t="str">
        <f>T("   FR")</f>
        <v xml:space="preserve">   FR</v>
      </c>
      <c r="B14053" t="str">
        <f>T("   France")</f>
        <v xml:space="preserve">   France</v>
      </c>
      <c r="C14053">
        <v>20026052</v>
      </c>
      <c r="D14053">
        <v>3240</v>
      </c>
    </row>
    <row r="14054" spans="1:4" x14ac:dyDescent="0.25">
      <c r="A14054" t="str">
        <f>T("   NL")</f>
        <v xml:space="preserve">   NL</v>
      </c>
      <c r="B14054" t="str">
        <f>T("   Pays-bas")</f>
        <v xml:space="preserve">   Pays-bas</v>
      </c>
      <c r="C14054">
        <v>16811205</v>
      </c>
      <c r="D14054">
        <v>1600</v>
      </c>
    </row>
    <row r="14055" spans="1:4" x14ac:dyDescent="0.25">
      <c r="A14055" t="str">
        <f>T("   US")</f>
        <v xml:space="preserve">   US</v>
      </c>
      <c r="B14055" t="str">
        <f>T("   Etats-Unis")</f>
        <v xml:space="preserve">   Etats-Unis</v>
      </c>
      <c r="C14055">
        <v>1394596</v>
      </c>
      <c r="D14055">
        <v>1835</v>
      </c>
    </row>
    <row r="14056" spans="1:4" x14ac:dyDescent="0.25">
      <c r="A14056" t="str">
        <f>T("870332")</f>
        <v>870332</v>
      </c>
      <c r="B14056" t="s">
        <v>38</v>
      </c>
    </row>
    <row r="14057" spans="1:4" x14ac:dyDescent="0.25">
      <c r="A14057" t="str">
        <f>T("   ZZZ_Monde")</f>
        <v xml:space="preserve">   ZZZ_Monde</v>
      </c>
      <c r="B14057" t="str">
        <f>T("   ZZZ_Monde")</f>
        <v xml:space="preserve">   ZZZ_Monde</v>
      </c>
      <c r="C14057">
        <v>818855946</v>
      </c>
      <c r="D14057">
        <v>122707</v>
      </c>
    </row>
    <row r="14058" spans="1:4" x14ac:dyDescent="0.25">
      <c r="A14058" t="str">
        <f>T("   BE")</f>
        <v xml:space="preserve">   BE</v>
      </c>
      <c r="B14058" t="str">
        <f>T("   Belgique")</f>
        <v xml:space="preserve">   Belgique</v>
      </c>
      <c r="C14058">
        <v>195661416</v>
      </c>
      <c r="D14058">
        <v>31745</v>
      </c>
    </row>
    <row r="14059" spans="1:4" x14ac:dyDescent="0.25">
      <c r="A14059" t="str">
        <f>T("   ES")</f>
        <v xml:space="preserve">   ES</v>
      </c>
      <c r="B14059" t="str">
        <f>T("   Espagne")</f>
        <v xml:space="preserve">   Espagne</v>
      </c>
      <c r="C14059">
        <v>59778127</v>
      </c>
      <c r="D14059">
        <v>10278</v>
      </c>
    </row>
    <row r="14060" spans="1:4" x14ac:dyDescent="0.25">
      <c r="A14060" t="str">
        <f>T("   FR")</f>
        <v xml:space="preserve">   FR</v>
      </c>
      <c r="B14060" t="str">
        <f>T("   France")</f>
        <v xml:space="preserve">   France</v>
      </c>
      <c r="C14060">
        <v>185496281</v>
      </c>
      <c r="D14060">
        <v>25168</v>
      </c>
    </row>
    <row r="14061" spans="1:4" x14ac:dyDescent="0.25">
      <c r="A14061" t="str">
        <f>T("   JP")</f>
        <v xml:space="preserve">   JP</v>
      </c>
      <c r="B14061" t="str">
        <f>T("   Japon")</f>
        <v xml:space="preserve">   Japon</v>
      </c>
      <c r="C14061">
        <v>210594106</v>
      </c>
      <c r="D14061">
        <v>38611</v>
      </c>
    </row>
    <row r="14062" spans="1:4" x14ac:dyDescent="0.25">
      <c r="A14062" t="str">
        <f>T("   NL")</f>
        <v xml:space="preserve">   NL</v>
      </c>
      <c r="B14062" t="str">
        <f>T("   Pays-bas")</f>
        <v xml:space="preserve">   Pays-bas</v>
      </c>
      <c r="C14062">
        <v>33972394</v>
      </c>
      <c r="D14062">
        <v>5330</v>
      </c>
    </row>
    <row r="14063" spans="1:4" x14ac:dyDescent="0.25">
      <c r="A14063" t="str">
        <f>T("   TG")</f>
        <v xml:space="preserve">   TG</v>
      </c>
      <c r="B14063" t="str">
        <f>T("   Togo")</f>
        <v xml:space="preserve">   Togo</v>
      </c>
      <c r="C14063">
        <v>81468000</v>
      </c>
      <c r="D14063">
        <v>4510</v>
      </c>
    </row>
    <row r="14064" spans="1:4" x14ac:dyDescent="0.25">
      <c r="A14064" t="str">
        <f>T("   US")</f>
        <v xml:space="preserve">   US</v>
      </c>
      <c r="B14064" t="str">
        <f>T("   Etats-Unis")</f>
        <v xml:space="preserve">   Etats-Unis</v>
      </c>
      <c r="C14064">
        <v>38700826</v>
      </c>
      <c r="D14064">
        <v>5195</v>
      </c>
    </row>
    <row r="14065" spans="1:4" x14ac:dyDescent="0.25">
      <c r="A14065" t="str">
        <f>T("   ZA")</f>
        <v xml:space="preserve">   ZA</v>
      </c>
      <c r="B14065" t="str">
        <f>T("   Afrique du Sud")</f>
        <v xml:space="preserve">   Afrique du Sud</v>
      </c>
      <c r="C14065">
        <v>13184796</v>
      </c>
      <c r="D14065">
        <v>1870</v>
      </c>
    </row>
    <row r="14066" spans="1:4" x14ac:dyDescent="0.25">
      <c r="A14066" t="str">
        <f>T("870333")</f>
        <v>870333</v>
      </c>
      <c r="B14066" t="s">
        <v>39</v>
      </c>
    </row>
    <row r="14067" spans="1:4" x14ac:dyDescent="0.25">
      <c r="A14067" t="str">
        <f>T("   ZZZ_Monde")</f>
        <v xml:space="preserve">   ZZZ_Monde</v>
      </c>
      <c r="B14067" t="str">
        <f>T("   ZZZ_Monde")</f>
        <v xml:space="preserve">   ZZZ_Monde</v>
      </c>
      <c r="C14067">
        <v>2748046235</v>
      </c>
      <c r="D14067">
        <v>377589</v>
      </c>
    </row>
    <row r="14068" spans="1:4" x14ac:dyDescent="0.25">
      <c r="A14068" t="str">
        <f>T("   BE")</f>
        <v xml:space="preserve">   BE</v>
      </c>
      <c r="B14068" t="str">
        <f>T("   Belgique")</f>
        <v xml:space="preserve">   Belgique</v>
      </c>
      <c r="C14068">
        <v>1546057103</v>
      </c>
      <c r="D14068">
        <v>163745</v>
      </c>
    </row>
    <row r="14069" spans="1:4" x14ac:dyDescent="0.25">
      <c r="A14069" t="str">
        <f>T("   BF")</f>
        <v xml:space="preserve">   BF</v>
      </c>
      <c r="B14069" t="str">
        <f>T("   Burkina Faso")</f>
        <v xml:space="preserve">   Burkina Faso</v>
      </c>
      <c r="C14069">
        <v>30700000</v>
      </c>
      <c r="D14069">
        <v>4205</v>
      </c>
    </row>
    <row r="14070" spans="1:4" x14ac:dyDescent="0.25">
      <c r="A14070" t="str">
        <f>T("   CH")</f>
        <v xml:space="preserve">   CH</v>
      </c>
      <c r="B14070" t="str">
        <f>T("   Suisse")</f>
        <v xml:space="preserve">   Suisse</v>
      </c>
      <c r="C14070">
        <v>2400000</v>
      </c>
      <c r="D14070">
        <v>2900</v>
      </c>
    </row>
    <row r="14071" spans="1:4" x14ac:dyDescent="0.25">
      <c r="A14071" t="str">
        <f>T("   CI")</f>
        <v xml:space="preserve">   CI</v>
      </c>
      <c r="B14071" t="str">
        <f>T("   Côte d'Ivoire")</f>
        <v xml:space="preserve">   Côte d'Ivoire</v>
      </c>
      <c r="C14071">
        <v>17200037</v>
      </c>
      <c r="D14071">
        <v>2195</v>
      </c>
    </row>
    <row r="14072" spans="1:4" x14ac:dyDescent="0.25">
      <c r="A14072" t="str">
        <f>T("   CN")</f>
        <v xml:space="preserve">   CN</v>
      </c>
      <c r="B14072" t="str">
        <f>T("   Chine")</f>
        <v xml:space="preserve">   Chine</v>
      </c>
      <c r="C14072">
        <v>58202936</v>
      </c>
      <c r="D14072">
        <v>14880</v>
      </c>
    </row>
    <row r="14073" spans="1:4" x14ac:dyDescent="0.25">
      <c r="A14073" t="str">
        <f>T("   DE")</f>
        <v xml:space="preserve">   DE</v>
      </c>
      <c r="B14073" t="str">
        <f>T("   Allemagne")</f>
        <v xml:space="preserve">   Allemagne</v>
      </c>
      <c r="C14073">
        <v>90420135</v>
      </c>
      <c r="D14073">
        <v>26595</v>
      </c>
    </row>
    <row r="14074" spans="1:4" x14ac:dyDescent="0.25">
      <c r="A14074" t="str">
        <f>T("   DK")</f>
        <v xml:space="preserve">   DK</v>
      </c>
      <c r="B14074" t="str">
        <f>T("   Danemark")</f>
        <v xml:space="preserve">   Danemark</v>
      </c>
      <c r="C14074">
        <v>3345872</v>
      </c>
      <c r="D14074">
        <v>2980</v>
      </c>
    </row>
    <row r="14075" spans="1:4" x14ac:dyDescent="0.25">
      <c r="A14075" t="str">
        <f>T("   ES")</f>
        <v xml:space="preserve">   ES</v>
      </c>
      <c r="B14075" t="str">
        <f>T("   Espagne")</f>
        <v xml:space="preserve">   Espagne</v>
      </c>
      <c r="C14075">
        <v>185380948</v>
      </c>
      <c r="D14075">
        <v>25705</v>
      </c>
    </row>
    <row r="14076" spans="1:4" x14ac:dyDescent="0.25">
      <c r="A14076" t="str">
        <f>T("   FR")</f>
        <v xml:space="preserve">   FR</v>
      </c>
      <c r="B14076" t="str">
        <f>T("   France")</f>
        <v xml:space="preserve">   France</v>
      </c>
      <c r="C14076">
        <v>427516865</v>
      </c>
      <c r="D14076">
        <v>57615</v>
      </c>
    </row>
    <row r="14077" spans="1:4" x14ac:dyDescent="0.25">
      <c r="A14077" t="str">
        <f>T("   IT")</f>
        <v xml:space="preserve">   IT</v>
      </c>
      <c r="B14077" t="str">
        <f>T("   Italie")</f>
        <v xml:space="preserve">   Italie</v>
      </c>
      <c r="C14077">
        <v>1200000</v>
      </c>
      <c r="D14077">
        <v>2800</v>
      </c>
    </row>
    <row r="14078" spans="1:4" x14ac:dyDescent="0.25">
      <c r="A14078" t="str">
        <f>T("   JP")</f>
        <v xml:space="preserve">   JP</v>
      </c>
      <c r="B14078" t="str">
        <f>T("   Japon")</f>
        <v xml:space="preserve">   Japon</v>
      </c>
      <c r="C14078">
        <v>245405537</v>
      </c>
      <c r="D14078">
        <v>27464</v>
      </c>
    </row>
    <row r="14079" spans="1:4" x14ac:dyDescent="0.25">
      <c r="A14079" t="str">
        <f>T("   MA")</f>
        <v xml:space="preserve">   MA</v>
      </c>
      <c r="B14079" t="str">
        <f>T("   Maroc")</f>
        <v xml:space="preserve">   Maroc</v>
      </c>
      <c r="C14079">
        <v>63106501</v>
      </c>
      <c r="D14079">
        <v>6420</v>
      </c>
    </row>
    <row r="14080" spans="1:4" x14ac:dyDescent="0.25">
      <c r="A14080" t="str">
        <f>T("   NE")</f>
        <v xml:space="preserve">   NE</v>
      </c>
      <c r="B14080" t="str">
        <f>T("   Niger")</f>
        <v xml:space="preserve">   Niger</v>
      </c>
      <c r="C14080">
        <v>2121000</v>
      </c>
      <c r="D14080">
        <v>1230</v>
      </c>
    </row>
    <row r="14081" spans="1:4" x14ac:dyDescent="0.25">
      <c r="A14081" t="str">
        <f>T("   NG")</f>
        <v xml:space="preserve">   NG</v>
      </c>
      <c r="B14081" t="str">
        <f>T("   Nigéria")</f>
        <v xml:space="preserve">   Nigéria</v>
      </c>
      <c r="C14081">
        <v>18163000</v>
      </c>
      <c r="D14081">
        <v>7450</v>
      </c>
    </row>
    <row r="14082" spans="1:4" x14ac:dyDescent="0.25">
      <c r="A14082" t="str">
        <f>T("   NL")</f>
        <v xml:space="preserve">   NL</v>
      </c>
      <c r="B14082" t="str">
        <f>T("   Pays-bas")</f>
        <v xml:space="preserve">   Pays-bas</v>
      </c>
      <c r="C14082">
        <v>18946805</v>
      </c>
      <c r="D14082">
        <v>4120</v>
      </c>
    </row>
    <row r="14083" spans="1:4" x14ac:dyDescent="0.25">
      <c r="A14083" t="str">
        <f>T("   TG")</f>
        <v xml:space="preserve">   TG</v>
      </c>
      <c r="B14083" t="str">
        <f>T("   Togo")</f>
        <v xml:space="preserve">   Togo</v>
      </c>
      <c r="C14083">
        <v>11741861</v>
      </c>
      <c r="D14083">
        <v>11295</v>
      </c>
    </row>
    <row r="14084" spans="1:4" x14ac:dyDescent="0.25">
      <c r="A14084" t="str">
        <f>T("   US")</f>
        <v xml:space="preserve">   US</v>
      </c>
      <c r="B14084" t="str">
        <f>T("   Etats-Unis")</f>
        <v xml:space="preserve">   Etats-Unis</v>
      </c>
      <c r="C14084">
        <v>26137635</v>
      </c>
      <c r="D14084">
        <v>15990</v>
      </c>
    </row>
    <row r="14085" spans="1:4" x14ac:dyDescent="0.25">
      <c r="A14085" t="str">
        <f>T("870390")</f>
        <v>870390</v>
      </c>
      <c r="B14085" t="str">
        <f>T("Voitures de tourisme et autres véhicules principalement conçus pour le transport de personnes, y.c. les voitures du type 'break' et les voitures de course (sauf véhicules pour se déplacer sur la neige et autres véhicules spéciaux du n° 8703.10)")</f>
        <v>Voitures de tourisme et autres véhicules principalement conçus pour le transport de personnes, y.c. les voitures du type 'break' et les voitures de course (sauf véhicules pour se déplacer sur la neige et autres véhicules spéciaux du n° 8703.10)</v>
      </c>
    </row>
    <row r="14086" spans="1:4" x14ac:dyDescent="0.25">
      <c r="A14086" t="str">
        <f>T("   ZZZ_Monde")</f>
        <v xml:space="preserve">   ZZZ_Monde</v>
      </c>
      <c r="B14086" t="str">
        <f>T("   ZZZ_Monde")</f>
        <v xml:space="preserve">   ZZZ_Monde</v>
      </c>
      <c r="C14086">
        <v>23049200</v>
      </c>
      <c r="D14086">
        <v>2646</v>
      </c>
    </row>
    <row r="14087" spans="1:4" x14ac:dyDescent="0.25">
      <c r="A14087" t="str">
        <f>T("   NL")</f>
        <v xml:space="preserve">   NL</v>
      </c>
      <c r="B14087" t="str">
        <f>T("   Pays-bas")</f>
        <v xml:space="preserve">   Pays-bas</v>
      </c>
      <c r="C14087">
        <v>23049200</v>
      </c>
      <c r="D14087">
        <v>2646</v>
      </c>
    </row>
    <row r="14088" spans="1:4" x14ac:dyDescent="0.25">
      <c r="A14088" t="str">
        <f>T("870410")</f>
        <v>870410</v>
      </c>
      <c r="B14088" t="str">
        <f>T("Tombereaux automoteurs utilisés en dehors du réseau routier")</f>
        <v>Tombereaux automoteurs utilisés en dehors du réseau routier</v>
      </c>
    </row>
    <row r="14089" spans="1:4" x14ac:dyDescent="0.25">
      <c r="A14089" t="str">
        <f>T("   ZZZ_Monde")</f>
        <v xml:space="preserve">   ZZZ_Monde</v>
      </c>
      <c r="B14089" t="str">
        <f>T("   ZZZ_Monde")</f>
        <v xml:space="preserve">   ZZZ_Monde</v>
      </c>
      <c r="C14089">
        <v>819838876</v>
      </c>
      <c r="D14089">
        <v>147810</v>
      </c>
    </row>
    <row r="14090" spans="1:4" x14ac:dyDescent="0.25">
      <c r="A14090" t="str">
        <f>T("   FR")</f>
        <v xml:space="preserve">   FR</v>
      </c>
      <c r="B14090" t="str">
        <f>T("   France")</f>
        <v xml:space="preserve">   France</v>
      </c>
      <c r="C14090">
        <v>759838876</v>
      </c>
      <c r="D14090">
        <v>133810</v>
      </c>
    </row>
    <row r="14091" spans="1:4" x14ac:dyDescent="0.25">
      <c r="A14091" t="str">
        <f>T("   TG")</f>
        <v xml:space="preserve">   TG</v>
      </c>
      <c r="B14091" t="str">
        <f>T("   Togo")</f>
        <v xml:space="preserve">   Togo</v>
      </c>
      <c r="C14091">
        <v>60000000</v>
      </c>
      <c r="D14091">
        <v>14000</v>
      </c>
    </row>
    <row r="14092" spans="1:4" x14ac:dyDescent="0.25">
      <c r="A14092" t="str">
        <f>T("870421")</f>
        <v>870421</v>
      </c>
      <c r="B14092" t="s">
        <v>40</v>
      </c>
    </row>
    <row r="14093" spans="1:4" x14ac:dyDescent="0.25">
      <c r="A14093" t="str">
        <f>T("   ZZZ_Monde")</f>
        <v xml:space="preserve">   ZZZ_Monde</v>
      </c>
      <c r="B14093" t="str">
        <f>T("   ZZZ_Monde")</f>
        <v xml:space="preserve">   ZZZ_Monde</v>
      </c>
      <c r="C14093">
        <v>5298720295</v>
      </c>
      <c r="D14093">
        <v>2655100</v>
      </c>
    </row>
    <row r="14094" spans="1:4" x14ac:dyDescent="0.25">
      <c r="A14094" t="str">
        <f>T("   AE")</f>
        <v xml:space="preserve">   AE</v>
      </c>
      <c r="B14094" t="str">
        <f>T("   Emirats Arabes Unis")</f>
        <v xml:space="preserve">   Emirats Arabes Unis</v>
      </c>
      <c r="C14094">
        <v>50971142</v>
      </c>
      <c r="D14094">
        <v>16960</v>
      </c>
    </row>
    <row r="14095" spans="1:4" x14ac:dyDescent="0.25">
      <c r="A14095" t="str">
        <f>T("   AU")</f>
        <v xml:space="preserve">   AU</v>
      </c>
      <c r="B14095" t="str">
        <f>T("   Australie")</f>
        <v xml:space="preserve">   Australie</v>
      </c>
      <c r="C14095">
        <v>1200407</v>
      </c>
      <c r="D14095">
        <v>1300</v>
      </c>
    </row>
    <row r="14096" spans="1:4" x14ac:dyDescent="0.25">
      <c r="A14096" t="str">
        <f>T("   BE")</f>
        <v xml:space="preserve">   BE</v>
      </c>
      <c r="B14096" t="str">
        <f>T("   Belgique")</f>
        <v xml:space="preserve">   Belgique</v>
      </c>
      <c r="C14096">
        <v>2314734397</v>
      </c>
      <c r="D14096">
        <v>513984</v>
      </c>
    </row>
    <row r="14097" spans="1:4" x14ac:dyDescent="0.25">
      <c r="A14097" t="str">
        <f>T("   CA")</f>
        <v xml:space="preserve">   CA</v>
      </c>
      <c r="B14097" t="str">
        <f>T("   Canada")</f>
        <v xml:space="preserve">   Canada</v>
      </c>
      <c r="C14097">
        <v>5847656</v>
      </c>
      <c r="D14097">
        <v>1300</v>
      </c>
    </row>
    <row r="14098" spans="1:4" x14ac:dyDescent="0.25">
      <c r="A14098" t="str">
        <f>T("   CH")</f>
        <v xml:space="preserve">   CH</v>
      </c>
      <c r="B14098" t="str">
        <f>T("   Suisse")</f>
        <v xml:space="preserve">   Suisse</v>
      </c>
      <c r="C14098">
        <v>110423085</v>
      </c>
      <c r="D14098">
        <v>74988</v>
      </c>
    </row>
    <row r="14099" spans="1:4" x14ac:dyDescent="0.25">
      <c r="A14099" t="str">
        <f>T("   CI")</f>
        <v xml:space="preserve">   CI</v>
      </c>
      <c r="B14099" t="str">
        <f>T("   Côte d'Ivoire")</f>
        <v xml:space="preserve">   Côte d'Ivoire</v>
      </c>
      <c r="C14099">
        <v>12232702</v>
      </c>
      <c r="D14099">
        <v>2100</v>
      </c>
    </row>
    <row r="14100" spans="1:4" x14ac:dyDescent="0.25">
      <c r="A14100" t="str">
        <f>T("   CN")</f>
        <v xml:space="preserve">   CN</v>
      </c>
      <c r="B14100" t="str">
        <f>T("   Chine")</f>
        <v xml:space="preserve">   Chine</v>
      </c>
      <c r="C14100">
        <v>165229438</v>
      </c>
      <c r="D14100">
        <v>38948</v>
      </c>
    </row>
    <row r="14101" spans="1:4" x14ac:dyDescent="0.25">
      <c r="A14101" t="str">
        <f>T("   DE")</f>
        <v xml:space="preserve">   DE</v>
      </c>
      <c r="B14101" t="str">
        <f>T("   Allemagne")</f>
        <v xml:space="preserve">   Allemagne</v>
      </c>
      <c r="C14101">
        <v>162588700</v>
      </c>
      <c r="D14101">
        <v>207696</v>
      </c>
    </row>
    <row r="14102" spans="1:4" x14ac:dyDescent="0.25">
      <c r="A14102" t="str">
        <f>T("   DK")</f>
        <v xml:space="preserve">   DK</v>
      </c>
      <c r="B14102" t="str">
        <f>T("   Danemark")</f>
        <v xml:space="preserve">   Danemark</v>
      </c>
      <c r="C14102">
        <v>2400000</v>
      </c>
      <c r="D14102">
        <v>4295</v>
      </c>
    </row>
    <row r="14103" spans="1:4" x14ac:dyDescent="0.25">
      <c r="A14103" t="str">
        <f>T("   ES")</f>
        <v xml:space="preserve">   ES</v>
      </c>
      <c r="B14103" t="str">
        <f>T("   Espagne")</f>
        <v xml:space="preserve">   Espagne</v>
      </c>
      <c r="C14103">
        <v>119675818</v>
      </c>
      <c r="D14103">
        <v>20179</v>
      </c>
    </row>
    <row r="14104" spans="1:4" x14ac:dyDescent="0.25">
      <c r="A14104" t="str">
        <f>T("   FR")</f>
        <v xml:space="preserve">   FR</v>
      </c>
      <c r="B14104" t="str">
        <f>T("   France")</f>
        <v xml:space="preserve">   France</v>
      </c>
      <c r="C14104">
        <v>1170242810</v>
      </c>
      <c r="D14104">
        <v>830871</v>
      </c>
    </row>
    <row r="14105" spans="1:4" x14ac:dyDescent="0.25">
      <c r="A14105" t="str">
        <f>T("   GH")</f>
        <v xml:space="preserve">   GH</v>
      </c>
      <c r="B14105" t="str">
        <f>T("   Ghana")</f>
        <v xml:space="preserve">   Ghana</v>
      </c>
      <c r="C14105">
        <v>2200542</v>
      </c>
      <c r="D14105">
        <v>1800</v>
      </c>
    </row>
    <row r="14106" spans="1:4" x14ac:dyDescent="0.25">
      <c r="A14106" t="str">
        <f>T("   GN")</f>
        <v xml:space="preserve">   GN</v>
      </c>
      <c r="B14106" t="str">
        <f>T("   Guinée")</f>
        <v xml:space="preserve">   Guinée</v>
      </c>
      <c r="C14106">
        <v>1200000</v>
      </c>
      <c r="D14106">
        <v>1630</v>
      </c>
    </row>
    <row r="14107" spans="1:4" x14ac:dyDescent="0.25">
      <c r="A14107" t="str">
        <f>T("   HK")</f>
        <v xml:space="preserve">   HK</v>
      </c>
      <c r="B14107" t="str">
        <f>T("   Hong-Kong")</f>
        <v xml:space="preserve">   Hong-Kong</v>
      </c>
      <c r="C14107">
        <v>2789501</v>
      </c>
      <c r="D14107">
        <v>1000</v>
      </c>
    </row>
    <row r="14108" spans="1:4" x14ac:dyDescent="0.25">
      <c r="A14108" t="str">
        <f>T("   IT")</f>
        <v xml:space="preserve">   IT</v>
      </c>
      <c r="B14108" t="str">
        <f>T("   Italie")</f>
        <v xml:space="preserve">   Italie</v>
      </c>
      <c r="C14108">
        <v>28770743</v>
      </c>
      <c r="D14108">
        <v>30099</v>
      </c>
    </row>
    <row r="14109" spans="1:4" x14ac:dyDescent="0.25">
      <c r="A14109" t="str">
        <f>T("   JP")</f>
        <v xml:space="preserve">   JP</v>
      </c>
      <c r="B14109" t="str">
        <f>T("   Japon")</f>
        <v xml:space="preserve">   Japon</v>
      </c>
      <c r="C14109">
        <v>122067587</v>
      </c>
      <c r="D14109">
        <v>42086</v>
      </c>
    </row>
    <row r="14110" spans="1:4" x14ac:dyDescent="0.25">
      <c r="A14110" t="str">
        <f>T("   NE")</f>
        <v xml:space="preserve">   NE</v>
      </c>
      <c r="B14110" t="str">
        <f>T("   Niger")</f>
        <v xml:space="preserve">   Niger</v>
      </c>
      <c r="C14110">
        <v>1200000</v>
      </c>
      <c r="D14110">
        <v>1180</v>
      </c>
    </row>
    <row r="14111" spans="1:4" x14ac:dyDescent="0.25">
      <c r="A14111" t="str">
        <f>T("   NG")</f>
        <v xml:space="preserve">   NG</v>
      </c>
      <c r="B14111" t="str">
        <f>T("   Nigéria")</f>
        <v xml:space="preserve">   Nigéria</v>
      </c>
      <c r="C14111">
        <v>3600000</v>
      </c>
      <c r="D14111">
        <v>3800</v>
      </c>
    </row>
    <row r="14112" spans="1:4" x14ac:dyDescent="0.25">
      <c r="A14112" t="str">
        <f>T("   NL")</f>
        <v xml:space="preserve">   NL</v>
      </c>
      <c r="B14112" t="str">
        <f>T("   Pays-bas")</f>
        <v xml:space="preserve">   Pays-bas</v>
      </c>
      <c r="C14112">
        <v>507657343</v>
      </c>
      <c r="D14112">
        <v>463111</v>
      </c>
    </row>
    <row r="14113" spans="1:4" x14ac:dyDescent="0.25">
      <c r="A14113" t="str">
        <f>T("   NO")</f>
        <v xml:space="preserve">   NO</v>
      </c>
      <c r="B14113" t="str">
        <f>T("   Norvège")</f>
        <v xml:space="preserve">   Norvège</v>
      </c>
      <c r="C14113">
        <v>2400000</v>
      </c>
      <c r="D14113">
        <v>1900</v>
      </c>
    </row>
    <row r="14114" spans="1:4" x14ac:dyDescent="0.25">
      <c r="A14114" t="str">
        <f>T("   OM")</f>
        <v xml:space="preserve">   OM</v>
      </c>
      <c r="B14114" t="str">
        <f>T("   Oman")</f>
        <v xml:space="preserve">   Oman</v>
      </c>
      <c r="C14114">
        <v>14778372</v>
      </c>
      <c r="D14114">
        <v>9750</v>
      </c>
    </row>
    <row r="14115" spans="1:4" x14ac:dyDescent="0.25">
      <c r="A14115" t="str">
        <f>T("   PL")</f>
        <v xml:space="preserve">   PL</v>
      </c>
      <c r="B14115" t="str">
        <f>T("   Pologne")</f>
        <v xml:space="preserve">   Pologne</v>
      </c>
      <c r="C14115">
        <v>1200000</v>
      </c>
      <c r="D14115">
        <v>1200</v>
      </c>
    </row>
    <row r="14116" spans="1:4" x14ac:dyDescent="0.25">
      <c r="A14116" t="str">
        <f>T("   PT")</f>
        <v xml:space="preserve">   PT</v>
      </c>
      <c r="B14116" t="str">
        <f>T("   Portugal")</f>
        <v xml:space="preserve">   Portugal</v>
      </c>
      <c r="C14116">
        <v>2400000</v>
      </c>
      <c r="D14116">
        <v>2450</v>
      </c>
    </row>
    <row r="14117" spans="1:4" x14ac:dyDescent="0.25">
      <c r="A14117" t="str">
        <f>T("   SA")</f>
        <v xml:space="preserve">   SA</v>
      </c>
      <c r="B14117" t="str">
        <f>T("   Arabie Saoudite")</f>
        <v xml:space="preserve">   Arabie Saoudite</v>
      </c>
      <c r="C14117">
        <v>4221770</v>
      </c>
      <c r="D14117">
        <v>2000</v>
      </c>
    </row>
    <row r="14118" spans="1:4" x14ac:dyDescent="0.25">
      <c r="A14118" t="str">
        <f>T("   SN")</f>
        <v xml:space="preserve">   SN</v>
      </c>
      <c r="B14118" t="str">
        <f>T("   Sénégal")</f>
        <v xml:space="preserve">   Sénégal</v>
      </c>
      <c r="C14118">
        <v>1296966</v>
      </c>
      <c r="D14118">
        <v>6000</v>
      </c>
    </row>
    <row r="14119" spans="1:4" x14ac:dyDescent="0.25">
      <c r="A14119" t="str">
        <f>T("   TG")</f>
        <v xml:space="preserve">   TG</v>
      </c>
      <c r="B14119" t="str">
        <f>T("   Togo")</f>
        <v xml:space="preserve">   Togo</v>
      </c>
      <c r="C14119">
        <v>118211770</v>
      </c>
      <c r="D14119">
        <v>223140</v>
      </c>
    </row>
    <row r="14120" spans="1:4" x14ac:dyDescent="0.25">
      <c r="A14120" t="str">
        <f>T("   TH")</f>
        <v xml:space="preserve">   TH</v>
      </c>
      <c r="B14120" t="str">
        <f>T("   Thaïlande")</f>
        <v xml:space="preserve">   Thaïlande</v>
      </c>
      <c r="C14120">
        <v>98751096</v>
      </c>
      <c r="D14120">
        <v>18010</v>
      </c>
    </row>
    <row r="14121" spans="1:4" x14ac:dyDescent="0.25">
      <c r="A14121" t="str">
        <f>T("   US")</f>
        <v xml:space="preserve">   US</v>
      </c>
      <c r="B14121" t="str">
        <f>T("   Etats-Unis")</f>
        <v xml:space="preserve">   Etats-Unis</v>
      </c>
      <c r="C14121">
        <v>188077785</v>
      </c>
      <c r="D14121">
        <v>118841</v>
      </c>
    </row>
    <row r="14122" spans="1:4" x14ac:dyDescent="0.25">
      <c r="A14122" t="str">
        <f>T("   ZA")</f>
        <v xml:space="preserve">   ZA</v>
      </c>
      <c r="B14122" t="str">
        <f>T("   Afrique du Sud")</f>
        <v xml:space="preserve">   Afrique du Sud</v>
      </c>
      <c r="C14122">
        <v>82350665</v>
      </c>
      <c r="D14122">
        <v>14482</v>
      </c>
    </row>
    <row r="14123" spans="1:4" x14ac:dyDescent="0.25">
      <c r="A14123" t="str">
        <f>T("870422")</f>
        <v>870422</v>
      </c>
      <c r="B14123" t="s">
        <v>41</v>
      </c>
    </row>
    <row r="14124" spans="1:4" x14ac:dyDescent="0.25">
      <c r="A14124" t="str">
        <f>T("   ZZZ_Monde")</f>
        <v xml:space="preserve">   ZZZ_Monde</v>
      </c>
      <c r="B14124" t="str">
        <f>T("   ZZZ_Monde")</f>
        <v xml:space="preserve">   ZZZ_Monde</v>
      </c>
      <c r="C14124">
        <v>1357887736</v>
      </c>
      <c r="D14124">
        <v>3513704</v>
      </c>
    </row>
    <row r="14125" spans="1:4" x14ac:dyDescent="0.25">
      <c r="A14125" t="str">
        <f>T("   BE")</f>
        <v xml:space="preserve">   BE</v>
      </c>
      <c r="B14125" t="str">
        <f>T("   Belgique")</f>
        <v xml:space="preserve">   Belgique</v>
      </c>
      <c r="C14125">
        <v>98746126</v>
      </c>
      <c r="D14125">
        <v>218040</v>
      </c>
    </row>
    <row r="14126" spans="1:4" x14ac:dyDescent="0.25">
      <c r="A14126" t="str">
        <f>T("   CN")</f>
        <v xml:space="preserve">   CN</v>
      </c>
      <c r="B14126" t="str">
        <f>T("   Chine")</f>
        <v xml:space="preserve">   Chine</v>
      </c>
      <c r="C14126">
        <v>153642132</v>
      </c>
      <c r="D14126">
        <v>117756</v>
      </c>
    </row>
    <row r="14127" spans="1:4" x14ac:dyDescent="0.25">
      <c r="A14127" t="str">
        <f>T("   DE")</f>
        <v xml:space="preserve">   DE</v>
      </c>
      <c r="B14127" t="str">
        <f>T("   Allemagne")</f>
        <v xml:space="preserve">   Allemagne</v>
      </c>
      <c r="C14127">
        <v>21697968</v>
      </c>
      <c r="D14127">
        <v>59260</v>
      </c>
    </row>
    <row r="14128" spans="1:4" x14ac:dyDescent="0.25">
      <c r="A14128" t="str">
        <f>T("   DK")</f>
        <v xml:space="preserve">   DK</v>
      </c>
      <c r="B14128" t="str">
        <f>T("   Danemark")</f>
        <v xml:space="preserve">   Danemark</v>
      </c>
      <c r="C14128">
        <v>5064660</v>
      </c>
      <c r="D14128">
        <v>22050</v>
      </c>
    </row>
    <row r="14129" spans="1:4" x14ac:dyDescent="0.25">
      <c r="A14129" t="str">
        <f>T("   FR")</f>
        <v xml:space="preserve">   FR</v>
      </c>
      <c r="B14129" t="str">
        <f>T("   France")</f>
        <v xml:space="preserve">   France</v>
      </c>
      <c r="C14129">
        <v>725079603</v>
      </c>
      <c r="D14129">
        <v>2139867</v>
      </c>
    </row>
    <row r="14130" spans="1:4" x14ac:dyDescent="0.25">
      <c r="A14130" t="str">
        <f>T("   GH")</f>
        <v xml:space="preserve">   GH</v>
      </c>
      <c r="B14130" t="str">
        <f>T("   Ghana")</f>
        <v xml:space="preserve">   Ghana</v>
      </c>
      <c r="C14130">
        <v>24338021</v>
      </c>
      <c r="D14130">
        <v>88000</v>
      </c>
    </row>
    <row r="14131" spans="1:4" x14ac:dyDescent="0.25">
      <c r="A14131" t="str">
        <f>T("   IT")</f>
        <v xml:space="preserve">   IT</v>
      </c>
      <c r="B14131" t="str">
        <f>T("   Italie")</f>
        <v xml:space="preserve">   Italie</v>
      </c>
      <c r="C14131">
        <v>10000000</v>
      </c>
      <c r="D14131">
        <v>38455</v>
      </c>
    </row>
    <row r="14132" spans="1:4" x14ac:dyDescent="0.25">
      <c r="A14132" t="str">
        <f>T("   JP")</f>
        <v xml:space="preserve">   JP</v>
      </c>
      <c r="B14132" t="str">
        <f>T("   Japon")</f>
        <v xml:space="preserve">   Japon</v>
      </c>
      <c r="C14132">
        <v>2000000</v>
      </c>
      <c r="D14132">
        <v>10340</v>
      </c>
    </row>
    <row r="14133" spans="1:4" x14ac:dyDescent="0.25">
      <c r="A14133" t="str">
        <f>T("   NG")</f>
        <v xml:space="preserve">   NG</v>
      </c>
      <c r="B14133" t="str">
        <f>T("   Nigéria")</f>
        <v xml:space="preserve">   Nigéria</v>
      </c>
      <c r="C14133">
        <v>85406900</v>
      </c>
      <c r="D14133">
        <v>131160</v>
      </c>
    </row>
    <row r="14134" spans="1:4" x14ac:dyDescent="0.25">
      <c r="A14134" t="str">
        <f>T("   NL")</f>
        <v xml:space="preserve">   NL</v>
      </c>
      <c r="B14134" t="str">
        <f>T("   Pays-bas")</f>
        <v xml:space="preserve">   Pays-bas</v>
      </c>
      <c r="C14134">
        <v>161831142</v>
      </c>
      <c r="D14134">
        <v>478717</v>
      </c>
    </row>
    <row r="14135" spans="1:4" x14ac:dyDescent="0.25">
      <c r="A14135" t="str">
        <f>T("   NO")</f>
        <v xml:space="preserve">   NO</v>
      </c>
      <c r="B14135" t="str">
        <f>T("   Norvège")</f>
        <v xml:space="preserve">   Norvège</v>
      </c>
      <c r="C14135">
        <v>2000000</v>
      </c>
      <c r="D14135">
        <v>5000</v>
      </c>
    </row>
    <row r="14136" spans="1:4" x14ac:dyDescent="0.25">
      <c r="A14136" t="str">
        <f>T("   SC")</f>
        <v xml:space="preserve">   SC</v>
      </c>
      <c r="B14136" t="str">
        <f>T("   Seychelles")</f>
        <v xml:space="preserve">   Seychelles</v>
      </c>
      <c r="C14136">
        <v>2005000</v>
      </c>
      <c r="D14136">
        <v>7750</v>
      </c>
    </row>
    <row r="14137" spans="1:4" x14ac:dyDescent="0.25">
      <c r="A14137" t="str">
        <f>T("   TG")</f>
        <v xml:space="preserve">   TG</v>
      </c>
      <c r="B14137" t="str">
        <f>T("   Togo")</f>
        <v xml:space="preserve">   Togo</v>
      </c>
      <c r="C14137">
        <v>39688054</v>
      </c>
      <c r="D14137">
        <v>119496</v>
      </c>
    </row>
    <row r="14138" spans="1:4" x14ac:dyDescent="0.25">
      <c r="A14138" t="str">
        <f>T("   US")</f>
        <v xml:space="preserve">   US</v>
      </c>
      <c r="B14138" t="str">
        <f>T("   Etats-Unis")</f>
        <v xml:space="preserve">   Etats-Unis</v>
      </c>
      <c r="C14138">
        <v>26388130</v>
      </c>
      <c r="D14138">
        <v>77813</v>
      </c>
    </row>
    <row r="14139" spans="1:4" x14ac:dyDescent="0.25">
      <c r="A14139" t="str">
        <f>T("870423")</f>
        <v>870423</v>
      </c>
      <c r="B14139" t="s">
        <v>42</v>
      </c>
    </row>
    <row r="14140" spans="1:4" x14ac:dyDescent="0.25">
      <c r="A14140" t="str">
        <f>T("   ZZZ_Monde")</f>
        <v xml:space="preserve">   ZZZ_Monde</v>
      </c>
      <c r="B14140" t="str">
        <f>T("   ZZZ_Monde")</f>
        <v xml:space="preserve">   ZZZ_Monde</v>
      </c>
      <c r="C14140">
        <v>61302246</v>
      </c>
      <c r="D14140">
        <v>131010</v>
      </c>
    </row>
    <row r="14141" spans="1:4" x14ac:dyDescent="0.25">
      <c r="A14141" t="str">
        <f>T("   BE")</f>
        <v xml:space="preserve">   BE</v>
      </c>
      <c r="B14141" t="str">
        <f>T("   Belgique")</f>
        <v xml:space="preserve">   Belgique</v>
      </c>
      <c r="C14141">
        <v>19458444</v>
      </c>
      <c r="D14141">
        <v>52000</v>
      </c>
    </row>
    <row r="14142" spans="1:4" x14ac:dyDescent="0.25">
      <c r="A14142" t="str">
        <f>T("   CN")</f>
        <v xml:space="preserve">   CN</v>
      </c>
      <c r="B14142" t="str">
        <f>T("   Chine")</f>
        <v xml:space="preserve">   Chine</v>
      </c>
      <c r="C14142">
        <v>27561726</v>
      </c>
      <c r="D14142">
        <v>12010</v>
      </c>
    </row>
    <row r="14143" spans="1:4" x14ac:dyDescent="0.25">
      <c r="A14143" t="str">
        <f>T("   FR")</f>
        <v xml:space="preserve">   FR</v>
      </c>
      <c r="B14143" t="str">
        <f>T("   France")</f>
        <v xml:space="preserve">   France</v>
      </c>
      <c r="C14143">
        <v>11036171</v>
      </c>
      <c r="D14143">
        <v>40000</v>
      </c>
    </row>
    <row r="14144" spans="1:4" x14ac:dyDescent="0.25">
      <c r="A14144" t="str">
        <f>T("   TG")</f>
        <v xml:space="preserve">   TG</v>
      </c>
      <c r="B14144" t="str">
        <f>T("   Togo")</f>
        <v xml:space="preserve">   Togo</v>
      </c>
      <c r="C14144">
        <v>3245905</v>
      </c>
      <c r="D14144">
        <v>27000</v>
      </c>
    </row>
    <row r="14145" spans="1:4" x14ac:dyDescent="0.25">
      <c r="A14145" t="str">
        <f>T("870431")</f>
        <v>870431</v>
      </c>
      <c r="B14145" t="s">
        <v>43</v>
      </c>
    </row>
    <row r="14146" spans="1:4" x14ac:dyDescent="0.25">
      <c r="A14146" t="str">
        <f>T("   ZZZ_Monde")</f>
        <v xml:space="preserve">   ZZZ_Monde</v>
      </c>
      <c r="B14146" t="str">
        <f>T("   ZZZ_Monde")</f>
        <v xml:space="preserve">   ZZZ_Monde</v>
      </c>
      <c r="C14146">
        <v>560953058</v>
      </c>
      <c r="D14146">
        <v>463797</v>
      </c>
    </row>
    <row r="14147" spans="1:4" x14ac:dyDescent="0.25">
      <c r="A14147" t="str">
        <f>T("   AE")</f>
        <v xml:space="preserve">   AE</v>
      </c>
      <c r="B14147" t="str">
        <f>T("   Emirats Arabes Unis")</f>
        <v xml:space="preserve">   Emirats Arabes Unis</v>
      </c>
      <c r="C14147">
        <v>17985720</v>
      </c>
      <c r="D14147">
        <v>4000</v>
      </c>
    </row>
    <row r="14148" spans="1:4" x14ac:dyDescent="0.25">
      <c r="A14148" t="str">
        <f>T("   BE")</f>
        <v xml:space="preserve">   BE</v>
      </c>
      <c r="B14148" t="str">
        <f>T("   Belgique")</f>
        <v xml:space="preserve">   Belgique</v>
      </c>
      <c r="C14148">
        <v>63486259</v>
      </c>
      <c r="D14148">
        <v>71526</v>
      </c>
    </row>
    <row r="14149" spans="1:4" x14ac:dyDescent="0.25">
      <c r="A14149" t="str">
        <f>T("   CA")</f>
        <v xml:space="preserve">   CA</v>
      </c>
      <c r="B14149" t="str">
        <f>T("   Canada")</f>
        <v xml:space="preserve">   Canada</v>
      </c>
      <c r="C14149">
        <v>2484976</v>
      </c>
      <c r="D14149">
        <v>1200</v>
      </c>
    </row>
    <row r="14150" spans="1:4" x14ac:dyDescent="0.25">
      <c r="A14150" t="str">
        <f>T("   CH")</f>
        <v xml:space="preserve">   CH</v>
      </c>
      <c r="B14150" t="str">
        <f>T("   Suisse")</f>
        <v xml:space="preserve">   Suisse</v>
      </c>
      <c r="C14150">
        <v>12397873</v>
      </c>
      <c r="D14150">
        <v>11690</v>
      </c>
    </row>
    <row r="14151" spans="1:4" x14ac:dyDescent="0.25">
      <c r="A14151" t="str">
        <f>T("   CN")</f>
        <v xml:space="preserve">   CN</v>
      </c>
      <c r="B14151" t="str">
        <f>T("   Chine")</f>
        <v xml:space="preserve">   Chine</v>
      </c>
      <c r="C14151">
        <v>17235509</v>
      </c>
      <c r="D14151">
        <v>7069</v>
      </c>
    </row>
    <row r="14152" spans="1:4" x14ac:dyDescent="0.25">
      <c r="A14152" t="str">
        <f>T("   DE")</f>
        <v xml:space="preserve">   DE</v>
      </c>
      <c r="B14152" t="str">
        <f>T("   Allemagne")</f>
        <v xml:space="preserve">   Allemagne</v>
      </c>
      <c r="C14152">
        <v>40148921</v>
      </c>
      <c r="D14152">
        <v>35755</v>
      </c>
    </row>
    <row r="14153" spans="1:4" x14ac:dyDescent="0.25">
      <c r="A14153" t="str">
        <f>T("   DK")</f>
        <v xml:space="preserve">   DK</v>
      </c>
      <c r="B14153" t="str">
        <f>T("   Danemark")</f>
        <v xml:space="preserve">   Danemark</v>
      </c>
      <c r="C14153">
        <v>1200000</v>
      </c>
      <c r="D14153">
        <v>950</v>
      </c>
    </row>
    <row r="14154" spans="1:4" x14ac:dyDescent="0.25">
      <c r="A14154" t="str">
        <f>T("   ES")</f>
        <v xml:space="preserve">   ES</v>
      </c>
      <c r="B14154" t="str">
        <f>T("   Espagne")</f>
        <v xml:space="preserve">   Espagne</v>
      </c>
      <c r="C14154">
        <v>1200000</v>
      </c>
      <c r="D14154">
        <v>1500</v>
      </c>
    </row>
    <row r="14155" spans="1:4" x14ac:dyDescent="0.25">
      <c r="A14155" t="str">
        <f>T("   FR")</f>
        <v xml:space="preserve">   FR</v>
      </c>
      <c r="B14155" t="str">
        <f>T("   France")</f>
        <v xml:space="preserve">   France</v>
      </c>
      <c r="C14155">
        <v>96942723</v>
      </c>
      <c r="D14155">
        <v>139563</v>
      </c>
    </row>
    <row r="14156" spans="1:4" x14ac:dyDescent="0.25">
      <c r="A14156" t="str">
        <f>T("   GB")</f>
        <v xml:space="preserve">   GB</v>
      </c>
      <c r="B14156" t="str">
        <f>T("   Royaume-Uni")</f>
        <v xml:space="preserve">   Royaume-Uni</v>
      </c>
      <c r="C14156">
        <v>3722573</v>
      </c>
      <c r="D14156">
        <v>2630</v>
      </c>
    </row>
    <row r="14157" spans="1:4" x14ac:dyDescent="0.25">
      <c r="A14157" t="str">
        <f>T("   IT")</f>
        <v xml:space="preserve">   IT</v>
      </c>
      <c r="B14157" t="str">
        <f>T("   Italie")</f>
        <v xml:space="preserve">   Italie</v>
      </c>
      <c r="C14157">
        <v>4800000</v>
      </c>
      <c r="D14157">
        <v>9300</v>
      </c>
    </row>
    <row r="14158" spans="1:4" x14ac:dyDescent="0.25">
      <c r="A14158" t="str">
        <f>T("   KW")</f>
        <v xml:space="preserve">   KW</v>
      </c>
      <c r="B14158" t="str">
        <f>T("   Koweit")</f>
        <v xml:space="preserve">   Koweit</v>
      </c>
      <c r="C14158">
        <v>23238050</v>
      </c>
      <c r="D14158">
        <v>3000</v>
      </c>
    </row>
    <row r="14159" spans="1:4" x14ac:dyDescent="0.25">
      <c r="A14159" t="str">
        <f>T("   NG")</f>
        <v xml:space="preserve">   NG</v>
      </c>
      <c r="B14159" t="str">
        <f>T("   Nigéria")</f>
        <v xml:space="preserve">   Nigéria</v>
      </c>
      <c r="C14159">
        <v>2400000</v>
      </c>
      <c r="D14159">
        <v>1600</v>
      </c>
    </row>
    <row r="14160" spans="1:4" x14ac:dyDescent="0.25">
      <c r="A14160" t="str">
        <f>T("   NL")</f>
        <v xml:space="preserve">   NL</v>
      </c>
      <c r="B14160" t="str">
        <f>T("   Pays-bas")</f>
        <v xml:space="preserve">   Pays-bas</v>
      </c>
      <c r="C14160">
        <v>88937445</v>
      </c>
      <c r="D14160">
        <v>102909</v>
      </c>
    </row>
    <row r="14161" spans="1:4" x14ac:dyDescent="0.25">
      <c r="A14161" t="str">
        <f>T("   NO")</f>
        <v xml:space="preserve">   NO</v>
      </c>
      <c r="B14161" t="str">
        <f>T("   Norvège")</f>
        <v xml:space="preserve">   Norvège</v>
      </c>
      <c r="C14161">
        <v>1200000</v>
      </c>
      <c r="D14161">
        <v>1100</v>
      </c>
    </row>
    <row r="14162" spans="1:4" x14ac:dyDescent="0.25">
      <c r="A14162" t="str">
        <f>T("   PR")</f>
        <v xml:space="preserve">   PR</v>
      </c>
      <c r="B14162" t="str">
        <f>T("   Porto Rico")</f>
        <v xml:space="preserve">   Porto Rico</v>
      </c>
      <c r="C14162">
        <v>1200000</v>
      </c>
      <c r="D14162">
        <v>1100</v>
      </c>
    </row>
    <row r="14163" spans="1:4" x14ac:dyDescent="0.25">
      <c r="A14163" t="str">
        <f>T("   PT")</f>
        <v xml:space="preserve">   PT</v>
      </c>
      <c r="B14163" t="str">
        <f>T("   Portugal")</f>
        <v xml:space="preserve">   Portugal</v>
      </c>
      <c r="C14163">
        <v>8400000</v>
      </c>
      <c r="D14163">
        <v>7480</v>
      </c>
    </row>
    <row r="14164" spans="1:4" x14ac:dyDescent="0.25">
      <c r="A14164" t="str">
        <f>T("   TG")</f>
        <v xml:space="preserve">   TG</v>
      </c>
      <c r="B14164" t="str">
        <f>T("   Togo")</f>
        <v xml:space="preserve">   Togo</v>
      </c>
      <c r="C14164">
        <v>75122936</v>
      </c>
      <c r="D14164">
        <v>12134</v>
      </c>
    </row>
    <row r="14165" spans="1:4" x14ac:dyDescent="0.25">
      <c r="A14165" t="str">
        <f>T("   US")</f>
        <v xml:space="preserve">   US</v>
      </c>
      <c r="B14165" t="str">
        <f>T("   Etats-Unis")</f>
        <v xml:space="preserve">   Etats-Unis</v>
      </c>
      <c r="C14165">
        <v>98850073</v>
      </c>
      <c r="D14165">
        <v>49291</v>
      </c>
    </row>
    <row r="14166" spans="1:4" x14ac:dyDescent="0.25">
      <c r="A14166" t="str">
        <f>T("870432")</f>
        <v>870432</v>
      </c>
      <c r="B14166" t="s">
        <v>44</v>
      </c>
    </row>
    <row r="14167" spans="1:4" x14ac:dyDescent="0.25">
      <c r="A14167" t="str">
        <f>T("   ZZZ_Monde")</f>
        <v xml:space="preserve">   ZZZ_Monde</v>
      </c>
      <c r="B14167" t="str">
        <f>T("   ZZZ_Monde")</f>
        <v xml:space="preserve">   ZZZ_Monde</v>
      </c>
      <c r="C14167">
        <v>21642583</v>
      </c>
      <c r="D14167">
        <v>23010</v>
      </c>
    </row>
    <row r="14168" spans="1:4" x14ac:dyDescent="0.25">
      <c r="A14168" t="str">
        <f>T("   CN")</f>
        <v xml:space="preserve">   CN</v>
      </c>
      <c r="B14168" t="str">
        <f>T("   Chine")</f>
        <v xml:space="preserve">   Chine</v>
      </c>
      <c r="C14168">
        <v>17265137</v>
      </c>
      <c r="D14168">
        <v>9040</v>
      </c>
    </row>
    <row r="14169" spans="1:4" x14ac:dyDescent="0.25">
      <c r="A14169" t="str">
        <f>T("   FR")</f>
        <v xml:space="preserve">   FR</v>
      </c>
      <c r="B14169" t="str">
        <f>T("   France")</f>
        <v xml:space="preserve">   France</v>
      </c>
      <c r="C14169">
        <v>4377446</v>
      </c>
      <c r="D14169">
        <v>13970</v>
      </c>
    </row>
    <row r="14170" spans="1:4" x14ac:dyDescent="0.25">
      <c r="A14170" t="str">
        <f>T("870490")</f>
        <v>870490</v>
      </c>
      <c r="B14170" t="str">
        <f>T("Véhicules automobiles pour le transport de marchandises à moteur autre qu'à piston à allumage par étincelles ou moteur diesel ou semi-diesel (sauf tombereaux automoteurs du n° 8704.10, véhicules automobiles à usages spéciaux du n° 8705)")</f>
        <v>Véhicules automobiles pour le transport de marchandises à moteur autre qu'à piston à allumage par étincelles ou moteur diesel ou semi-diesel (sauf tombereaux automoteurs du n° 8704.10, véhicules automobiles à usages spéciaux du n° 8705)</v>
      </c>
    </row>
    <row r="14171" spans="1:4" x14ac:dyDescent="0.25">
      <c r="A14171" t="str">
        <f>T("   ZZZ_Monde")</f>
        <v xml:space="preserve">   ZZZ_Monde</v>
      </c>
      <c r="B14171" t="str">
        <f>T("   ZZZ_Monde")</f>
        <v xml:space="preserve">   ZZZ_Monde</v>
      </c>
      <c r="C14171">
        <v>59919855</v>
      </c>
      <c r="D14171">
        <v>84180</v>
      </c>
    </row>
    <row r="14172" spans="1:4" x14ac:dyDescent="0.25">
      <c r="A14172" t="str">
        <f>T("   AE")</f>
        <v xml:space="preserve">   AE</v>
      </c>
      <c r="B14172" t="str">
        <f>T("   Emirats Arabes Unis")</f>
        <v xml:space="preserve">   Emirats Arabes Unis</v>
      </c>
      <c r="C14172">
        <v>18245324</v>
      </c>
      <c r="D14172">
        <v>1800</v>
      </c>
    </row>
    <row r="14173" spans="1:4" x14ac:dyDescent="0.25">
      <c r="A14173" t="str">
        <f>T("   BE")</f>
        <v xml:space="preserve">   BE</v>
      </c>
      <c r="B14173" t="str">
        <f>T("   Belgique")</f>
        <v xml:space="preserve">   Belgique</v>
      </c>
      <c r="C14173">
        <v>8333797</v>
      </c>
      <c r="D14173">
        <v>27250</v>
      </c>
    </row>
    <row r="14174" spans="1:4" x14ac:dyDescent="0.25">
      <c r="A14174" t="str">
        <f>T("   DE")</f>
        <v xml:space="preserve">   DE</v>
      </c>
      <c r="B14174" t="str">
        <f>T("   Allemagne")</f>
        <v xml:space="preserve">   Allemagne</v>
      </c>
      <c r="C14174">
        <v>6800000</v>
      </c>
      <c r="D14174">
        <v>14600</v>
      </c>
    </row>
    <row r="14175" spans="1:4" x14ac:dyDescent="0.25">
      <c r="A14175" t="str">
        <f>T("   FR")</f>
        <v xml:space="preserve">   FR</v>
      </c>
      <c r="B14175" t="str">
        <f>T("   France")</f>
        <v xml:space="preserve">   France</v>
      </c>
      <c r="C14175">
        <v>3600000</v>
      </c>
      <c r="D14175">
        <v>4240</v>
      </c>
    </row>
    <row r="14176" spans="1:4" x14ac:dyDescent="0.25">
      <c r="A14176" t="str">
        <f>T("   GH")</f>
        <v xml:space="preserve">   GH</v>
      </c>
      <c r="B14176" t="str">
        <f>T("   Ghana")</f>
        <v xml:space="preserve">   Ghana</v>
      </c>
      <c r="C14176">
        <v>17797509</v>
      </c>
      <c r="D14176">
        <v>25500</v>
      </c>
    </row>
    <row r="14177" spans="1:4" x14ac:dyDescent="0.25">
      <c r="A14177" t="str">
        <f>T("   PT")</f>
        <v xml:space="preserve">   PT</v>
      </c>
      <c r="B14177" t="str">
        <f>T("   Portugal")</f>
        <v xml:space="preserve">   Portugal</v>
      </c>
      <c r="C14177">
        <v>1200000</v>
      </c>
      <c r="D14177">
        <v>7640</v>
      </c>
    </row>
    <row r="14178" spans="1:4" x14ac:dyDescent="0.25">
      <c r="A14178" t="str">
        <f>T("   TG")</f>
        <v xml:space="preserve">   TG</v>
      </c>
      <c r="B14178" t="str">
        <f>T("   Togo")</f>
        <v xml:space="preserve">   Togo</v>
      </c>
      <c r="C14178">
        <v>737995</v>
      </c>
      <c r="D14178">
        <v>2000</v>
      </c>
    </row>
    <row r="14179" spans="1:4" x14ac:dyDescent="0.25">
      <c r="A14179" t="str">
        <f>T("   US")</f>
        <v xml:space="preserve">   US</v>
      </c>
      <c r="B14179" t="str">
        <f>T("   Etats-Unis")</f>
        <v xml:space="preserve">   Etats-Unis</v>
      </c>
      <c r="C14179">
        <v>3205230</v>
      </c>
      <c r="D14179">
        <v>1150</v>
      </c>
    </row>
    <row r="14180" spans="1:4" x14ac:dyDescent="0.25">
      <c r="A14180" t="str">
        <f>T("870510")</f>
        <v>870510</v>
      </c>
      <c r="B14180" t="str">
        <f>T("Camions-grues (sauf dépanneuses)")</f>
        <v>Camions-grues (sauf dépanneuses)</v>
      </c>
    </row>
    <row r="14181" spans="1:4" x14ac:dyDescent="0.25">
      <c r="A14181" t="str">
        <f>T("   ZZZ_Monde")</f>
        <v xml:space="preserve">   ZZZ_Monde</v>
      </c>
      <c r="B14181" t="str">
        <f>T("   ZZZ_Monde")</f>
        <v xml:space="preserve">   ZZZ_Monde</v>
      </c>
      <c r="C14181">
        <v>131613637</v>
      </c>
      <c r="D14181">
        <v>156495</v>
      </c>
    </row>
    <row r="14182" spans="1:4" x14ac:dyDescent="0.25">
      <c r="A14182" t="str">
        <f>T("   BE")</f>
        <v xml:space="preserve">   BE</v>
      </c>
      <c r="B14182" t="str">
        <f>T("   Belgique")</f>
        <v xml:space="preserve">   Belgique</v>
      </c>
      <c r="C14182">
        <v>29167917</v>
      </c>
      <c r="D14182">
        <v>15300</v>
      </c>
    </row>
    <row r="14183" spans="1:4" x14ac:dyDescent="0.25">
      <c r="A14183" t="str">
        <f>T("   CI")</f>
        <v xml:space="preserve">   CI</v>
      </c>
      <c r="B14183" t="str">
        <f>T("   Côte d'Ivoire")</f>
        <v xml:space="preserve">   Côte d'Ivoire</v>
      </c>
      <c r="C14183">
        <v>8300000</v>
      </c>
      <c r="D14183">
        <v>10640</v>
      </c>
    </row>
    <row r="14184" spans="1:4" x14ac:dyDescent="0.25">
      <c r="A14184" t="str">
        <f>T("   FR")</f>
        <v xml:space="preserve">   FR</v>
      </c>
      <c r="B14184" t="str">
        <f>T("   France")</f>
        <v xml:space="preserve">   France</v>
      </c>
      <c r="C14184">
        <v>13243897</v>
      </c>
      <c r="D14184">
        <v>23525</v>
      </c>
    </row>
    <row r="14185" spans="1:4" x14ac:dyDescent="0.25">
      <c r="A14185" t="str">
        <f>T("   NG")</f>
        <v xml:space="preserve">   NG</v>
      </c>
      <c r="B14185" t="str">
        <f>T("   Nigéria")</f>
        <v xml:space="preserve">   Nigéria</v>
      </c>
      <c r="C14185">
        <v>77654700</v>
      </c>
      <c r="D14185">
        <v>79000</v>
      </c>
    </row>
    <row r="14186" spans="1:4" x14ac:dyDescent="0.25">
      <c r="A14186" t="str">
        <f>T("   TG")</f>
        <v xml:space="preserve">   TG</v>
      </c>
      <c r="B14186" t="str">
        <f>T("   Togo")</f>
        <v xml:space="preserve">   Togo</v>
      </c>
      <c r="C14186">
        <v>3247123</v>
      </c>
      <c r="D14186">
        <v>28030</v>
      </c>
    </row>
    <row r="14187" spans="1:4" x14ac:dyDescent="0.25">
      <c r="A14187" t="str">
        <f>T("870520")</f>
        <v>870520</v>
      </c>
      <c r="B14187" t="str">
        <f>T("Derricks automobiles pour le sondage ou le forage")</f>
        <v>Derricks automobiles pour le sondage ou le forage</v>
      </c>
    </row>
    <row r="14188" spans="1:4" x14ac:dyDescent="0.25">
      <c r="A14188" t="str">
        <f>T("   ZZZ_Monde")</f>
        <v xml:space="preserve">   ZZZ_Monde</v>
      </c>
      <c r="B14188" t="str">
        <f>T("   ZZZ_Monde")</f>
        <v xml:space="preserve">   ZZZ_Monde</v>
      </c>
      <c r="C14188">
        <v>75788151</v>
      </c>
      <c r="D14188">
        <v>27545</v>
      </c>
    </row>
    <row r="14189" spans="1:4" x14ac:dyDescent="0.25">
      <c r="A14189" t="str">
        <f>T("   DE")</f>
        <v xml:space="preserve">   DE</v>
      </c>
      <c r="B14189" t="str">
        <f>T("   Allemagne")</f>
        <v xml:space="preserve">   Allemagne</v>
      </c>
      <c r="C14189">
        <v>13472651</v>
      </c>
      <c r="D14189">
        <v>10085</v>
      </c>
    </row>
    <row r="14190" spans="1:4" x14ac:dyDescent="0.25">
      <c r="A14190" t="str">
        <f>T("   NG")</f>
        <v xml:space="preserve">   NG</v>
      </c>
      <c r="B14190" t="str">
        <f>T("   Nigéria")</f>
        <v xml:space="preserve">   Nigéria</v>
      </c>
      <c r="C14190">
        <v>62315500</v>
      </c>
      <c r="D14190">
        <v>17460</v>
      </c>
    </row>
    <row r="14191" spans="1:4" x14ac:dyDescent="0.25">
      <c r="A14191" t="str">
        <f>T("870540")</f>
        <v>870540</v>
      </c>
      <c r="B14191" t="str">
        <f>T("Camions-bétonnières")</f>
        <v>Camions-bétonnières</v>
      </c>
    </row>
    <row r="14192" spans="1:4" x14ac:dyDescent="0.25">
      <c r="A14192" t="str">
        <f>T("   ZZZ_Monde")</f>
        <v xml:space="preserve">   ZZZ_Monde</v>
      </c>
      <c r="B14192" t="str">
        <f>T("   ZZZ_Monde")</f>
        <v xml:space="preserve">   ZZZ_Monde</v>
      </c>
      <c r="C14192">
        <v>44502339</v>
      </c>
      <c r="D14192">
        <v>67478</v>
      </c>
    </row>
    <row r="14193" spans="1:4" x14ac:dyDescent="0.25">
      <c r="A14193" t="str">
        <f>T("   DE")</f>
        <v xml:space="preserve">   DE</v>
      </c>
      <c r="B14193" t="str">
        <f>T("   Allemagne")</f>
        <v xml:space="preserve">   Allemagne</v>
      </c>
      <c r="C14193">
        <v>33148938</v>
      </c>
      <c r="D14193">
        <v>39029</v>
      </c>
    </row>
    <row r="14194" spans="1:4" x14ac:dyDescent="0.25">
      <c r="A14194" t="str">
        <f>T("   FR")</f>
        <v xml:space="preserve">   FR</v>
      </c>
      <c r="B14194" t="str">
        <f>T("   France")</f>
        <v xml:space="preserve">   France</v>
      </c>
      <c r="C14194">
        <v>2017756</v>
      </c>
      <c r="D14194">
        <v>14100</v>
      </c>
    </row>
    <row r="14195" spans="1:4" x14ac:dyDescent="0.25">
      <c r="A14195" t="str">
        <f>T("   NL")</f>
        <v xml:space="preserve">   NL</v>
      </c>
      <c r="B14195" t="str">
        <f>T("   Pays-bas")</f>
        <v xml:space="preserve">   Pays-bas</v>
      </c>
      <c r="C14195">
        <v>9335645</v>
      </c>
      <c r="D14195">
        <v>14349</v>
      </c>
    </row>
    <row r="14196" spans="1:4" x14ac:dyDescent="0.25">
      <c r="A14196" t="str">
        <f>T("870590")</f>
        <v>870590</v>
      </c>
      <c r="B14196" t="str">
        <f>T("Véhicules automobiles à usages spéciaux (autres que ceux principalement conçus pour le transport de personnes ou de marchandises et sauf camions-béonnières, voitures de lutte contre l'incendie, derricks automobiles pour le sondage ou le forage, camions-gr")</f>
        <v>Véhicules automobiles à usages spéciaux (autres que ceux principalement conçus pour le transport de personnes ou de marchandises et sauf camions-béonnières, voitures de lutte contre l'incendie, derricks automobiles pour le sondage ou le forage, camions-gr</v>
      </c>
    </row>
    <row r="14197" spans="1:4" x14ac:dyDescent="0.25">
      <c r="A14197" t="str">
        <f>T("   ZZZ_Monde")</f>
        <v xml:space="preserve">   ZZZ_Monde</v>
      </c>
      <c r="B14197" t="str">
        <f>T("   ZZZ_Monde")</f>
        <v xml:space="preserve">   ZZZ_Monde</v>
      </c>
      <c r="C14197">
        <v>388642252</v>
      </c>
      <c r="D14197">
        <v>55840</v>
      </c>
    </row>
    <row r="14198" spans="1:4" x14ac:dyDescent="0.25">
      <c r="A14198" t="str">
        <f>T("   BE")</f>
        <v xml:space="preserve">   BE</v>
      </c>
      <c r="B14198" t="str">
        <f>T("   Belgique")</f>
        <v xml:space="preserve">   Belgique</v>
      </c>
      <c r="C14198">
        <v>25172465</v>
      </c>
      <c r="D14198">
        <v>13450</v>
      </c>
    </row>
    <row r="14199" spans="1:4" x14ac:dyDescent="0.25">
      <c r="A14199" t="str">
        <f>T("   CN")</f>
        <v xml:space="preserve">   CN</v>
      </c>
      <c r="B14199" t="str">
        <f>T("   Chine")</f>
        <v xml:space="preserve">   Chine</v>
      </c>
      <c r="C14199">
        <v>44079559</v>
      </c>
      <c r="D14199">
        <v>7100</v>
      </c>
    </row>
    <row r="14200" spans="1:4" x14ac:dyDescent="0.25">
      <c r="A14200" t="str">
        <f>T("   FR")</f>
        <v xml:space="preserve">   FR</v>
      </c>
      <c r="B14200" t="str">
        <f>T("   France")</f>
        <v xml:space="preserve">   France</v>
      </c>
      <c r="C14200">
        <v>163990000</v>
      </c>
      <c r="D14200">
        <v>15400</v>
      </c>
    </row>
    <row r="14201" spans="1:4" x14ac:dyDescent="0.25">
      <c r="A14201" t="str">
        <f>T("   JP")</f>
        <v xml:space="preserve">   JP</v>
      </c>
      <c r="B14201" t="str">
        <f>T("   Japon")</f>
        <v xml:space="preserve">   Japon</v>
      </c>
      <c r="C14201">
        <v>23885721</v>
      </c>
      <c r="D14201">
        <v>2000</v>
      </c>
    </row>
    <row r="14202" spans="1:4" x14ac:dyDescent="0.25">
      <c r="A14202" t="str">
        <f>T("   PT")</f>
        <v xml:space="preserve">   PT</v>
      </c>
      <c r="B14202" t="str">
        <f>T("   Portugal")</f>
        <v xml:space="preserve">   Portugal</v>
      </c>
      <c r="C14202">
        <v>129880080</v>
      </c>
      <c r="D14202">
        <v>5190</v>
      </c>
    </row>
    <row r="14203" spans="1:4" x14ac:dyDescent="0.25">
      <c r="A14203" t="str">
        <f>T("   TG")</f>
        <v xml:space="preserve">   TG</v>
      </c>
      <c r="B14203" t="str">
        <f>T("   Togo")</f>
        <v xml:space="preserve">   Togo</v>
      </c>
      <c r="C14203">
        <v>1634427</v>
      </c>
      <c r="D14203">
        <v>12700</v>
      </c>
    </row>
    <row r="14204" spans="1:4" x14ac:dyDescent="0.25">
      <c r="A14204" t="str">
        <f>T("870600")</f>
        <v>870600</v>
      </c>
      <c r="B14204" t="str">
        <f>T("CHÂSSIS DE TRACTEURS, VÉHICULES POUR LE TRANSPORT DE &gt;= 10 PERSONNES, CHAUFFEUR INCLUS, VOITURES DE TOURISME, VÉHICULES POUR LE TRANSPORT DE MARCHANDISES ET VÉHICULES À USAGES SPÉCIAUX DU N° 8701 À 8705, ÉQUIPÉS DE LEUR MOTEUR (SAUF AVEC MOTEUR ET CABINE)")</f>
        <v>CHÂSSIS DE TRACTEURS, VÉHICULES POUR LE TRANSPORT DE &gt;= 10 PERSONNES, CHAUFFEUR INCLUS, VOITURES DE TOURISME, VÉHICULES POUR LE TRANSPORT DE MARCHANDISES ET VÉHICULES À USAGES SPÉCIAUX DU N° 8701 À 8705, ÉQUIPÉS DE LEUR MOTEUR (SAUF AVEC MOTEUR ET CABINE)</v>
      </c>
    </row>
    <row r="14205" spans="1:4" x14ac:dyDescent="0.25">
      <c r="A14205" t="str">
        <f>T("   ZZZ_Monde")</f>
        <v xml:space="preserve">   ZZZ_Monde</v>
      </c>
      <c r="B14205" t="str">
        <f>T("   ZZZ_Monde")</f>
        <v xml:space="preserve">   ZZZ_Monde</v>
      </c>
      <c r="C14205">
        <v>11034766</v>
      </c>
      <c r="D14205">
        <v>519</v>
      </c>
    </row>
    <row r="14206" spans="1:4" x14ac:dyDescent="0.25">
      <c r="A14206" t="str">
        <f>T("   GB")</f>
        <v xml:space="preserve">   GB</v>
      </c>
      <c r="B14206" t="str">
        <f>T("   Royaume-Uni")</f>
        <v xml:space="preserve">   Royaume-Uni</v>
      </c>
      <c r="C14206">
        <v>10954766</v>
      </c>
      <c r="D14206">
        <v>500</v>
      </c>
    </row>
    <row r="14207" spans="1:4" x14ac:dyDescent="0.25">
      <c r="A14207" t="str">
        <f>T("   SG")</f>
        <v xml:space="preserve">   SG</v>
      </c>
      <c r="B14207" t="str">
        <f>T("   Singapour")</f>
        <v xml:space="preserve">   Singapour</v>
      </c>
      <c r="C14207">
        <v>80000</v>
      </c>
      <c r="D14207">
        <v>19</v>
      </c>
    </row>
    <row r="14208" spans="1:4" x14ac:dyDescent="0.25">
      <c r="A14208" t="str">
        <f>T("870710")</f>
        <v>870710</v>
      </c>
      <c r="B14208" t="str">
        <f>T("Carrosseries pour voitures de tourisme")</f>
        <v>Carrosseries pour voitures de tourisme</v>
      </c>
    </row>
    <row r="14209" spans="1:4" x14ac:dyDescent="0.25">
      <c r="A14209" t="str">
        <f>T("   ZZZ_Monde")</f>
        <v xml:space="preserve">   ZZZ_Monde</v>
      </c>
      <c r="B14209" t="str">
        <f>T("   ZZZ_Monde")</f>
        <v xml:space="preserve">   ZZZ_Monde</v>
      </c>
      <c r="C14209">
        <v>3318518</v>
      </c>
      <c r="D14209">
        <v>7035</v>
      </c>
    </row>
    <row r="14210" spans="1:4" x14ac:dyDescent="0.25">
      <c r="A14210" t="str">
        <f>T("   ES")</f>
        <v xml:space="preserve">   ES</v>
      </c>
      <c r="B14210" t="str">
        <f>T("   Espagne")</f>
        <v xml:space="preserve">   Espagne</v>
      </c>
      <c r="C14210">
        <v>2303070</v>
      </c>
      <c r="D14210">
        <v>2085</v>
      </c>
    </row>
    <row r="14211" spans="1:4" x14ac:dyDescent="0.25">
      <c r="A14211" t="str">
        <f>T("   FR")</f>
        <v xml:space="preserve">   FR</v>
      </c>
      <c r="B14211" t="str">
        <f>T("   France")</f>
        <v xml:space="preserve">   France</v>
      </c>
      <c r="C14211">
        <v>720245</v>
      </c>
      <c r="D14211">
        <v>950</v>
      </c>
    </row>
    <row r="14212" spans="1:4" x14ac:dyDescent="0.25">
      <c r="A14212" t="str">
        <f>T("   TG")</f>
        <v xml:space="preserve">   TG</v>
      </c>
      <c r="B14212" t="str">
        <f>T("   Togo")</f>
        <v xml:space="preserve">   Togo</v>
      </c>
      <c r="C14212">
        <v>295203</v>
      </c>
      <c r="D14212">
        <v>4000</v>
      </c>
    </row>
    <row r="14213" spans="1:4" x14ac:dyDescent="0.25">
      <c r="A14213" t="str">
        <f>T("870790")</f>
        <v>870790</v>
      </c>
      <c r="B14213" t="str">
        <f>T("CARROSSERIES DE TRACTEURS, VÉHICULES POUR LE TRANSPORT DE &gt;= 10 PERSONNES, CHAUFFEUR INCLUS, VÉHICULES POUR LE TRANSPORT DE MARCHANDISES ET VÉHICULES À USAGES SPÉCIAUX")</f>
        <v>CARROSSERIES DE TRACTEURS, VÉHICULES POUR LE TRANSPORT DE &gt;= 10 PERSONNES, CHAUFFEUR INCLUS, VÉHICULES POUR LE TRANSPORT DE MARCHANDISES ET VÉHICULES À USAGES SPÉCIAUX</v>
      </c>
    </row>
    <row r="14214" spans="1:4" x14ac:dyDescent="0.25">
      <c r="A14214" t="str">
        <f>T("   ZZZ_Monde")</f>
        <v xml:space="preserve">   ZZZ_Monde</v>
      </c>
      <c r="B14214" t="str">
        <f>T("   ZZZ_Monde")</f>
        <v xml:space="preserve">   ZZZ_Monde</v>
      </c>
      <c r="C14214">
        <v>11459601</v>
      </c>
      <c r="D14214">
        <v>17780</v>
      </c>
    </row>
    <row r="14215" spans="1:4" x14ac:dyDescent="0.25">
      <c r="A14215" t="str">
        <f>T("   CN")</f>
        <v xml:space="preserve">   CN</v>
      </c>
      <c r="B14215" t="str">
        <f>T("   Chine")</f>
        <v xml:space="preserve">   Chine</v>
      </c>
      <c r="C14215">
        <v>11459601</v>
      </c>
      <c r="D14215">
        <v>17780</v>
      </c>
    </row>
    <row r="14216" spans="1:4" x14ac:dyDescent="0.25">
      <c r="A14216" t="str">
        <f>T("870810")</f>
        <v>870810</v>
      </c>
      <c r="B14216" t="str">
        <f>T("PARE-CHOCS ET LEURS PARTIES DE TRACTEURS, VÉHICULES POUR LE TRANSPORT DE &gt;= 10 PERSONNES, CHAUFFEUR INCLUS, VOITURES DE TOURISME, VÉHICULES POUR LE TRANSPORT DE MARCHANDISES ET VÉHICULES À USAGES SPÉCIAUX DU N° 8701 À 8705, N.D.A")</f>
        <v>PARE-CHOCS ET LEURS PARTIES DE TRACTEURS, VÉHICULES POUR LE TRANSPORT DE &gt;= 10 PERSONNES, CHAUFFEUR INCLUS, VOITURES DE TOURISME, VÉHICULES POUR LE TRANSPORT DE MARCHANDISES ET VÉHICULES À USAGES SPÉCIAUX DU N° 8701 À 8705, N.D.A</v>
      </c>
    </row>
    <row r="14217" spans="1:4" x14ac:dyDescent="0.25">
      <c r="A14217" t="str">
        <f>T("   ZZZ_Monde")</f>
        <v xml:space="preserve">   ZZZ_Monde</v>
      </c>
      <c r="B14217" t="str">
        <f>T("   ZZZ_Monde")</f>
        <v xml:space="preserve">   ZZZ_Monde</v>
      </c>
      <c r="C14217">
        <v>4190382</v>
      </c>
      <c r="D14217">
        <v>17195</v>
      </c>
    </row>
    <row r="14218" spans="1:4" x14ac:dyDescent="0.25">
      <c r="A14218" t="str">
        <f>T("   FR")</f>
        <v xml:space="preserve">   FR</v>
      </c>
      <c r="B14218" t="str">
        <f>T("   France")</f>
        <v xml:space="preserve">   France</v>
      </c>
      <c r="C14218">
        <v>459179</v>
      </c>
      <c r="D14218">
        <v>5410</v>
      </c>
    </row>
    <row r="14219" spans="1:4" x14ac:dyDescent="0.25">
      <c r="A14219" t="str">
        <f>T("   NG")</f>
        <v xml:space="preserve">   NG</v>
      </c>
      <c r="B14219" t="str">
        <f>T("   Nigéria")</f>
        <v xml:space="preserve">   Nigéria</v>
      </c>
      <c r="C14219">
        <v>136000</v>
      </c>
      <c r="D14219">
        <v>85</v>
      </c>
    </row>
    <row r="14220" spans="1:4" x14ac:dyDescent="0.25">
      <c r="A14220" t="str">
        <f>T("   TG")</f>
        <v xml:space="preserve">   TG</v>
      </c>
      <c r="B14220" t="str">
        <f>T("   Togo")</f>
        <v xml:space="preserve">   Togo</v>
      </c>
      <c r="C14220">
        <v>3595203</v>
      </c>
      <c r="D14220">
        <v>11700</v>
      </c>
    </row>
    <row r="14221" spans="1:4" x14ac:dyDescent="0.25">
      <c r="A14221" t="str">
        <f>T("870821")</f>
        <v>870821</v>
      </c>
      <c r="B14221" t="str">
        <f>T("Ceintures de sécurité pour véhicules")</f>
        <v>Ceintures de sécurité pour véhicules</v>
      </c>
    </row>
    <row r="14222" spans="1:4" x14ac:dyDescent="0.25">
      <c r="A14222" t="str">
        <f>T("   ZZZ_Monde")</f>
        <v xml:space="preserve">   ZZZ_Monde</v>
      </c>
      <c r="B14222" t="str">
        <f>T("   ZZZ_Monde")</f>
        <v xml:space="preserve">   ZZZ_Monde</v>
      </c>
      <c r="C14222">
        <v>4942224</v>
      </c>
      <c r="D14222">
        <v>94</v>
      </c>
    </row>
    <row r="14223" spans="1:4" x14ac:dyDescent="0.25">
      <c r="A14223" t="str">
        <f>T("   FR")</f>
        <v xml:space="preserve">   FR</v>
      </c>
      <c r="B14223" t="str">
        <f>T("   France")</f>
        <v xml:space="preserve">   France</v>
      </c>
      <c r="C14223">
        <v>4942224</v>
      </c>
      <c r="D14223">
        <v>94</v>
      </c>
    </row>
    <row r="14224" spans="1:4" x14ac:dyDescent="0.25">
      <c r="A14224" t="str">
        <f>T("870829")</f>
        <v>870829</v>
      </c>
      <c r="B14224" t="str">
        <f>T("PARTIES ET ACCESSOIRES DE CARROSSERIE DE TRACTEURS, VÉHICULES POUR LE TRANSPORT DE &gt;= 10 PERSONNES, CHAUFFEUR INCLUS, VOITURES DE TOURISME, VÉHICULES POUR LE TRANSPORT DE MARCHANDISES ET VÉHICULES À USAGES SPÉCIAUX (SAUF PARE-CHOCS ET LEURS PARTIES ET CEI")</f>
        <v>PARTIES ET ACCESSOIRES DE CARROSSERIE DE TRACTEURS, VÉHICULES POUR LE TRANSPORT DE &gt;= 10 PERSONNES, CHAUFFEUR INCLUS, VOITURES DE TOURISME, VÉHICULES POUR LE TRANSPORT DE MARCHANDISES ET VÉHICULES À USAGES SPÉCIAUX (SAUF PARE-CHOCS ET LEURS PARTIES ET CEI</v>
      </c>
    </row>
    <row r="14225" spans="1:4" x14ac:dyDescent="0.25">
      <c r="A14225" t="str">
        <f>T("   ZZZ_Monde")</f>
        <v xml:space="preserve">   ZZZ_Monde</v>
      </c>
      <c r="B14225" t="str">
        <f>T("   ZZZ_Monde")</f>
        <v xml:space="preserve">   ZZZ_Monde</v>
      </c>
      <c r="C14225">
        <v>123938928</v>
      </c>
      <c r="D14225">
        <v>63324</v>
      </c>
    </row>
    <row r="14226" spans="1:4" x14ac:dyDescent="0.25">
      <c r="A14226" t="str">
        <f>T("   BE")</f>
        <v xml:space="preserve">   BE</v>
      </c>
      <c r="B14226" t="str">
        <f>T("   Belgique")</f>
        <v xml:space="preserve">   Belgique</v>
      </c>
      <c r="C14226">
        <v>250577</v>
      </c>
      <c r="D14226">
        <v>250</v>
      </c>
    </row>
    <row r="14227" spans="1:4" x14ac:dyDescent="0.25">
      <c r="A14227" t="str">
        <f>T("   CA")</f>
        <v xml:space="preserve">   CA</v>
      </c>
      <c r="B14227" t="str">
        <f>T("   Canada")</f>
        <v xml:space="preserve">   Canada</v>
      </c>
      <c r="C14227">
        <v>52478192</v>
      </c>
      <c r="D14227">
        <v>15700</v>
      </c>
    </row>
    <row r="14228" spans="1:4" x14ac:dyDescent="0.25">
      <c r="A14228" t="str">
        <f>T("   CN")</f>
        <v xml:space="preserve">   CN</v>
      </c>
      <c r="B14228" t="str">
        <f>T("   Chine")</f>
        <v xml:space="preserve">   Chine</v>
      </c>
      <c r="C14228">
        <v>21682438</v>
      </c>
      <c r="D14228">
        <v>27112</v>
      </c>
    </row>
    <row r="14229" spans="1:4" x14ac:dyDescent="0.25">
      <c r="A14229" t="str">
        <f>T("   DE")</f>
        <v xml:space="preserve">   DE</v>
      </c>
      <c r="B14229" t="str">
        <f>T("   Allemagne")</f>
        <v xml:space="preserve">   Allemagne</v>
      </c>
      <c r="C14229">
        <v>650000</v>
      </c>
      <c r="D14229">
        <v>3000</v>
      </c>
    </row>
    <row r="14230" spans="1:4" x14ac:dyDescent="0.25">
      <c r="A14230" t="str">
        <f>T("   FR")</f>
        <v xml:space="preserve">   FR</v>
      </c>
      <c r="B14230" t="str">
        <f>T("   France")</f>
        <v xml:space="preserve">   France</v>
      </c>
      <c r="C14230">
        <v>29928997</v>
      </c>
      <c r="D14230">
        <v>5295</v>
      </c>
    </row>
    <row r="14231" spans="1:4" x14ac:dyDescent="0.25">
      <c r="A14231" t="str">
        <f>T("   LB")</f>
        <v xml:space="preserve">   LB</v>
      </c>
      <c r="B14231" t="str">
        <f>T("   Liban")</f>
        <v xml:space="preserve">   Liban</v>
      </c>
      <c r="C14231">
        <v>4261116</v>
      </c>
      <c r="D14231">
        <v>1558</v>
      </c>
    </row>
    <row r="14232" spans="1:4" x14ac:dyDescent="0.25">
      <c r="A14232" t="str">
        <f>T("   SE")</f>
        <v xml:space="preserve">   SE</v>
      </c>
      <c r="B14232" t="str">
        <f>T("   Suède")</f>
        <v xml:space="preserve">   Suède</v>
      </c>
      <c r="C14232">
        <v>1402265</v>
      </c>
      <c r="D14232">
        <v>26</v>
      </c>
    </row>
    <row r="14233" spans="1:4" x14ac:dyDescent="0.25">
      <c r="A14233" t="str">
        <f>T("   TG")</f>
        <v xml:space="preserve">   TG</v>
      </c>
      <c r="B14233" t="str">
        <f>T("   Togo")</f>
        <v xml:space="preserve">   Togo</v>
      </c>
      <c r="C14233">
        <v>118078</v>
      </c>
      <c r="D14233">
        <v>750</v>
      </c>
    </row>
    <row r="14234" spans="1:4" x14ac:dyDescent="0.25">
      <c r="A14234" t="str">
        <f>T("   TW")</f>
        <v xml:space="preserve">   TW</v>
      </c>
      <c r="B14234" t="str">
        <f>T("   Taïwan, Province de Chine")</f>
        <v xml:space="preserve">   Taïwan, Province de Chine</v>
      </c>
      <c r="C14234">
        <v>13167265</v>
      </c>
      <c r="D14234">
        <v>9633</v>
      </c>
    </row>
    <row r="14235" spans="1:4" x14ac:dyDescent="0.25">
      <c r="A14235" t="str">
        <f>T("870831")</f>
        <v>870831</v>
      </c>
      <c r="B14235" t="str">
        <f>T("GARNITURES DE FREINS MONTÉES, POUR TRACTEURS, VÉHICULES POUR LE TRANSPORT DE &gt;= 10 PERSONNES, CHAUFFEUR INCLUS, VOITURES DE TOURISME, VÉHICULES POUR LE TRANSPORT DE MARCHANDISES ET VÉHICULES À USAGES SPÉCIAUX")</f>
        <v>GARNITURES DE FREINS MONTÉES, POUR TRACTEURS, VÉHICULES POUR LE TRANSPORT DE &gt;= 10 PERSONNES, CHAUFFEUR INCLUS, VOITURES DE TOURISME, VÉHICULES POUR LE TRANSPORT DE MARCHANDISES ET VÉHICULES À USAGES SPÉCIAUX</v>
      </c>
    </row>
    <row r="14236" spans="1:4" x14ac:dyDescent="0.25">
      <c r="A14236" t="str">
        <f>T("   ZZZ_Monde")</f>
        <v xml:space="preserve">   ZZZ_Monde</v>
      </c>
      <c r="B14236" t="str">
        <f>T("   ZZZ_Monde")</f>
        <v xml:space="preserve">   ZZZ_Monde</v>
      </c>
      <c r="C14236">
        <v>362978</v>
      </c>
      <c r="D14236">
        <v>12.9</v>
      </c>
    </row>
    <row r="14237" spans="1:4" x14ac:dyDescent="0.25">
      <c r="A14237" t="str">
        <f>T("   DE")</f>
        <v xml:space="preserve">   DE</v>
      </c>
      <c r="B14237" t="str">
        <f>T("   Allemagne")</f>
        <v xml:space="preserve">   Allemagne</v>
      </c>
      <c r="C14237">
        <v>362978</v>
      </c>
      <c r="D14237">
        <v>12.9</v>
      </c>
    </row>
    <row r="14238" spans="1:4" x14ac:dyDescent="0.25">
      <c r="A14238" t="str">
        <f>T("870839")</f>
        <v>870839</v>
      </c>
      <c r="B14238" t="str">
        <f>T("FREINS ET SERVO-FREINS, ET LEURS PARTIES, POUR DE TRACTEURS, VÉHICULES POUR LE TRANSPORT DE &gt;= 10 PERSONNES, CHAUFFEUR INCLUS, VOITURES DE TOURISME, VÉHICULES POUR LE TRANSPORT DE MARCHANDISES ET VÉHICULES À USAGES SPÉCIAUX, N.D.A.")</f>
        <v>FREINS ET SERVO-FREINS, ET LEURS PARTIES, POUR DE TRACTEURS, VÉHICULES POUR LE TRANSPORT DE &gt;= 10 PERSONNES, CHAUFFEUR INCLUS, VOITURES DE TOURISME, VÉHICULES POUR LE TRANSPORT DE MARCHANDISES ET VÉHICULES À USAGES SPÉCIAUX, N.D.A.</v>
      </c>
    </row>
    <row r="14239" spans="1:4" x14ac:dyDescent="0.25">
      <c r="A14239" t="str">
        <f>T("   ZZZ_Monde")</f>
        <v xml:space="preserve">   ZZZ_Monde</v>
      </c>
      <c r="B14239" t="str">
        <f>T("   ZZZ_Monde")</f>
        <v xml:space="preserve">   ZZZ_Monde</v>
      </c>
      <c r="C14239">
        <v>76986312</v>
      </c>
      <c r="D14239">
        <v>22877.09</v>
      </c>
    </row>
    <row r="14240" spans="1:4" x14ac:dyDescent="0.25">
      <c r="A14240" t="str">
        <f>T("   AE")</f>
        <v xml:space="preserve">   AE</v>
      </c>
      <c r="B14240" t="str">
        <f>T("   Emirats Arabes Unis")</f>
        <v xml:space="preserve">   Emirats Arabes Unis</v>
      </c>
      <c r="C14240">
        <v>3641276</v>
      </c>
      <c r="D14240">
        <v>16000</v>
      </c>
    </row>
    <row r="14241" spans="1:4" x14ac:dyDescent="0.25">
      <c r="A14241" t="str">
        <f>T("   BY")</f>
        <v xml:space="preserve">   BY</v>
      </c>
      <c r="B14241" t="str">
        <f>T("   Bélarus")</f>
        <v xml:space="preserve">   Bélarus</v>
      </c>
      <c r="C14241">
        <v>378653</v>
      </c>
      <c r="D14241">
        <v>25</v>
      </c>
    </row>
    <row r="14242" spans="1:4" x14ac:dyDescent="0.25">
      <c r="A14242" t="str">
        <f>T("   CN")</f>
        <v xml:space="preserve">   CN</v>
      </c>
      <c r="B14242" t="str">
        <f>T("   Chine")</f>
        <v xml:space="preserve">   Chine</v>
      </c>
      <c r="C14242">
        <v>1465155</v>
      </c>
      <c r="D14242">
        <v>5125</v>
      </c>
    </row>
    <row r="14243" spans="1:4" x14ac:dyDescent="0.25">
      <c r="A14243" t="str">
        <f>T("   DE")</f>
        <v xml:space="preserve">   DE</v>
      </c>
      <c r="B14243" t="str">
        <f>T("   Allemagne")</f>
        <v xml:space="preserve">   Allemagne</v>
      </c>
      <c r="C14243">
        <v>5503400</v>
      </c>
      <c r="D14243">
        <v>281</v>
      </c>
    </row>
    <row r="14244" spans="1:4" x14ac:dyDescent="0.25">
      <c r="A14244" t="str">
        <f>T("   FR")</f>
        <v xml:space="preserve">   FR</v>
      </c>
      <c r="B14244" t="str">
        <f>T("   France")</f>
        <v xml:space="preserve">   France</v>
      </c>
      <c r="C14244">
        <v>65101787</v>
      </c>
      <c r="D14244">
        <v>1416.09</v>
      </c>
    </row>
    <row r="14245" spans="1:4" x14ac:dyDescent="0.25">
      <c r="A14245" t="str">
        <f>T("   NL")</f>
        <v xml:space="preserve">   NL</v>
      </c>
      <c r="B14245" t="str">
        <f>T("   Pays-bas")</f>
        <v xml:space="preserve">   Pays-bas</v>
      </c>
      <c r="C14245">
        <v>896041</v>
      </c>
      <c r="D14245">
        <v>30</v>
      </c>
    </row>
    <row r="14246" spans="1:4" x14ac:dyDescent="0.25">
      <c r="A14246" t="str">
        <f>T("870840")</f>
        <v>870840</v>
      </c>
      <c r="B14246" t="str">
        <f>T("BOÎTES DE VITESSE ET LEURS PARTIES, POUR TRACTEURS, VÉHICULES POUR LE TRANSPORT DE &gt;= 10 PERSONNES, CHAUFFEUR INCLUS, VOITURES DE TOURISME, VÉHICULES POUR LE TRANSPORT DE MARCHANDISES ET VÉHICULES À USAGES SPÉCIAUX, N.D.A.")</f>
        <v>BOÎTES DE VITESSE ET LEURS PARTIES, POUR TRACTEURS, VÉHICULES POUR LE TRANSPORT DE &gt;= 10 PERSONNES, CHAUFFEUR INCLUS, VOITURES DE TOURISME, VÉHICULES POUR LE TRANSPORT DE MARCHANDISES ET VÉHICULES À USAGES SPÉCIAUX, N.D.A.</v>
      </c>
    </row>
    <row r="14247" spans="1:4" x14ac:dyDescent="0.25">
      <c r="A14247" t="str">
        <f>T("   ZZZ_Monde")</f>
        <v xml:space="preserve">   ZZZ_Monde</v>
      </c>
      <c r="B14247" t="str">
        <f>T("   ZZZ_Monde")</f>
        <v xml:space="preserve">   ZZZ_Monde</v>
      </c>
      <c r="C14247">
        <v>42378849</v>
      </c>
      <c r="D14247">
        <v>5390</v>
      </c>
    </row>
    <row r="14248" spans="1:4" x14ac:dyDescent="0.25">
      <c r="A14248" t="str">
        <f>T("   CN")</f>
        <v xml:space="preserve">   CN</v>
      </c>
      <c r="B14248" t="str">
        <f>T("   Chine")</f>
        <v xml:space="preserve">   Chine</v>
      </c>
      <c r="C14248">
        <v>21429577</v>
      </c>
      <c r="D14248">
        <v>3300</v>
      </c>
    </row>
    <row r="14249" spans="1:4" x14ac:dyDescent="0.25">
      <c r="A14249" t="str">
        <f>T("   DE")</f>
        <v xml:space="preserve">   DE</v>
      </c>
      <c r="B14249" t="str">
        <f>T("   Allemagne")</f>
        <v xml:space="preserve">   Allemagne</v>
      </c>
      <c r="C14249">
        <v>6736219</v>
      </c>
      <c r="D14249">
        <v>850</v>
      </c>
    </row>
    <row r="14250" spans="1:4" x14ac:dyDescent="0.25">
      <c r="A14250" t="str">
        <f>T("   NG")</f>
        <v xml:space="preserve">   NG</v>
      </c>
      <c r="B14250" t="str">
        <f>T("   Nigéria")</f>
        <v xml:space="preserve">   Nigéria</v>
      </c>
      <c r="C14250">
        <v>121000</v>
      </c>
      <c r="D14250">
        <v>150</v>
      </c>
    </row>
    <row r="14251" spans="1:4" x14ac:dyDescent="0.25">
      <c r="A14251" t="str">
        <f>T("   NL")</f>
        <v xml:space="preserve">   NL</v>
      </c>
      <c r="B14251" t="str">
        <f>T("   Pays-bas")</f>
        <v xml:space="preserve">   Pays-bas</v>
      </c>
      <c r="C14251">
        <v>100000</v>
      </c>
      <c r="D14251">
        <v>360</v>
      </c>
    </row>
    <row r="14252" spans="1:4" x14ac:dyDescent="0.25">
      <c r="A14252" t="str">
        <f>T("   US")</f>
        <v xml:space="preserve">   US</v>
      </c>
      <c r="B14252" t="str">
        <f>T("   Etats-Unis")</f>
        <v xml:space="preserve">   Etats-Unis</v>
      </c>
      <c r="C14252">
        <v>13992053</v>
      </c>
      <c r="D14252">
        <v>730</v>
      </c>
    </row>
    <row r="14253" spans="1:4" x14ac:dyDescent="0.25">
      <c r="A14253" t="str">
        <f>T("870850")</f>
        <v>870850</v>
      </c>
      <c r="B14253" t="str">
        <f>T("PONTS AVEC DIFFÉRENTIEL, MÊME POURVUS D'AUTRES ORGANES DE TRANSMISSION, ET ESSIEUX PORTEURS AINSI QUE LEURS PARTIES, POUR TRACTEURS, VÉHICULES POUR LE TRANSPORT DE &gt;= 10 PERSONNES, CHAUFFEUR INCLUS, VOITURES DE TOURISME, VÉHICULES POUR LE TRANSPORT DE MAR")</f>
        <v>PONTS AVEC DIFFÉRENTIEL, MÊME POURVUS D'AUTRES ORGANES DE TRANSMISSION, ET ESSIEUX PORTEURS AINSI QUE LEURS PARTIES, POUR TRACTEURS, VÉHICULES POUR LE TRANSPORT DE &gt;= 10 PERSONNES, CHAUFFEUR INCLUS, VOITURES DE TOURISME, VÉHICULES POUR LE TRANSPORT DE MAR</v>
      </c>
    </row>
    <row r="14254" spans="1:4" x14ac:dyDescent="0.25">
      <c r="A14254" t="str">
        <f>T("   ZZZ_Monde")</f>
        <v xml:space="preserve">   ZZZ_Monde</v>
      </c>
      <c r="B14254" t="str">
        <f>T("   ZZZ_Monde")</f>
        <v xml:space="preserve">   ZZZ_Monde</v>
      </c>
      <c r="C14254">
        <v>1009963</v>
      </c>
      <c r="D14254">
        <v>10000</v>
      </c>
    </row>
    <row r="14255" spans="1:4" x14ac:dyDescent="0.25">
      <c r="A14255" t="str">
        <f>T("   BE")</f>
        <v xml:space="preserve">   BE</v>
      </c>
      <c r="B14255" t="str">
        <f>T("   Belgique")</f>
        <v xml:space="preserve">   Belgique</v>
      </c>
      <c r="C14255">
        <v>300000</v>
      </c>
      <c r="D14255">
        <v>800</v>
      </c>
    </row>
    <row r="14256" spans="1:4" x14ac:dyDescent="0.25">
      <c r="A14256" t="str">
        <f>T("   FR")</f>
        <v xml:space="preserve">   FR</v>
      </c>
      <c r="B14256" t="str">
        <f>T("   France")</f>
        <v xml:space="preserve">   France</v>
      </c>
      <c r="C14256">
        <v>400000</v>
      </c>
      <c r="D14256">
        <v>200</v>
      </c>
    </row>
    <row r="14257" spans="1:4" x14ac:dyDescent="0.25">
      <c r="A14257" t="str">
        <f>T("   TG")</f>
        <v xml:space="preserve">   TG</v>
      </c>
      <c r="B14257" t="str">
        <f>T("   Togo")</f>
        <v xml:space="preserve">   Togo</v>
      </c>
      <c r="C14257">
        <v>309963</v>
      </c>
      <c r="D14257">
        <v>9000</v>
      </c>
    </row>
    <row r="14258" spans="1:4" x14ac:dyDescent="0.25">
      <c r="A14258" t="str">
        <f>T("870860")</f>
        <v>870860</v>
      </c>
      <c r="B14258" t="str">
        <f>T("ESSIEUX PORTEURS ET LEURS PARTIES, POUR TRACTEURS, VÉHICULES POUR LE TRANSPORT DE &gt;= 10 PERSONNES, CHAUFFEUR INCLUS, VOITURES DE TOURISME, VÉHICULES POUR LE TRANSPORT DE MARCHANDISES ET VÉHICULES À USAGES SPÉCIAUX N.D.A.")</f>
        <v>ESSIEUX PORTEURS ET LEURS PARTIES, POUR TRACTEURS, VÉHICULES POUR LE TRANSPORT DE &gt;= 10 PERSONNES, CHAUFFEUR INCLUS, VOITURES DE TOURISME, VÉHICULES POUR LE TRANSPORT DE MARCHANDISES ET VÉHICULES À USAGES SPÉCIAUX N.D.A.</v>
      </c>
    </row>
    <row r="14259" spans="1:4" x14ac:dyDescent="0.25">
      <c r="A14259" t="str">
        <f>T("   ZZZ_Monde")</f>
        <v xml:space="preserve">   ZZZ_Monde</v>
      </c>
      <c r="B14259" t="str">
        <f>T("   ZZZ_Monde")</f>
        <v xml:space="preserve">   ZZZ_Monde</v>
      </c>
      <c r="C14259">
        <v>4950000</v>
      </c>
      <c r="D14259">
        <v>4950</v>
      </c>
    </row>
    <row r="14260" spans="1:4" x14ac:dyDescent="0.25">
      <c r="A14260" t="str">
        <f>T("   BE")</f>
        <v xml:space="preserve">   BE</v>
      </c>
      <c r="B14260" t="str">
        <f>T("   Belgique")</f>
        <v xml:space="preserve">   Belgique</v>
      </c>
      <c r="C14260">
        <v>2950000</v>
      </c>
      <c r="D14260">
        <v>3200</v>
      </c>
    </row>
    <row r="14261" spans="1:4" x14ac:dyDescent="0.25">
      <c r="A14261" t="str">
        <f>T("   DE")</f>
        <v xml:space="preserve">   DE</v>
      </c>
      <c r="B14261" t="str">
        <f>T("   Allemagne")</f>
        <v xml:space="preserve">   Allemagne</v>
      </c>
      <c r="C14261">
        <v>2000000</v>
      </c>
      <c r="D14261">
        <v>1750</v>
      </c>
    </row>
    <row r="14262" spans="1:4" x14ac:dyDescent="0.25">
      <c r="A14262" t="str">
        <f>T("870870")</f>
        <v>870870</v>
      </c>
      <c r="B14262" t="str">
        <f>T("ROUES, LEURS PARTIES ET ACCESSOIRES POUR TRACTEURS, VÉHICULES POUR LE TRANSPORT DE &gt;= 10 PERSONNES, CHAUFFEUR INCLUS, VOITURES DE TOURISME, VÉHICULES POUR LE TRANSPORT DE MARCHANDISES ET VÉHICULES À USAGES SPÉCIAUX, N.D.A.")</f>
        <v>ROUES, LEURS PARTIES ET ACCESSOIRES POUR TRACTEURS, VÉHICULES POUR LE TRANSPORT DE &gt;= 10 PERSONNES, CHAUFFEUR INCLUS, VOITURES DE TOURISME, VÉHICULES POUR LE TRANSPORT DE MARCHANDISES ET VÉHICULES À USAGES SPÉCIAUX, N.D.A.</v>
      </c>
    </row>
    <row r="14263" spans="1:4" x14ac:dyDescent="0.25">
      <c r="A14263" t="str">
        <f>T("   ZZZ_Monde")</f>
        <v xml:space="preserve">   ZZZ_Monde</v>
      </c>
      <c r="B14263" t="str">
        <f>T("   ZZZ_Monde")</f>
        <v xml:space="preserve">   ZZZ_Monde</v>
      </c>
      <c r="C14263">
        <v>13407742</v>
      </c>
      <c r="D14263">
        <v>5573</v>
      </c>
    </row>
    <row r="14264" spans="1:4" x14ac:dyDescent="0.25">
      <c r="A14264" t="str">
        <f>T("   DE")</f>
        <v xml:space="preserve">   DE</v>
      </c>
      <c r="B14264" t="str">
        <f>T("   Allemagne")</f>
        <v xml:space="preserve">   Allemagne</v>
      </c>
      <c r="C14264">
        <v>450762</v>
      </c>
      <c r="D14264">
        <v>653</v>
      </c>
    </row>
    <row r="14265" spans="1:4" x14ac:dyDescent="0.25">
      <c r="A14265" t="str">
        <f>T("   FR")</f>
        <v xml:space="preserve">   FR</v>
      </c>
      <c r="B14265" t="str">
        <f>T("   France")</f>
        <v xml:space="preserve">   France</v>
      </c>
      <c r="C14265">
        <v>8946042</v>
      </c>
      <c r="D14265">
        <v>1995</v>
      </c>
    </row>
    <row r="14266" spans="1:4" x14ac:dyDescent="0.25">
      <c r="A14266" t="str">
        <f>T("   IT")</f>
        <v xml:space="preserve">   IT</v>
      </c>
      <c r="B14266" t="str">
        <f>T("   Italie")</f>
        <v xml:space="preserve">   Italie</v>
      </c>
      <c r="C14266">
        <v>133816</v>
      </c>
      <c r="D14266">
        <v>200</v>
      </c>
    </row>
    <row r="14267" spans="1:4" x14ac:dyDescent="0.25">
      <c r="A14267" t="str">
        <f>T("   TG")</f>
        <v xml:space="preserve">   TG</v>
      </c>
      <c r="B14267" t="str">
        <f>T("   Togo")</f>
        <v xml:space="preserve">   Togo</v>
      </c>
      <c r="C14267">
        <v>3877122</v>
      </c>
      <c r="D14267">
        <v>2725</v>
      </c>
    </row>
    <row r="14268" spans="1:4" x14ac:dyDescent="0.25">
      <c r="A14268" t="str">
        <f>T("870880")</f>
        <v>870880</v>
      </c>
      <c r="B14268" t="str">
        <f>T("SYSTÈMES DE SUSPENSION ET LEURS PARTIES, Y.C. LES AMORTISSEURS DE SUSPENSION, POUR TRACTEURS, VÉHICULES POUR LE TRANSPORT DE &gt;= 10 PERSONNES, CHAUFFEUR INCLUS, VOITURES DE TOURISME, VÉHICULES POUR LE TRANSPORT DE MARCHANDISES ET VÉHICULES À USAGES SPÉCIAU")</f>
        <v>SYSTÈMES DE SUSPENSION ET LEURS PARTIES, Y.C. LES AMORTISSEURS DE SUSPENSION, POUR TRACTEURS, VÉHICULES POUR LE TRANSPORT DE &gt;= 10 PERSONNES, CHAUFFEUR INCLUS, VOITURES DE TOURISME, VÉHICULES POUR LE TRANSPORT DE MARCHANDISES ET VÉHICULES À USAGES SPÉCIAU</v>
      </c>
    </row>
    <row r="14269" spans="1:4" x14ac:dyDescent="0.25">
      <c r="A14269" t="str">
        <f>T("   ZZZ_Monde")</f>
        <v xml:space="preserve">   ZZZ_Monde</v>
      </c>
      <c r="B14269" t="str">
        <f>T("   ZZZ_Monde")</f>
        <v xml:space="preserve">   ZZZ_Monde</v>
      </c>
      <c r="C14269">
        <v>27182287</v>
      </c>
      <c r="D14269">
        <v>4379.8</v>
      </c>
    </row>
    <row r="14270" spans="1:4" x14ac:dyDescent="0.25">
      <c r="A14270" t="str">
        <f>T("   CN")</f>
        <v xml:space="preserve">   CN</v>
      </c>
      <c r="B14270" t="str">
        <f>T("   Chine")</f>
        <v xml:space="preserve">   Chine</v>
      </c>
      <c r="C14270">
        <v>546140</v>
      </c>
      <c r="D14270">
        <v>3104</v>
      </c>
    </row>
    <row r="14271" spans="1:4" x14ac:dyDescent="0.25">
      <c r="A14271" t="str">
        <f>T("   DE")</f>
        <v xml:space="preserve">   DE</v>
      </c>
      <c r="B14271" t="str">
        <f>T("   Allemagne")</f>
        <v xml:space="preserve">   Allemagne</v>
      </c>
      <c r="C14271">
        <v>14115930</v>
      </c>
      <c r="D14271">
        <v>875.8</v>
      </c>
    </row>
    <row r="14272" spans="1:4" x14ac:dyDescent="0.25">
      <c r="A14272" t="str">
        <f>T("   FR")</f>
        <v xml:space="preserve">   FR</v>
      </c>
      <c r="B14272" t="str">
        <f>T("   France")</f>
        <v xml:space="preserve">   France</v>
      </c>
      <c r="C14272">
        <v>12520217</v>
      </c>
      <c r="D14272">
        <v>400</v>
      </c>
    </row>
    <row r="14273" spans="1:4" x14ac:dyDescent="0.25">
      <c r="A14273" t="str">
        <f>T("870891")</f>
        <v>870891</v>
      </c>
      <c r="B14273" t="str">
        <f>T("RADIATEURS ET LEURS PARTIES, POUR TRACTEURS, VÉHICULES POUR LE TRANSPORT DE &gt;= 10 PERSONNES, CHAUFFEUR INCLUS, VOITURES DE TOURISME, VÉHICULES POUR LE TRANSPORT DE MARCHANDISES ET VÉHICULES À USAGES SPÉCIAUX, N.D.A.")</f>
        <v>RADIATEURS ET LEURS PARTIES, POUR TRACTEURS, VÉHICULES POUR LE TRANSPORT DE &gt;= 10 PERSONNES, CHAUFFEUR INCLUS, VOITURES DE TOURISME, VÉHICULES POUR LE TRANSPORT DE MARCHANDISES ET VÉHICULES À USAGES SPÉCIAUX, N.D.A.</v>
      </c>
    </row>
    <row r="14274" spans="1:4" x14ac:dyDescent="0.25">
      <c r="A14274" t="str">
        <f>T("   ZZZ_Monde")</f>
        <v xml:space="preserve">   ZZZ_Monde</v>
      </c>
      <c r="B14274" t="str">
        <f>T("   ZZZ_Monde")</f>
        <v xml:space="preserve">   ZZZ_Monde</v>
      </c>
      <c r="C14274">
        <v>2244250</v>
      </c>
      <c r="D14274">
        <v>248</v>
      </c>
    </row>
    <row r="14275" spans="1:4" x14ac:dyDescent="0.25">
      <c r="A14275" t="str">
        <f>T("   FR")</f>
        <v xml:space="preserve">   FR</v>
      </c>
      <c r="B14275" t="str">
        <f>T("   France")</f>
        <v xml:space="preserve">   France</v>
      </c>
      <c r="C14275">
        <v>1809000</v>
      </c>
      <c r="D14275">
        <v>223</v>
      </c>
    </row>
    <row r="14276" spans="1:4" x14ac:dyDescent="0.25">
      <c r="A14276" t="str">
        <f>T("   KR")</f>
        <v xml:space="preserve">   KR</v>
      </c>
      <c r="B14276" t="str">
        <f>T("   Corée, République de")</f>
        <v xml:space="preserve">   Corée, République de</v>
      </c>
      <c r="C14276">
        <v>435250</v>
      </c>
      <c r="D14276">
        <v>25</v>
      </c>
    </row>
    <row r="14277" spans="1:4" x14ac:dyDescent="0.25">
      <c r="A14277" t="str">
        <f>T("870893")</f>
        <v>870893</v>
      </c>
      <c r="B14277" t="str">
        <f>T("EMBRAYAGES ET LEURS PARTIES, POUR TRACTEURS, VÉHICULES POUR LE TRANSPORT DE &gt;= 10 PERSONNES, CHAUFFEUR INCLUS, VOITURES DE TOURISME, VÉHICULES POUR LE TRANSPORT DE MARCHANDISES ET VÉHICULES À USAGES SPÉCIAUX, N.D.A.")</f>
        <v>EMBRAYAGES ET LEURS PARTIES, POUR TRACTEURS, VÉHICULES POUR LE TRANSPORT DE &gt;= 10 PERSONNES, CHAUFFEUR INCLUS, VOITURES DE TOURISME, VÉHICULES POUR LE TRANSPORT DE MARCHANDISES ET VÉHICULES À USAGES SPÉCIAUX, N.D.A.</v>
      </c>
    </row>
    <row r="14278" spans="1:4" x14ac:dyDescent="0.25">
      <c r="A14278" t="str">
        <f>T("   ZZZ_Monde")</f>
        <v xml:space="preserve">   ZZZ_Monde</v>
      </c>
      <c r="B14278" t="str">
        <f>T("   ZZZ_Monde")</f>
        <v xml:space="preserve">   ZZZ_Monde</v>
      </c>
      <c r="C14278">
        <v>31944751</v>
      </c>
      <c r="D14278">
        <v>4824</v>
      </c>
    </row>
    <row r="14279" spans="1:4" x14ac:dyDescent="0.25">
      <c r="A14279" t="str">
        <f>T("   CN")</f>
        <v xml:space="preserve">   CN</v>
      </c>
      <c r="B14279" t="str">
        <f>T("   Chine")</f>
        <v xml:space="preserve">   Chine</v>
      </c>
      <c r="C14279">
        <v>145070</v>
      </c>
      <c r="D14279">
        <v>3520</v>
      </c>
    </row>
    <row r="14280" spans="1:4" x14ac:dyDescent="0.25">
      <c r="A14280" t="str">
        <f>T("   FR")</f>
        <v xml:space="preserve">   FR</v>
      </c>
      <c r="B14280" t="str">
        <f>T("   France")</f>
        <v xml:space="preserve">   France</v>
      </c>
      <c r="C14280">
        <v>19441685</v>
      </c>
      <c r="D14280">
        <v>992</v>
      </c>
    </row>
    <row r="14281" spans="1:4" x14ac:dyDescent="0.25">
      <c r="A14281" t="str">
        <f>T("   ZA")</f>
        <v xml:space="preserve">   ZA</v>
      </c>
      <c r="B14281" t="str">
        <f>T("   Afrique du Sud")</f>
        <v xml:space="preserve">   Afrique du Sud</v>
      </c>
      <c r="C14281">
        <v>12357996</v>
      </c>
      <c r="D14281">
        <v>312</v>
      </c>
    </row>
    <row r="14282" spans="1:4" x14ac:dyDescent="0.25">
      <c r="A14282" t="str">
        <f>T("870894")</f>
        <v>870894</v>
      </c>
      <c r="B14282" t="str">
        <f>T("VOLANTS, COLONNES ET BOÎTIERS DE DIRECTION AINSI QUE LEURS PARTIES, POUR TRACTEURS, VÉHICULES POUR LE TRANSPORT DE &gt;= 10 PERSONNES, CHAUFFEUR INCLUS, VOITURES DE TOURISME, VÉHICULES POUR LE TRANSPORT DE MARCHANDISES ET VÉHICULES À USAGES SPÉCIAUX, N.D.A.")</f>
        <v>VOLANTS, COLONNES ET BOÎTIERS DE DIRECTION AINSI QUE LEURS PARTIES, POUR TRACTEURS, VÉHICULES POUR LE TRANSPORT DE &gt;= 10 PERSONNES, CHAUFFEUR INCLUS, VOITURES DE TOURISME, VÉHICULES POUR LE TRANSPORT DE MARCHANDISES ET VÉHICULES À USAGES SPÉCIAUX, N.D.A.</v>
      </c>
    </row>
    <row r="14283" spans="1:4" x14ac:dyDescent="0.25">
      <c r="A14283" t="str">
        <f>T("   ZZZ_Monde")</f>
        <v xml:space="preserve">   ZZZ_Monde</v>
      </c>
      <c r="B14283" t="str">
        <f>T("   ZZZ_Monde")</f>
        <v xml:space="preserve">   ZZZ_Monde</v>
      </c>
      <c r="C14283">
        <v>1157061</v>
      </c>
      <c r="D14283">
        <v>251</v>
      </c>
    </row>
    <row r="14284" spans="1:4" x14ac:dyDescent="0.25">
      <c r="A14284" t="str">
        <f>T("   FR")</f>
        <v xml:space="preserve">   FR</v>
      </c>
      <c r="B14284" t="str">
        <f>T("   France")</f>
        <v xml:space="preserve">   France</v>
      </c>
      <c r="C14284">
        <v>1068500</v>
      </c>
      <c r="D14284">
        <v>51</v>
      </c>
    </row>
    <row r="14285" spans="1:4" x14ac:dyDescent="0.25">
      <c r="A14285" t="str">
        <f>T("   TG")</f>
        <v xml:space="preserve">   TG</v>
      </c>
      <c r="B14285" t="str">
        <f>T("   Togo")</f>
        <v xml:space="preserve">   Togo</v>
      </c>
      <c r="C14285">
        <v>88561</v>
      </c>
      <c r="D14285">
        <v>200</v>
      </c>
    </row>
    <row r="14286" spans="1:4" x14ac:dyDescent="0.25">
      <c r="A14286" t="str">
        <f>T("870899")</f>
        <v>870899</v>
      </c>
      <c r="B14286" t="str">
        <f>T("PARTIES ET ACCESSOIRES, POUR TRACTEURS, VÉHICULES POUR LE TRANSPORT DE &gt;= 10 PERSONNES, CHAUFFEUR INCLUS, VOITURES DE TOURISME, VÉHICULES POUR LE TRANSPORT DE MARCHANDISES ET VÉHICULES À USAGES SPÉCIAUX, N.D.A.")</f>
        <v>PARTIES ET ACCESSOIRES, POUR TRACTEURS, VÉHICULES POUR LE TRANSPORT DE &gt;= 10 PERSONNES, CHAUFFEUR INCLUS, VOITURES DE TOURISME, VÉHICULES POUR LE TRANSPORT DE MARCHANDISES ET VÉHICULES À USAGES SPÉCIAUX, N.D.A.</v>
      </c>
    </row>
    <row r="14287" spans="1:4" x14ac:dyDescent="0.25">
      <c r="A14287" t="str">
        <f>T("   ZZZ_Monde")</f>
        <v xml:space="preserve">   ZZZ_Monde</v>
      </c>
      <c r="B14287" t="str">
        <f>T("   ZZZ_Monde")</f>
        <v xml:space="preserve">   ZZZ_Monde</v>
      </c>
      <c r="C14287">
        <v>1454847208</v>
      </c>
      <c r="D14287">
        <v>622625.98</v>
      </c>
    </row>
    <row r="14288" spans="1:4" x14ac:dyDescent="0.25">
      <c r="A14288" t="str">
        <f>T("   AE")</f>
        <v xml:space="preserve">   AE</v>
      </c>
      <c r="B14288" t="str">
        <f>T("   Emirats Arabes Unis")</f>
        <v xml:space="preserve">   Emirats Arabes Unis</v>
      </c>
      <c r="C14288">
        <v>8654633</v>
      </c>
      <c r="D14288">
        <v>1449</v>
      </c>
    </row>
    <row r="14289" spans="1:4" x14ac:dyDescent="0.25">
      <c r="A14289" t="str">
        <f>T("   AM")</f>
        <v xml:space="preserve">   AM</v>
      </c>
      <c r="B14289" t="str">
        <f>T("   Arménie")</f>
        <v xml:space="preserve">   Arménie</v>
      </c>
      <c r="C14289">
        <v>968853</v>
      </c>
      <c r="D14289">
        <v>30</v>
      </c>
    </row>
    <row r="14290" spans="1:4" x14ac:dyDescent="0.25">
      <c r="A14290" t="str">
        <f>T("   AT")</f>
        <v xml:space="preserve">   AT</v>
      </c>
      <c r="B14290" t="str">
        <f>T("   Autriche")</f>
        <v xml:space="preserve">   Autriche</v>
      </c>
      <c r="C14290">
        <v>7685700</v>
      </c>
      <c r="D14290">
        <v>736</v>
      </c>
    </row>
    <row r="14291" spans="1:4" x14ac:dyDescent="0.25">
      <c r="A14291" t="str">
        <f>T("   BA")</f>
        <v xml:space="preserve">   BA</v>
      </c>
      <c r="B14291" t="str">
        <f>T("   Bosnie Herzégovine")</f>
        <v xml:space="preserve">   Bosnie Herzégovine</v>
      </c>
      <c r="C14291">
        <v>1005494</v>
      </c>
      <c r="D14291">
        <v>18</v>
      </c>
    </row>
    <row r="14292" spans="1:4" x14ac:dyDescent="0.25">
      <c r="A14292" t="str">
        <f>T("   BE")</f>
        <v xml:space="preserve">   BE</v>
      </c>
      <c r="B14292" t="str">
        <f>T("   Belgique")</f>
        <v xml:space="preserve">   Belgique</v>
      </c>
      <c r="C14292">
        <v>67911873</v>
      </c>
      <c r="D14292">
        <v>15464</v>
      </c>
    </row>
    <row r="14293" spans="1:4" x14ac:dyDescent="0.25">
      <c r="A14293" t="str">
        <f>T("   CA")</f>
        <v xml:space="preserve">   CA</v>
      </c>
      <c r="B14293" t="str">
        <f>T("   Canada")</f>
        <v xml:space="preserve">   Canada</v>
      </c>
      <c r="C14293">
        <v>33286016</v>
      </c>
      <c r="D14293">
        <v>69410</v>
      </c>
    </row>
    <row r="14294" spans="1:4" x14ac:dyDescent="0.25">
      <c r="A14294" t="str">
        <f>T("   CH")</f>
        <v xml:space="preserve">   CH</v>
      </c>
      <c r="B14294" t="str">
        <f>T("   Suisse")</f>
        <v xml:space="preserve">   Suisse</v>
      </c>
      <c r="C14294">
        <v>2175820</v>
      </c>
      <c r="D14294">
        <v>304</v>
      </c>
    </row>
    <row r="14295" spans="1:4" x14ac:dyDescent="0.25">
      <c r="A14295" t="str">
        <f>T("   CL")</f>
        <v xml:space="preserve">   CL</v>
      </c>
      <c r="B14295" t="str">
        <f>T("   Chili")</f>
        <v xml:space="preserve">   Chili</v>
      </c>
      <c r="C14295">
        <v>150000</v>
      </c>
      <c r="D14295">
        <v>10</v>
      </c>
    </row>
    <row r="14296" spans="1:4" x14ac:dyDescent="0.25">
      <c r="A14296" t="str">
        <f>T("   CN")</f>
        <v xml:space="preserve">   CN</v>
      </c>
      <c r="B14296" t="str">
        <f>T("   Chine")</f>
        <v xml:space="preserve">   Chine</v>
      </c>
      <c r="C14296">
        <v>191045809</v>
      </c>
      <c r="D14296">
        <v>94218</v>
      </c>
    </row>
    <row r="14297" spans="1:4" x14ac:dyDescent="0.25">
      <c r="A14297" t="str">
        <f>T("   CZ")</f>
        <v xml:space="preserve">   CZ</v>
      </c>
      <c r="B14297" t="str">
        <f>T("   Tchèque, République")</f>
        <v xml:space="preserve">   Tchèque, République</v>
      </c>
      <c r="C14297">
        <v>172518</v>
      </c>
      <c r="D14297">
        <v>12</v>
      </c>
    </row>
    <row r="14298" spans="1:4" x14ac:dyDescent="0.25">
      <c r="A14298" t="str">
        <f>T("   DE")</f>
        <v xml:space="preserve">   DE</v>
      </c>
      <c r="B14298" t="str">
        <f>T("   Allemagne")</f>
        <v xml:space="preserve">   Allemagne</v>
      </c>
      <c r="C14298">
        <v>31701796</v>
      </c>
      <c r="D14298">
        <v>12753.82</v>
      </c>
    </row>
    <row r="14299" spans="1:4" x14ac:dyDescent="0.25">
      <c r="A14299" t="str">
        <f>T("   ES")</f>
        <v xml:space="preserve">   ES</v>
      </c>
      <c r="B14299" t="str">
        <f>T("   Espagne")</f>
        <v xml:space="preserve">   Espagne</v>
      </c>
      <c r="C14299">
        <v>26174130</v>
      </c>
      <c r="D14299">
        <v>13459</v>
      </c>
    </row>
    <row r="14300" spans="1:4" x14ac:dyDescent="0.25">
      <c r="A14300" t="str">
        <f>T("   FR")</f>
        <v xml:space="preserve">   FR</v>
      </c>
      <c r="B14300" t="str">
        <f>T("   France")</f>
        <v xml:space="preserve">   France</v>
      </c>
      <c r="C14300">
        <v>568836225</v>
      </c>
      <c r="D14300">
        <v>120724.41</v>
      </c>
    </row>
    <row r="14301" spans="1:4" x14ac:dyDescent="0.25">
      <c r="A14301" t="str">
        <f>T("   GB")</f>
        <v xml:space="preserve">   GB</v>
      </c>
      <c r="B14301" t="str">
        <f>T("   Royaume-Uni")</f>
        <v xml:space="preserve">   Royaume-Uni</v>
      </c>
      <c r="C14301">
        <v>500000</v>
      </c>
      <c r="D14301">
        <v>500</v>
      </c>
    </row>
    <row r="14302" spans="1:4" x14ac:dyDescent="0.25">
      <c r="A14302" t="str">
        <f>T("   IN")</f>
        <v xml:space="preserve">   IN</v>
      </c>
      <c r="B14302" t="str">
        <f>T("   Inde")</f>
        <v xml:space="preserve">   Inde</v>
      </c>
      <c r="C14302">
        <v>83370</v>
      </c>
      <c r="D14302">
        <v>1</v>
      </c>
    </row>
    <row r="14303" spans="1:4" x14ac:dyDescent="0.25">
      <c r="A14303" t="str">
        <f>T("   IT")</f>
        <v xml:space="preserve">   IT</v>
      </c>
      <c r="B14303" t="str">
        <f>T("   Italie")</f>
        <v xml:space="preserve">   Italie</v>
      </c>
      <c r="C14303">
        <v>881792</v>
      </c>
      <c r="D14303">
        <v>612.5</v>
      </c>
    </row>
    <row r="14304" spans="1:4" x14ac:dyDescent="0.25">
      <c r="A14304" t="str">
        <f>T("   JP")</f>
        <v xml:space="preserve">   JP</v>
      </c>
      <c r="B14304" t="str">
        <f>T("   Japon")</f>
        <v xml:space="preserve">   Japon</v>
      </c>
      <c r="C14304">
        <v>42586599</v>
      </c>
      <c r="D14304">
        <v>2302.25</v>
      </c>
    </row>
    <row r="14305" spans="1:4" x14ac:dyDescent="0.25">
      <c r="A14305" t="str">
        <f>T("   KR")</f>
        <v xml:space="preserve">   KR</v>
      </c>
      <c r="B14305" t="str">
        <f>T("   Corée, République de")</f>
        <v xml:space="preserve">   Corée, République de</v>
      </c>
      <c r="C14305">
        <v>20526300</v>
      </c>
      <c r="D14305">
        <v>1802</v>
      </c>
    </row>
    <row r="14306" spans="1:4" x14ac:dyDescent="0.25">
      <c r="A14306" t="str">
        <f>T("   LR")</f>
        <v xml:space="preserve">   LR</v>
      </c>
      <c r="B14306" t="str">
        <f>T("   Libéria")</f>
        <v xml:space="preserve">   Libéria</v>
      </c>
      <c r="C14306">
        <v>236802</v>
      </c>
      <c r="D14306">
        <v>4</v>
      </c>
    </row>
    <row r="14307" spans="1:4" x14ac:dyDescent="0.25">
      <c r="A14307" t="str">
        <f>T("   NG")</f>
        <v xml:space="preserve">   NG</v>
      </c>
      <c r="B14307" t="str">
        <f>T("   Nigéria")</f>
        <v xml:space="preserve">   Nigéria</v>
      </c>
      <c r="C14307">
        <v>343848914</v>
      </c>
      <c r="D14307">
        <v>261028</v>
      </c>
    </row>
    <row r="14308" spans="1:4" x14ac:dyDescent="0.25">
      <c r="A14308" t="str">
        <f>T("   NL")</f>
        <v xml:space="preserve">   NL</v>
      </c>
      <c r="B14308" t="str">
        <f>T("   Pays-bas")</f>
        <v xml:space="preserve">   Pays-bas</v>
      </c>
      <c r="C14308">
        <v>32819258</v>
      </c>
      <c r="D14308">
        <v>1857.5</v>
      </c>
    </row>
    <row r="14309" spans="1:4" x14ac:dyDescent="0.25">
      <c r="A14309" t="str">
        <f>T("   RO")</f>
        <v xml:space="preserve">   RO</v>
      </c>
      <c r="B14309" t="str">
        <f>T("   Roumanie")</f>
        <v xml:space="preserve">   Roumanie</v>
      </c>
      <c r="C14309">
        <v>360951</v>
      </c>
      <c r="D14309">
        <v>4</v>
      </c>
    </row>
    <row r="14310" spans="1:4" x14ac:dyDescent="0.25">
      <c r="A14310" t="str">
        <f>T("   SA")</f>
        <v xml:space="preserve">   SA</v>
      </c>
      <c r="B14310" t="str">
        <f>T("   Arabie Saoudite")</f>
        <v xml:space="preserve">   Arabie Saoudite</v>
      </c>
      <c r="C14310">
        <v>10717240</v>
      </c>
      <c r="D14310">
        <v>475</v>
      </c>
    </row>
    <row r="14311" spans="1:4" x14ac:dyDescent="0.25">
      <c r="A14311" t="str">
        <f>T("   TG")</f>
        <v xml:space="preserve">   TG</v>
      </c>
      <c r="B14311" t="str">
        <f>T("   Togo")</f>
        <v xml:space="preserve">   Togo</v>
      </c>
      <c r="C14311">
        <v>4161298</v>
      </c>
      <c r="D14311">
        <v>14652</v>
      </c>
    </row>
    <row r="14312" spans="1:4" x14ac:dyDescent="0.25">
      <c r="A14312" t="str">
        <f>T("   TH")</f>
        <v xml:space="preserve">   TH</v>
      </c>
      <c r="B14312" t="str">
        <f>T("   Thaïlande")</f>
        <v xml:space="preserve">   Thaïlande</v>
      </c>
      <c r="C14312">
        <v>1410970</v>
      </c>
      <c r="D14312">
        <v>221</v>
      </c>
    </row>
    <row r="14313" spans="1:4" x14ac:dyDescent="0.25">
      <c r="A14313" t="str">
        <f>T("   TW")</f>
        <v xml:space="preserve">   TW</v>
      </c>
      <c r="B14313" t="str">
        <f>T("   Taïwan, Province de Chine")</f>
        <v xml:space="preserve">   Taïwan, Province de Chine</v>
      </c>
      <c r="C14313">
        <v>16500000</v>
      </c>
      <c r="D14313">
        <v>6737</v>
      </c>
    </row>
    <row r="14314" spans="1:4" x14ac:dyDescent="0.25">
      <c r="A14314" t="str">
        <f>T("   US")</f>
        <v xml:space="preserve">   US</v>
      </c>
      <c r="B14314" t="str">
        <f>T("   Etats-Unis")</f>
        <v xml:space="preserve">   Etats-Unis</v>
      </c>
      <c r="C14314">
        <v>30561587</v>
      </c>
      <c r="D14314">
        <v>3485.5</v>
      </c>
    </row>
    <row r="14315" spans="1:4" x14ac:dyDescent="0.25">
      <c r="A14315" t="str">
        <f>T("   ZA")</f>
        <v xml:space="preserve">   ZA</v>
      </c>
      <c r="B14315" t="str">
        <f>T("   Afrique du Sud")</f>
        <v xml:space="preserve">   Afrique du Sud</v>
      </c>
      <c r="C14315">
        <v>9883260</v>
      </c>
      <c r="D14315">
        <v>356</v>
      </c>
    </row>
    <row r="14316" spans="1:4" x14ac:dyDescent="0.25">
      <c r="A14316" t="str">
        <f>T("870919")</f>
        <v>870919</v>
      </c>
      <c r="B14316" t="str">
        <f>T("CHARIOTS AUTOMOBILES NON-ÉLECTRIQUES, NON-MUNIS D'UN DISPOSITIF DE LEVAGE, DES TYPES UTILISÉS POUR LE TRANSPORT DES MARCHANDISES SUR DE COURTES DISTANCES, Y.C. LES CHARIOTS-TRACTEURS DES TYPES UTILISÉS DANS LES GARES")</f>
        <v>CHARIOTS AUTOMOBILES NON-ÉLECTRIQUES, NON-MUNIS D'UN DISPOSITIF DE LEVAGE, DES TYPES UTILISÉS POUR LE TRANSPORT DES MARCHANDISES SUR DE COURTES DISTANCES, Y.C. LES CHARIOTS-TRACTEURS DES TYPES UTILISÉS DANS LES GARES</v>
      </c>
    </row>
    <row r="14317" spans="1:4" x14ac:dyDescent="0.25">
      <c r="A14317" t="str">
        <f>T("   ZZZ_Monde")</f>
        <v xml:space="preserve">   ZZZ_Monde</v>
      </c>
      <c r="B14317" t="str">
        <f>T("   ZZZ_Monde")</f>
        <v xml:space="preserve">   ZZZ_Monde</v>
      </c>
      <c r="C14317">
        <v>25247073</v>
      </c>
      <c r="D14317">
        <v>10273</v>
      </c>
    </row>
    <row r="14318" spans="1:4" x14ac:dyDescent="0.25">
      <c r="A14318" t="str">
        <f>T("   BE")</f>
        <v xml:space="preserve">   BE</v>
      </c>
      <c r="B14318" t="str">
        <f>T("   Belgique")</f>
        <v xml:space="preserve">   Belgique</v>
      </c>
      <c r="C14318">
        <v>16080293</v>
      </c>
      <c r="D14318">
        <v>2330</v>
      </c>
    </row>
    <row r="14319" spans="1:4" x14ac:dyDescent="0.25">
      <c r="A14319" t="str">
        <f>T("   CA")</f>
        <v xml:space="preserve">   CA</v>
      </c>
      <c r="B14319" t="str">
        <f>T("   Canada")</f>
        <v xml:space="preserve">   Canada</v>
      </c>
      <c r="C14319">
        <v>150000</v>
      </c>
      <c r="D14319">
        <v>500</v>
      </c>
    </row>
    <row r="14320" spans="1:4" x14ac:dyDescent="0.25">
      <c r="A14320" t="str">
        <f>T("   FR")</f>
        <v xml:space="preserve">   FR</v>
      </c>
      <c r="B14320" t="str">
        <f>T("   France")</f>
        <v xml:space="preserve">   France</v>
      </c>
      <c r="C14320">
        <v>5516439</v>
      </c>
      <c r="D14320">
        <v>203</v>
      </c>
    </row>
    <row r="14321" spans="1:4" x14ac:dyDescent="0.25">
      <c r="A14321" t="str">
        <f>T("   TG")</f>
        <v xml:space="preserve">   TG</v>
      </c>
      <c r="B14321" t="str">
        <f>T("   Togo")</f>
        <v xml:space="preserve">   Togo</v>
      </c>
      <c r="C14321">
        <v>1500000</v>
      </c>
      <c r="D14321">
        <v>4240</v>
      </c>
    </row>
    <row r="14322" spans="1:4" x14ac:dyDescent="0.25">
      <c r="A14322" t="str">
        <f>T("   US")</f>
        <v xml:space="preserve">   US</v>
      </c>
      <c r="B14322" t="str">
        <f>T("   Etats-Unis")</f>
        <v xml:space="preserve">   Etats-Unis</v>
      </c>
      <c r="C14322">
        <v>2000341</v>
      </c>
      <c r="D14322">
        <v>3000</v>
      </c>
    </row>
    <row r="14323" spans="1:4" x14ac:dyDescent="0.25">
      <c r="A14323" t="str">
        <f>T("870990")</f>
        <v>870990</v>
      </c>
      <c r="B14323" t="str">
        <f>T("Parties de chariots automobiles non munis d'un dispositif de levage, des types utilisés pour le transport des marchandises sur de courtes distances, y.c. les chariots-tracteurs des types utilisés dans les gares, n.d.a.")</f>
        <v>Parties de chariots automobiles non munis d'un dispositif de levage, des types utilisés pour le transport des marchandises sur de courtes distances, y.c. les chariots-tracteurs des types utilisés dans les gares, n.d.a.</v>
      </c>
    </row>
    <row r="14324" spans="1:4" x14ac:dyDescent="0.25">
      <c r="A14324" t="str">
        <f>T("   ZZZ_Monde")</f>
        <v xml:space="preserve">   ZZZ_Monde</v>
      </c>
      <c r="B14324" t="str">
        <f>T("   ZZZ_Monde")</f>
        <v xml:space="preserve">   ZZZ_Monde</v>
      </c>
      <c r="C14324">
        <v>208347</v>
      </c>
      <c r="D14324">
        <v>20</v>
      </c>
    </row>
    <row r="14325" spans="1:4" x14ac:dyDescent="0.25">
      <c r="A14325" t="str">
        <f>T("   ZA")</f>
        <v xml:space="preserve">   ZA</v>
      </c>
      <c r="B14325" t="str">
        <f>T("   Afrique du Sud")</f>
        <v xml:space="preserve">   Afrique du Sud</v>
      </c>
      <c r="C14325">
        <v>208347</v>
      </c>
      <c r="D14325">
        <v>20</v>
      </c>
    </row>
    <row r="14326" spans="1:4" x14ac:dyDescent="0.25">
      <c r="A14326" t="str">
        <f>T("871110")</f>
        <v>871110</v>
      </c>
      <c r="B14326" t="str">
        <f>T("Cyclomoteurs, à moteur à piston alternatif, cylindrée &lt;= 50 cm³, y.c. cycles à moteur auxiliaire")</f>
        <v>Cyclomoteurs, à moteur à piston alternatif, cylindrée &lt;= 50 cm³, y.c. cycles à moteur auxiliaire</v>
      </c>
    </row>
    <row r="14327" spans="1:4" x14ac:dyDescent="0.25">
      <c r="A14327" t="str">
        <f>T("   ZZZ_Monde")</f>
        <v xml:space="preserve">   ZZZ_Monde</v>
      </c>
      <c r="B14327" t="str">
        <f>T("   ZZZ_Monde")</f>
        <v xml:space="preserve">   ZZZ_Monde</v>
      </c>
      <c r="C14327">
        <v>55172161</v>
      </c>
      <c r="D14327">
        <v>69445</v>
      </c>
    </row>
    <row r="14328" spans="1:4" x14ac:dyDescent="0.25">
      <c r="A14328" t="str">
        <f>T("   CM")</f>
        <v xml:space="preserve">   CM</v>
      </c>
      <c r="B14328" t="str">
        <f>T("   Cameroun")</f>
        <v xml:space="preserve">   Cameroun</v>
      </c>
      <c r="C14328">
        <v>192999</v>
      </c>
      <c r="D14328">
        <v>250</v>
      </c>
    </row>
    <row r="14329" spans="1:4" x14ac:dyDescent="0.25">
      <c r="A14329" t="str">
        <f>T("   CN")</f>
        <v xml:space="preserve">   CN</v>
      </c>
      <c r="B14329" t="str">
        <f>T("   Chine")</f>
        <v xml:space="preserve">   Chine</v>
      </c>
      <c r="C14329">
        <v>41100445</v>
      </c>
      <c r="D14329">
        <v>25115</v>
      </c>
    </row>
    <row r="14330" spans="1:4" x14ac:dyDescent="0.25">
      <c r="A14330" t="str">
        <f>T("   FR")</f>
        <v xml:space="preserve">   FR</v>
      </c>
      <c r="B14330" t="str">
        <f>T("   France")</f>
        <v xml:space="preserve">   France</v>
      </c>
      <c r="C14330">
        <v>1824907</v>
      </c>
      <c r="D14330">
        <v>1420</v>
      </c>
    </row>
    <row r="14331" spans="1:4" x14ac:dyDescent="0.25">
      <c r="A14331" t="str">
        <f>T("   HK")</f>
        <v xml:space="preserve">   HK</v>
      </c>
      <c r="B14331" t="str">
        <f>T("   Hong-Kong")</f>
        <v xml:space="preserve">   Hong-Kong</v>
      </c>
      <c r="C14331">
        <v>31971</v>
      </c>
      <c r="D14331">
        <v>1000</v>
      </c>
    </row>
    <row r="14332" spans="1:4" x14ac:dyDescent="0.25">
      <c r="A14332" t="str">
        <f>T("   IT")</f>
        <v xml:space="preserve">   IT</v>
      </c>
      <c r="B14332" t="str">
        <f>T("   Italie")</f>
        <v xml:space="preserve">   Italie</v>
      </c>
      <c r="C14332">
        <v>3687427</v>
      </c>
      <c r="D14332">
        <v>6645</v>
      </c>
    </row>
    <row r="14333" spans="1:4" x14ac:dyDescent="0.25">
      <c r="A14333" t="str">
        <f>T("   JP")</f>
        <v xml:space="preserve">   JP</v>
      </c>
      <c r="B14333" t="str">
        <f>T("   Japon")</f>
        <v xml:space="preserve">   Japon</v>
      </c>
      <c r="C14333">
        <v>215000</v>
      </c>
      <c r="D14333">
        <v>175</v>
      </c>
    </row>
    <row r="14334" spans="1:4" x14ac:dyDescent="0.25">
      <c r="A14334" t="str">
        <f>T("   SN")</f>
        <v xml:space="preserve">   SN</v>
      </c>
      <c r="B14334" t="str">
        <f>T("   Sénégal")</f>
        <v xml:space="preserve">   Sénégal</v>
      </c>
      <c r="C14334">
        <v>200000</v>
      </c>
      <c r="D14334">
        <v>150</v>
      </c>
    </row>
    <row r="14335" spans="1:4" x14ac:dyDescent="0.25">
      <c r="A14335" t="str">
        <f>T("   TG")</f>
        <v xml:space="preserve">   TG</v>
      </c>
      <c r="B14335" t="str">
        <f>T("   Togo")</f>
        <v xml:space="preserve">   Togo</v>
      </c>
      <c r="C14335">
        <v>6669412</v>
      </c>
      <c r="D14335">
        <v>25410</v>
      </c>
    </row>
    <row r="14336" spans="1:4" x14ac:dyDescent="0.25">
      <c r="A14336" t="str">
        <f>T("   US")</f>
        <v xml:space="preserve">   US</v>
      </c>
      <c r="B14336" t="str">
        <f>T("   Etats-Unis")</f>
        <v xml:space="preserve">   Etats-Unis</v>
      </c>
      <c r="C14336">
        <v>200000</v>
      </c>
      <c r="D14336">
        <v>1400</v>
      </c>
    </row>
    <row r="14337" spans="1:4" x14ac:dyDescent="0.25">
      <c r="A14337" t="str">
        <f>T("   Z2")</f>
        <v xml:space="preserve">   Z2</v>
      </c>
      <c r="B14337" t="str">
        <f>T("   Pays non défini")</f>
        <v xml:space="preserve">   Pays non défini</v>
      </c>
      <c r="C14337">
        <v>1050000</v>
      </c>
      <c r="D14337">
        <v>7880</v>
      </c>
    </row>
    <row r="14338" spans="1:4" x14ac:dyDescent="0.25">
      <c r="A14338" t="str">
        <f>T("871120")</f>
        <v>871120</v>
      </c>
      <c r="B14338" t="str">
        <f>T("Motocycles à moteur à piston alternatif, cylindrée &gt; 50 cm³ mais &lt;= 250 cm³")</f>
        <v>Motocycles à moteur à piston alternatif, cylindrée &gt; 50 cm³ mais &lt;= 250 cm³</v>
      </c>
    </row>
    <row r="14339" spans="1:4" x14ac:dyDescent="0.25">
      <c r="A14339" t="str">
        <f>T("   ZZZ_Monde")</f>
        <v xml:space="preserve">   ZZZ_Monde</v>
      </c>
      <c r="B14339" t="str">
        <f>T("   ZZZ_Monde")</f>
        <v xml:space="preserve">   ZZZ_Monde</v>
      </c>
      <c r="C14339">
        <v>18987119006</v>
      </c>
      <c r="D14339">
        <v>10914277.6</v>
      </c>
    </row>
    <row r="14340" spans="1:4" x14ac:dyDescent="0.25">
      <c r="A14340" t="str">
        <f>T("   AE")</f>
        <v xml:space="preserve">   AE</v>
      </c>
      <c r="B14340" t="str">
        <f>T("   Emirats Arabes Unis")</f>
        <v xml:space="preserve">   Emirats Arabes Unis</v>
      </c>
      <c r="C14340">
        <v>61201068</v>
      </c>
      <c r="D14340">
        <v>34680</v>
      </c>
    </row>
    <row r="14341" spans="1:4" x14ac:dyDescent="0.25">
      <c r="A14341" t="str">
        <f>T("   AU")</f>
        <v xml:space="preserve">   AU</v>
      </c>
      <c r="B14341" t="str">
        <f>T("   Australie")</f>
        <v xml:space="preserve">   Australie</v>
      </c>
      <c r="C14341">
        <v>35000</v>
      </c>
      <c r="D14341">
        <v>40</v>
      </c>
    </row>
    <row r="14342" spans="1:4" x14ac:dyDescent="0.25">
      <c r="A14342" t="str">
        <f>T("   BE")</f>
        <v xml:space="preserve">   BE</v>
      </c>
      <c r="B14342" t="str">
        <f>T("   Belgique")</f>
        <v xml:space="preserve">   Belgique</v>
      </c>
      <c r="C14342">
        <v>28779815</v>
      </c>
      <c r="D14342">
        <v>5942</v>
      </c>
    </row>
    <row r="14343" spans="1:4" x14ac:dyDescent="0.25">
      <c r="A14343" t="str">
        <f>T("   CM")</f>
        <v xml:space="preserve">   CM</v>
      </c>
      <c r="B14343" t="str">
        <f>T("   Cameroun")</f>
        <v xml:space="preserve">   Cameroun</v>
      </c>
      <c r="C14343">
        <v>387163</v>
      </c>
      <c r="D14343">
        <v>200</v>
      </c>
    </row>
    <row r="14344" spans="1:4" x14ac:dyDescent="0.25">
      <c r="A14344" t="str">
        <f>T("   CN")</f>
        <v xml:space="preserve">   CN</v>
      </c>
      <c r="B14344" t="str">
        <f>T("   Chine")</f>
        <v xml:space="preserve">   Chine</v>
      </c>
      <c r="C14344">
        <v>16360523774</v>
      </c>
      <c r="D14344">
        <v>9441811.5999999996</v>
      </c>
    </row>
    <row r="14345" spans="1:4" x14ac:dyDescent="0.25">
      <c r="A14345" t="str">
        <f>T("   DE")</f>
        <v xml:space="preserve">   DE</v>
      </c>
      <c r="B14345" t="str">
        <f>T("   Allemagne")</f>
        <v xml:space="preserve">   Allemagne</v>
      </c>
      <c r="C14345">
        <v>4798799</v>
      </c>
      <c r="D14345">
        <v>3566</v>
      </c>
    </row>
    <row r="14346" spans="1:4" x14ac:dyDescent="0.25">
      <c r="A14346" t="str">
        <f>T("   FR")</f>
        <v xml:space="preserve">   FR</v>
      </c>
      <c r="B14346" t="str">
        <f>T("   France")</f>
        <v xml:space="preserve">   France</v>
      </c>
      <c r="C14346">
        <v>320701287</v>
      </c>
      <c r="D14346">
        <v>60945</v>
      </c>
    </row>
    <row r="14347" spans="1:4" x14ac:dyDescent="0.25">
      <c r="A14347" t="str">
        <f>T("   GB")</f>
        <v xml:space="preserve">   GB</v>
      </c>
      <c r="B14347" t="str">
        <f>T("   Royaume-Uni")</f>
        <v xml:space="preserve">   Royaume-Uni</v>
      </c>
      <c r="C14347">
        <v>36443</v>
      </c>
      <c r="D14347">
        <v>150</v>
      </c>
    </row>
    <row r="14348" spans="1:4" x14ac:dyDescent="0.25">
      <c r="A14348" t="str">
        <f>T("   IN")</f>
        <v xml:space="preserve">   IN</v>
      </c>
      <c r="B14348" t="str">
        <f>T("   Inde")</f>
        <v xml:space="preserve">   Inde</v>
      </c>
      <c r="C14348">
        <v>73441830</v>
      </c>
      <c r="D14348">
        <v>48730</v>
      </c>
    </row>
    <row r="14349" spans="1:4" x14ac:dyDescent="0.25">
      <c r="A14349" t="str">
        <f>T("   IT")</f>
        <v xml:space="preserve">   IT</v>
      </c>
      <c r="B14349" t="str">
        <f>T("   Italie")</f>
        <v xml:space="preserve">   Italie</v>
      </c>
      <c r="C14349">
        <v>4697605</v>
      </c>
      <c r="D14349">
        <v>8518</v>
      </c>
    </row>
    <row r="14350" spans="1:4" x14ac:dyDescent="0.25">
      <c r="A14350" t="str">
        <f>T("   JP")</f>
        <v xml:space="preserve">   JP</v>
      </c>
      <c r="B14350" t="str">
        <f>T("   Japon")</f>
        <v xml:space="preserve">   Japon</v>
      </c>
      <c r="C14350">
        <v>84534353</v>
      </c>
      <c r="D14350">
        <v>23304</v>
      </c>
    </row>
    <row r="14351" spans="1:4" x14ac:dyDescent="0.25">
      <c r="A14351" t="str">
        <f>T("   MG")</f>
        <v xml:space="preserve">   MG</v>
      </c>
      <c r="B14351" t="str">
        <f>T("   Madagascar")</f>
        <v xml:space="preserve">   Madagascar</v>
      </c>
      <c r="C14351">
        <v>655960</v>
      </c>
      <c r="D14351">
        <v>232</v>
      </c>
    </row>
    <row r="14352" spans="1:4" x14ac:dyDescent="0.25">
      <c r="A14352" t="str">
        <f>T("   NG")</f>
        <v xml:space="preserve">   NG</v>
      </c>
      <c r="B14352" t="str">
        <f>T("   Nigéria")</f>
        <v xml:space="preserve">   Nigéria</v>
      </c>
      <c r="C14352">
        <v>923415000</v>
      </c>
      <c r="D14352">
        <v>492815</v>
      </c>
    </row>
    <row r="14353" spans="1:4" x14ac:dyDescent="0.25">
      <c r="A14353" t="str">
        <f>T("   NL")</f>
        <v xml:space="preserve">   NL</v>
      </c>
      <c r="B14353" t="str">
        <f>T("   Pays-bas")</f>
        <v xml:space="preserve">   Pays-bas</v>
      </c>
      <c r="C14353">
        <v>450000</v>
      </c>
      <c r="D14353">
        <v>700</v>
      </c>
    </row>
    <row r="14354" spans="1:4" x14ac:dyDescent="0.25">
      <c r="A14354" t="str">
        <f>T("   TG")</f>
        <v xml:space="preserve">   TG</v>
      </c>
      <c r="B14354" t="str">
        <f>T("   Togo")</f>
        <v xml:space="preserve">   Togo</v>
      </c>
      <c r="C14354">
        <v>1086009430</v>
      </c>
      <c r="D14354">
        <v>775241</v>
      </c>
    </row>
    <row r="14355" spans="1:4" x14ac:dyDescent="0.25">
      <c r="A14355" t="str">
        <f>T("   US")</f>
        <v xml:space="preserve">   US</v>
      </c>
      <c r="B14355" t="str">
        <f>T("   Etats-Unis")</f>
        <v xml:space="preserve">   Etats-Unis</v>
      </c>
      <c r="C14355">
        <v>37451479</v>
      </c>
      <c r="D14355">
        <v>17403</v>
      </c>
    </row>
    <row r="14356" spans="1:4" x14ac:dyDescent="0.25">
      <c r="A14356" t="str">
        <f>T("871130")</f>
        <v>871130</v>
      </c>
      <c r="B14356" t="str">
        <f>T("Motocycles à moteur à piston alternatif, cylindrée &gt; 250 cm³ mais &lt;= 500 cm³")</f>
        <v>Motocycles à moteur à piston alternatif, cylindrée &gt; 250 cm³ mais &lt;= 500 cm³</v>
      </c>
    </row>
    <row r="14357" spans="1:4" x14ac:dyDescent="0.25">
      <c r="A14357" t="str">
        <f>T("   ZZZ_Monde")</f>
        <v xml:space="preserve">   ZZZ_Monde</v>
      </c>
      <c r="B14357" t="str">
        <f>T("   ZZZ_Monde")</f>
        <v xml:space="preserve">   ZZZ_Monde</v>
      </c>
      <c r="C14357">
        <v>60349676</v>
      </c>
      <c r="D14357">
        <v>44877</v>
      </c>
    </row>
    <row r="14358" spans="1:4" x14ac:dyDescent="0.25">
      <c r="A14358" t="str">
        <f>T("   AE")</f>
        <v xml:space="preserve">   AE</v>
      </c>
      <c r="B14358" t="str">
        <f>T("   Emirats Arabes Unis")</f>
        <v xml:space="preserve">   Emirats Arabes Unis</v>
      </c>
      <c r="C14358">
        <v>1517000</v>
      </c>
      <c r="D14358">
        <v>5766</v>
      </c>
    </row>
    <row r="14359" spans="1:4" x14ac:dyDescent="0.25">
      <c r="A14359" t="str">
        <f>T("   BE")</f>
        <v xml:space="preserve">   BE</v>
      </c>
      <c r="B14359" t="str">
        <f>T("   Belgique")</f>
        <v xml:space="preserve">   Belgique</v>
      </c>
      <c r="C14359">
        <v>1241235</v>
      </c>
      <c r="D14359">
        <v>1050</v>
      </c>
    </row>
    <row r="14360" spans="1:4" x14ac:dyDescent="0.25">
      <c r="A14360" t="str">
        <f>T("   CN")</f>
        <v xml:space="preserve">   CN</v>
      </c>
      <c r="B14360" t="str">
        <f>T("   Chine")</f>
        <v xml:space="preserve">   Chine</v>
      </c>
      <c r="C14360">
        <v>31915410</v>
      </c>
      <c r="D14360">
        <v>22941</v>
      </c>
    </row>
    <row r="14361" spans="1:4" x14ac:dyDescent="0.25">
      <c r="A14361" t="str">
        <f>T("   DE")</f>
        <v xml:space="preserve">   DE</v>
      </c>
      <c r="B14361" t="str">
        <f>T("   Allemagne")</f>
        <v xml:space="preserve">   Allemagne</v>
      </c>
      <c r="C14361">
        <v>3965790</v>
      </c>
      <c r="D14361">
        <v>1320</v>
      </c>
    </row>
    <row r="14362" spans="1:4" x14ac:dyDescent="0.25">
      <c r="A14362" t="str">
        <f>T("   FR")</f>
        <v xml:space="preserve">   FR</v>
      </c>
      <c r="B14362" t="str">
        <f>T("   France")</f>
        <v xml:space="preserve">   France</v>
      </c>
      <c r="C14362">
        <v>493938</v>
      </c>
      <c r="D14362">
        <v>490</v>
      </c>
    </row>
    <row r="14363" spans="1:4" x14ac:dyDescent="0.25">
      <c r="A14363" t="str">
        <f>T("   JP")</f>
        <v xml:space="preserve">   JP</v>
      </c>
      <c r="B14363" t="str">
        <f>T("   Japon")</f>
        <v xml:space="preserve">   Japon</v>
      </c>
      <c r="C14363">
        <v>1000000</v>
      </c>
      <c r="D14363">
        <v>200</v>
      </c>
    </row>
    <row r="14364" spans="1:4" x14ac:dyDescent="0.25">
      <c r="A14364" t="str">
        <f>T("   NL")</f>
        <v xml:space="preserve">   NL</v>
      </c>
      <c r="B14364" t="str">
        <f>T("   Pays-bas")</f>
        <v xml:space="preserve">   Pays-bas</v>
      </c>
      <c r="C14364">
        <v>490100</v>
      </c>
      <c r="D14364">
        <v>800</v>
      </c>
    </row>
    <row r="14365" spans="1:4" x14ac:dyDescent="0.25">
      <c r="A14365" t="str">
        <f>T("   TG")</f>
        <v xml:space="preserve">   TG</v>
      </c>
      <c r="B14365" t="str">
        <f>T("   Togo")</f>
        <v xml:space="preserve">   Togo</v>
      </c>
      <c r="C14365">
        <v>19726203</v>
      </c>
      <c r="D14365">
        <v>12310</v>
      </c>
    </row>
    <row r="14366" spans="1:4" x14ac:dyDescent="0.25">
      <c r="A14366" t="str">
        <f>T("871140")</f>
        <v>871140</v>
      </c>
      <c r="B14366" t="str">
        <f>T("Motocycles à moteur à piston alternatif, cylindrée &gt; 500 cm³ mais &lt;= 800 cm³")</f>
        <v>Motocycles à moteur à piston alternatif, cylindrée &gt; 500 cm³ mais &lt;= 800 cm³</v>
      </c>
    </row>
    <row r="14367" spans="1:4" x14ac:dyDescent="0.25">
      <c r="A14367" t="str">
        <f>T("   ZZZ_Monde")</f>
        <v xml:space="preserve">   ZZZ_Monde</v>
      </c>
      <c r="B14367" t="str">
        <f>T("   ZZZ_Monde")</f>
        <v xml:space="preserve">   ZZZ_Monde</v>
      </c>
      <c r="C14367">
        <v>134468686</v>
      </c>
      <c r="D14367">
        <v>100509</v>
      </c>
    </row>
    <row r="14368" spans="1:4" x14ac:dyDescent="0.25">
      <c r="A14368" t="str">
        <f>T("   AE")</f>
        <v xml:space="preserve">   AE</v>
      </c>
      <c r="B14368" t="str">
        <f>T("   Emirats Arabes Unis")</f>
        <v xml:space="preserve">   Emirats Arabes Unis</v>
      </c>
      <c r="C14368">
        <v>2750510</v>
      </c>
      <c r="D14368">
        <v>5000</v>
      </c>
    </row>
    <row r="14369" spans="1:4" x14ac:dyDescent="0.25">
      <c r="A14369" t="str">
        <f>T("   DE")</f>
        <v xml:space="preserve">   DE</v>
      </c>
      <c r="B14369" t="str">
        <f>T("   Allemagne")</f>
        <v xml:space="preserve">   Allemagne</v>
      </c>
      <c r="C14369">
        <v>998176</v>
      </c>
      <c r="D14369">
        <v>1292</v>
      </c>
    </row>
    <row r="14370" spans="1:4" x14ac:dyDescent="0.25">
      <c r="A14370" t="str">
        <f>T("   FR")</f>
        <v xml:space="preserve">   FR</v>
      </c>
      <c r="B14370" t="str">
        <f>T("   France")</f>
        <v xml:space="preserve">   France</v>
      </c>
      <c r="C14370">
        <v>205000</v>
      </c>
      <c r="D14370">
        <v>997</v>
      </c>
    </row>
    <row r="14371" spans="1:4" x14ac:dyDescent="0.25">
      <c r="A14371" t="str">
        <f>T("   TG")</f>
        <v xml:space="preserve">   TG</v>
      </c>
      <c r="B14371" t="str">
        <f>T("   Togo")</f>
        <v xml:space="preserve">   Togo</v>
      </c>
      <c r="C14371">
        <v>130515000</v>
      </c>
      <c r="D14371">
        <v>93220</v>
      </c>
    </row>
    <row r="14372" spans="1:4" x14ac:dyDescent="0.25">
      <c r="A14372" t="str">
        <f>T("871150")</f>
        <v>871150</v>
      </c>
      <c r="B14372" t="str">
        <f>T("Motocycles à moteur à piston alternatif, cylindrée &gt; 800 cm³")</f>
        <v>Motocycles à moteur à piston alternatif, cylindrée &gt; 800 cm³</v>
      </c>
    </row>
    <row r="14373" spans="1:4" x14ac:dyDescent="0.25">
      <c r="A14373" t="str">
        <f>T("   ZZZ_Monde")</f>
        <v xml:space="preserve">   ZZZ_Monde</v>
      </c>
      <c r="B14373" t="str">
        <f>T("   ZZZ_Monde")</f>
        <v xml:space="preserve">   ZZZ_Monde</v>
      </c>
      <c r="C14373">
        <v>3494525</v>
      </c>
      <c r="D14373">
        <v>259</v>
      </c>
    </row>
    <row r="14374" spans="1:4" x14ac:dyDescent="0.25">
      <c r="A14374" t="str">
        <f>T("   BE")</f>
        <v xml:space="preserve">   BE</v>
      </c>
      <c r="B14374" t="str">
        <f>T("   Belgique")</f>
        <v xml:space="preserve">   Belgique</v>
      </c>
      <c r="C14374">
        <v>3494525</v>
      </c>
      <c r="D14374">
        <v>259</v>
      </c>
    </row>
    <row r="14375" spans="1:4" x14ac:dyDescent="0.25">
      <c r="A14375" t="str">
        <f>T("871190")</f>
        <v>871190</v>
      </c>
      <c r="B14375" t="str">
        <f>T("Side-cars")</f>
        <v>Side-cars</v>
      </c>
    </row>
    <row r="14376" spans="1:4" x14ac:dyDescent="0.25">
      <c r="A14376" t="str">
        <f>T("   ZZZ_Monde")</f>
        <v xml:space="preserve">   ZZZ_Monde</v>
      </c>
      <c r="B14376" t="str">
        <f>T("   ZZZ_Monde")</f>
        <v xml:space="preserve">   ZZZ_Monde</v>
      </c>
      <c r="C14376">
        <v>44455143</v>
      </c>
      <c r="D14376">
        <v>132973</v>
      </c>
    </row>
    <row r="14377" spans="1:4" x14ac:dyDescent="0.25">
      <c r="A14377" t="str">
        <f>T("   AE")</f>
        <v xml:space="preserve">   AE</v>
      </c>
      <c r="B14377" t="str">
        <f>T("   Emirats Arabes Unis")</f>
        <v xml:space="preserve">   Emirats Arabes Unis</v>
      </c>
      <c r="C14377">
        <v>634822</v>
      </c>
      <c r="D14377">
        <v>1500</v>
      </c>
    </row>
    <row r="14378" spans="1:4" x14ac:dyDescent="0.25">
      <c r="A14378" t="str">
        <f>T("   CN")</f>
        <v xml:space="preserve">   CN</v>
      </c>
      <c r="B14378" t="str">
        <f>T("   Chine")</f>
        <v xml:space="preserve">   Chine</v>
      </c>
      <c r="C14378">
        <v>360389</v>
      </c>
      <c r="D14378">
        <v>350</v>
      </c>
    </row>
    <row r="14379" spans="1:4" x14ac:dyDescent="0.25">
      <c r="A14379" t="str">
        <f>T("   DE")</f>
        <v xml:space="preserve">   DE</v>
      </c>
      <c r="B14379" t="str">
        <f>T("   Allemagne")</f>
        <v xml:space="preserve">   Allemagne</v>
      </c>
      <c r="C14379">
        <v>990337</v>
      </c>
      <c r="D14379">
        <v>600</v>
      </c>
    </row>
    <row r="14380" spans="1:4" x14ac:dyDescent="0.25">
      <c r="A14380" t="str">
        <f>T("   ES")</f>
        <v xml:space="preserve">   ES</v>
      </c>
      <c r="B14380" t="str">
        <f>T("   Espagne")</f>
        <v xml:space="preserve">   Espagne</v>
      </c>
      <c r="C14380">
        <v>2250599</v>
      </c>
      <c r="D14380">
        <v>1500</v>
      </c>
    </row>
    <row r="14381" spans="1:4" x14ac:dyDescent="0.25">
      <c r="A14381" t="str">
        <f>T("   FR")</f>
        <v xml:space="preserve">   FR</v>
      </c>
      <c r="B14381" t="str">
        <f>T("   France")</f>
        <v xml:space="preserve">   France</v>
      </c>
      <c r="C14381">
        <v>38715281</v>
      </c>
      <c r="D14381">
        <v>122573</v>
      </c>
    </row>
    <row r="14382" spans="1:4" x14ac:dyDescent="0.25">
      <c r="A14382" t="str">
        <f>T("   IT")</f>
        <v xml:space="preserve">   IT</v>
      </c>
      <c r="B14382" t="str">
        <f>T("   Italie")</f>
        <v xml:space="preserve">   Italie</v>
      </c>
      <c r="C14382">
        <v>1113715</v>
      </c>
      <c r="D14382">
        <v>6000</v>
      </c>
    </row>
    <row r="14383" spans="1:4" x14ac:dyDescent="0.25">
      <c r="A14383" t="str">
        <f>T("   NL")</f>
        <v xml:space="preserve">   NL</v>
      </c>
      <c r="B14383" t="str">
        <f>T("   Pays-bas")</f>
        <v xml:space="preserve">   Pays-bas</v>
      </c>
      <c r="C14383">
        <v>225000</v>
      </c>
      <c r="D14383">
        <v>300</v>
      </c>
    </row>
    <row r="14384" spans="1:4" x14ac:dyDescent="0.25">
      <c r="A14384" t="str">
        <f>T("   SA")</f>
        <v xml:space="preserve">   SA</v>
      </c>
      <c r="B14384" t="str">
        <f>T("   Arabie Saoudite")</f>
        <v xml:space="preserve">   Arabie Saoudite</v>
      </c>
      <c r="C14384">
        <v>165000</v>
      </c>
      <c r="D14384">
        <v>150</v>
      </c>
    </row>
    <row r="14385" spans="1:4" x14ac:dyDescent="0.25">
      <c r="A14385" t="str">
        <f>T("871200")</f>
        <v>871200</v>
      </c>
      <c r="B14385" t="str">
        <f>T("BICYCLETTES ET AUTRES CYCLES, -Y.C. LES TRIPORTEURS-, SANS MOTEUR")</f>
        <v>BICYCLETTES ET AUTRES CYCLES, -Y.C. LES TRIPORTEURS-, SANS MOTEUR</v>
      </c>
    </row>
    <row r="14386" spans="1:4" x14ac:dyDescent="0.25">
      <c r="A14386" t="str">
        <f>T("   ZZZ_Monde")</f>
        <v xml:space="preserve">   ZZZ_Monde</v>
      </c>
      <c r="B14386" t="str">
        <f>T("   ZZZ_Monde")</f>
        <v xml:space="preserve">   ZZZ_Monde</v>
      </c>
      <c r="C14386">
        <v>72222149</v>
      </c>
      <c r="D14386">
        <v>215837</v>
      </c>
    </row>
    <row r="14387" spans="1:4" x14ac:dyDescent="0.25">
      <c r="A14387" t="str">
        <f>T("   AE")</f>
        <v xml:space="preserve">   AE</v>
      </c>
      <c r="B14387" t="str">
        <f>T("   Emirats Arabes Unis")</f>
        <v xml:space="preserve">   Emirats Arabes Unis</v>
      </c>
      <c r="C14387">
        <v>22274</v>
      </c>
      <c r="D14387">
        <v>17</v>
      </c>
    </row>
    <row r="14388" spans="1:4" x14ac:dyDescent="0.25">
      <c r="A14388" t="str">
        <f>T("   AU")</f>
        <v xml:space="preserve">   AU</v>
      </c>
      <c r="B14388" t="str">
        <f>T("   Australie")</f>
        <v xml:space="preserve">   Australie</v>
      </c>
      <c r="C14388">
        <v>524768</v>
      </c>
      <c r="D14388">
        <v>4700</v>
      </c>
    </row>
    <row r="14389" spans="1:4" x14ac:dyDescent="0.25">
      <c r="A14389" t="str">
        <f>T("   BE")</f>
        <v xml:space="preserve">   BE</v>
      </c>
      <c r="B14389" t="str">
        <f>T("   Belgique")</f>
        <v xml:space="preserve">   Belgique</v>
      </c>
      <c r="C14389">
        <v>6882404</v>
      </c>
      <c r="D14389">
        <v>23779</v>
      </c>
    </row>
    <row r="14390" spans="1:4" x14ac:dyDescent="0.25">
      <c r="A14390" t="str">
        <f>T("   CA")</f>
        <v xml:space="preserve">   CA</v>
      </c>
      <c r="B14390" t="str">
        <f>T("   Canada")</f>
        <v xml:space="preserve">   Canada</v>
      </c>
      <c r="C14390">
        <v>721496</v>
      </c>
      <c r="D14390">
        <v>2317</v>
      </c>
    </row>
    <row r="14391" spans="1:4" x14ac:dyDescent="0.25">
      <c r="A14391" t="str">
        <f>T("   CN")</f>
        <v xml:space="preserve">   CN</v>
      </c>
      <c r="B14391" t="str">
        <f>T("   Chine")</f>
        <v xml:space="preserve">   Chine</v>
      </c>
      <c r="C14391">
        <v>12015633</v>
      </c>
      <c r="D14391">
        <v>26552</v>
      </c>
    </row>
    <row r="14392" spans="1:4" x14ac:dyDescent="0.25">
      <c r="A14392" t="str">
        <f>T("   DE")</f>
        <v xml:space="preserve">   DE</v>
      </c>
      <c r="B14392" t="str">
        <f>T("   Allemagne")</f>
        <v xml:space="preserve">   Allemagne</v>
      </c>
      <c r="C14392">
        <v>109857</v>
      </c>
      <c r="D14392">
        <v>193</v>
      </c>
    </row>
    <row r="14393" spans="1:4" x14ac:dyDescent="0.25">
      <c r="A14393" t="str">
        <f>T("   ES")</f>
        <v xml:space="preserve">   ES</v>
      </c>
      <c r="B14393" t="str">
        <f>T("   Espagne")</f>
        <v xml:space="preserve">   Espagne</v>
      </c>
      <c r="C14393">
        <v>21000</v>
      </c>
      <c r="D14393">
        <v>65</v>
      </c>
    </row>
    <row r="14394" spans="1:4" x14ac:dyDescent="0.25">
      <c r="A14394" t="str">
        <f>T("   FR")</f>
        <v xml:space="preserve">   FR</v>
      </c>
      <c r="B14394" t="str">
        <f>T("   France")</f>
        <v xml:space="preserve">   France</v>
      </c>
      <c r="C14394">
        <v>5204910</v>
      </c>
      <c r="D14394">
        <v>11868</v>
      </c>
    </row>
    <row r="14395" spans="1:4" x14ac:dyDescent="0.25">
      <c r="A14395" t="str">
        <f>T("   GB")</f>
        <v xml:space="preserve">   GB</v>
      </c>
      <c r="B14395" t="str">
        <f>T("   Royaume-Uni")</f>
        <v xml:space="preserve">   Royaume-Uni</v>
      </c>
      <c r="C14395">
        <v>15266535</v>
      </c>
      <c r="D14395">
        <v>58125</v>
      </c>
    </row>
    <row r="14396" spans="1:4" x14ac:dyDescent="0.25">
      <c r="A14396" t="str">
        <f>T("   GH")</f>
        <v xml:space="preserve">   GH</v>
      </c>
      <c r="B14396" t="str">
        <f>T("   Ghana")</f>
        <v xml:space="preserve">   Ghana</v>
      </c>
      <c r="C14396">
        <v>1854759</v>
      </c>
      <c r="D14396">
        <v>6450</v>
      </c>
    </row>
    <row r="14397" spans="1:4" x14ac:dyDescent="0.25">
      <c r="A14397" t="str">
        <f>T("   IN")</f>
        <v xml:space="preserve">   IN</v>
      </c>
      <c r="B14397" t="str">
        <f>T("   Inde")</f>
        <v xml:space="preserve">   Inde</v>
      </c>
      <c r="C14397">
        <v>2403461</v>
      </c>
      <c r="D14397">
        <v>9000</v>
      </c>
    </row>
    <row r="14398" spans="1:4" x14ac:dyDescent="0.25">
      <c r="A14398" t="str">
        <f>T("   IT")</f>
        <v xml:space="preserve">   IT</v>
      </c>
      <c r="B14398" t="str">
        <f>T("   Italie")</f>
        <v xml:space="preserve">   Italie</v>
      </c>
      <c r="C14398">
        <v>2542309</v>
      </c>
      <c r="D14398">
        <v>6993</v>
      </c>
    </row>
    <row r="14399" spans="1:4" x14ac:dyDescent="0.25">
      <c r="A14399" t="str">
        <f>T("   JP")</f>
        <v xml:space="preserve">   JP</v>
      </c>
      <c r="B14399" t="str">
        <f>T("   Japon")</f>
        <v xml:space="preserve">   Japon</v>
      </c>
      <c r="C14399">
        <v>2350961</v>
      </c>
      <c r="D14399">
        <v>8450</v>
      </c>
    </row>
    <row r="14400" spans="1:4" x14ac:dyDescent="0.25">
      <c r="A14400" t="str">
        <f>T("   LB")</f>
        <v xml:space="preserve">   LB</v>
      </c>
      <c r="B14400" t="str">
        <f>T("   Liban")</f>
        <v xml:space="preserve">   Liban</v>
      </c>
      <c r="C14400">
        <v>1155424</v>
      </c>
      <c r="D14400">
        <v>286</v>
      </c>
    </row>
    <row r="14401" spans="1:4" x14ac:dyDescent="0.25">
      <c r="A14401" t="str">
        <f>T("   MG")</f>
        <v xml:space="preserve">   MG</v>
      </c>
      <c r="B14401" t="str">
        <f>T("   Madagascar")</f>
        <v xml:space="preserve">   Madagascar</v>
      </c>
      <c r="C14401">
        <v>20335</v>
      </c>
      <c r="D14401">
        <v>5</v>
      </c>
    </row>
    <row r="14402" spans="1:4" x14ac:dyDescent="0.25">
      <c r="A14402" t="str">
        <f>T("   MR")</f>
        <v xml:space="preserve">   MR</v>
      </c>
      <c r="B14402" t="str">
        <f>T("   Mauritanie")</f>
        <v xml:space="preserve">   Mauritanie</v>
      </c>
      <c r="C14402">
        <v>41982</v>
      </c>
      <c r="D14402">
        <v>42</v>
      </c>
    </row>
    <row r="14403" spans="1:4" x14ac:dyDescent="0.25">
      <c r="A14403" t="str">
        <f>T("   NG")</f>
        <v xml:space="preserve">   NG</v>
      </c>
      <c r="B14403" t="str">
        <f>T("   Nigéria")</f>
        <v xml:space="preserve">   Nigéria</v>
      </c>
      <c r="C14403">
        <v>534000</v>
      </c>
      <c r="D14403">
        <v>560</v>
      </c>
    </row>
    <row r="14404" spans="1:4" x14ac:dyDescent="0.25">
      <c r="A14404" t="str">
        <f>T("   NL")</f>
        <v xml:space="preserve">   NL</v>
      </c>
      <c r="B14404" t="str">
        <f>T("   Pays-bas")</f>
        <v xml:space="preserve">   Pays-bas</v>
      </c>
      <c r="C14404">
        <v>800000</v>
      </c>
      <c r="D14404">
        <v>8100</v>
      </c>
    </row>
    <row r="14405" spans="1:4" x14ac:dyDescent="0.25">
      <c r="A14405" t="str">
        <f>T("   TG")</f>
        <v xml:space="preserve">   TG</v>
      </c>
      <c r="B14405" t="str">
        <f>T("   Togo")</f>
        <v xml:space="preserve">   Togo</v>
      </c>
      <c r="C14405">
        <v>76461</v>
      </c>
      <c r="D14405">
        <v>590</v>
      </c>
    </row>
    <row r="14406" spans="1:4" x14ac:dyDescent="0.25">
      <c r="A14406" t="str">
        <f>T("   TR")</f>
        <v xml:space="preserve">   TR</v>
      </c>
      <c r="B14406" t="str">
        <f>T("   Turquie")</f>
        <v xml:space="preserve">   Turquie</v>
      </c>
      <c r="C14406">
        <v>6191970</v>
      </c>
      <c r="D14406">
        <v>8495</v>
      </c>
    </row>
    <row r="14407" spans="1:4" x14ac:dyDescent="0.25">
      <c r="A14407" t="str">
        <f>T("   US")</f>
        <v xml:space="preserve">   US</v>
      </c>
      <c r="B14407" t="str">
        <f>T("   Etats-Unis")</f>
        <v xml:space="preserve">   Etats-Unis</v>
      </c>
      <c r="C14407">
        <v>13481610</v>
      </c>
      <c r="D14407">
        <v>39250</v>
      </c>
    </row>
    <row r="14408" spans="1:4" x14ac:dyDescent="0.25">
      <c r="A14408" t="str">
        <f>T("871310")</f>
        <v>871310</v>
      </c>
      <c r="B14408" t="str">
        <f>T("Fauteuils roulants et autres véhicules pour invalides (sans mécanisme de propulsion)")</f>
        <v>Fauteuils roulants et autres véhicules pour invalides (sans mécanisme de propulsion)</v>
      </c>
    </row>
    <row r="14409" spans="1:4" x14ac:dyDescent="0.25">
      <c r="A14409" t="str">
        <f>T("   ZZZ_Monde")</f>
        <v xml:space="preserve">   ZZZ_Monde</v>
      </c>
      <c r="B14409" t="str">
        <f>T("   ZZZ_Monde")</f>
        <v xml:space="preserve">   ZZZ_Monde</v>
      </c>
      <c r="C14409">
        <v>1360138</v>
      </c>
      <c r="D14409">
        <v>2150</v>
      </c>
    </row>
    <row r="14410" spans="1:4" x14ac:dyDescent="0.25">
      <c r="A14410" t="str">
        <f>T("   CH")</f>
        <v xml:space="preserve">   CH</v>
      </c>
      <c r="B14410" t="str">
        <f>T("   Suisse")</f>
        <v xml:space="preserve">   Suisse</v>
      </c>
      <c r="C14410">
        <v>71616</v>
      </c>
      <c r="D14410">
        <v>556</v>
      </c>
    </row>
    <row r="14411" spans="1:4" x14ac:dyDescent="0.25">
      <c r="A14411" t="str">
        <f>T("   FR")</f>
        <v xml:space="preserve">   FR</v>
      </c>
      <c r="B14411" t="str">
        <f>T("   France")</f>
        <v xml:space="preserve">   France</v>
      </c>
      <c r="C14411">
        <v>1288522</v>
      </c>
      <c r="D14411">
        <v>1594</v>
      </c>
    </row>
    <row r="14412" spans="1:4" x14ac:dyDescent="0.25">
      <c r="A14412" t="str">
        <f>T("871390")</f>
        <v>871390</v>
      </c>
      <c r="B14412" t="str">
        <f>T("Fauteuils roulants et autres véhicules pour invalides, avec mécanisme de propulsion (sauf automobiles et bicyclettes munies de dispositifs spéciaux)")</f>
        <v>Fauteuils roulants et autres véhicules pour invalides, avec mécanisme de propulsion (sauf automobiles et bicyclettes munies de dispositifs spéciaux)</v>
      </c>
    </row>
    <row r="14413" spans="1:4" x14ac:dyDescent="0.25">
      <c r="A14413" t="str">
        <f>T("   ZZZ_Monde")</f>
        <v xml:space="preserve">   ZZZ_Monde</v>
      </c>
      <c r="B14413" t="str">
        <f>T("   ZZZ_Monde")</f>
        <v xml:space="preserve">   ZZZ_Monde</v>
      </c>
      <c r="C14413">
        <v>1694420</v>
      </c>
      <c r="D14413">
        <v>5581</v>
      </c>
    </row>
    <row r="14414" spans="1:4" x14ac:dyDescent="0.25">
      <c r="A14414" t="str">
        <f>T("   FR")</f>
        <v xml:space="preserve">   FR</v>
      </c>
      <c r="B14414" t="str">
        <f>T("   France")</f>
        <v xml:space="preserve">   France</v>
      </c>
      <c r="C14414">
        <v>464420</v>
      </c>
      <c r="D14414">
        <v>120</v>
      </c>
    </row>
    <row r="14415" spans="1:4" x14ac:dyDescent="0.25">
      <c r="A14415" t="str">
        <f>T("   Z2")</f>
        <v xml:space="preserve">   Z2</v>
      </c>
      <c r="B14415" t="str">
        <f>T("   Pays non défini")</f>
        <v xml:space="preserve">   Pays non défini</v>
      </c>
      <c r="C14415">
        <v>1230000</v>
      </c>
      <c r="D14415">
        <v>5461</v>
      </c>
    </row>
    <row r="14416" spans="1:4" x14ac:dyDescent="0.25">
      <c r="A14416" t="str">
        <f>T("871411")</f>
        <v>871411</v>
      </c>
      <c r="B14416" t="str">
        <f>T("Selles de motocycles, y.c. de cyclomoteurs")</f>
        <v>Selles de motocycles, y.c. de cyclomoteurs</v>
      </c>
    </row>
    <row r="14417" spans="1:4" x14ac:dyDescent="0.25">
      <c r="A14417" t="str">
        <f>T("   ZZZ_Monde")</f>
        <v xml:space="preserve">   ZZZ_Monde</v>
      </c>
      <c r="B14417" t="str">
        <f>T("   ZZZ_Monde")</f>
        <v xml:space="preserve">   ZZZ_Monde</v>
      </c>
      <c r="C14417">
        <v>33431253</v>
      </c>
      <c r="D14417">
        <v>75635</v>
      </c>
    </row>
    <row r="14418" spans="1:4" x14ac:dyDescent="0.25">
      <c r="A14418" t="str">
        <f>T("   CN")</f>
        <v xml:space="preserve">   CN</v>
      </c>
      <c r="B14418" t="str">
        <f>T("   Chine")</f>
        <v xml:space="preserve">   Chine</v>
      </c>
      <c r="C14418">
        <v>14331253</v>
      </c>
      <c r="D14418">
        <v>40735</v>
      </c>
    </row>
    <row r="14419" spans="1:4" x14ac:dyDescent="0.25">
      <c r="A14419" t="str">
        <f>T("   TG")</f>
        <v xml:space="preserve">   TG</v>
      </c>
      <c r="B14419" t="str">
        <f>T("   Togo")</f>
        <v xml:space="preserve">   Togo</v>
      </c>
      <c r="C14419">
        <v>19100000</v>
      </c>
      <c r="D14419">
        <v>34900</v>
      </c>
    </row>
    <row r="14420" spans="1:4" x14ac:dyDescent="0.25">
      <c r="A14420" t="str">
        <f>T("871419")</f>
        <v>871419</v>
      </c>
      <c r="B14420" t="str">
        <f>T("Parties et accessoires de motocycles, y.c. de cyclomoteurs, n.d.a.")</f>
        <v>Parties et accessoires de motocycles, y.c. de cyclomoteurs, n.d.a.</v>
      </c>
    </row>
    <row r="14421" spans="1:4" x14ac:dyDescent="0.25">
      <c r="A14421" t="str">
        <f>T("   ZZZ_Monde")</f>
        <v xml:space="preserve">   ZZZ_Monde</v>
      </c>
      <c r="B14421" t="str">
        <f>T("   ZZZ_Monde")</f>
        <v xml:space="preserve">   ZZZ_Monde</v>
      </c>
      <c r="C14421">
        <v>1065388232</v>
      </c>
      <c r="D14421">
        <v>1960741</v>
      </c>
    </row>
    <row r="14422" spans="1:4" x14ac:dyDescent="0.25">
      <c r="A14422" t="str">
        <f>T("   CN")</f>
        <v xml:space="preserve">   CN</v>
      </c>
      <c r="B14422" t="str">
        <f>T("   Chine")</f>
        <v xml:space="preserve">   Chine</v>
      </c>
      <c r="C14422">
        <v>622310215</v>
      </c>
      <c r="D14422">
        <v>841136</v>
      </c>
    </row>
    <row r="14423" spans="1:4" x14ac:dyDescent="0.25">
      <c r="A14423" t="str">
        <f>T("   FR")</f>
        <v xml:space="preserve">   FR</v>
      </c>
      <c r="B14423" t="str">
        <f>T("   France")</f>
        <v xml:space="preserve">   France</v>
      </c>
      <c r="C14423">
        <v>2786924</v>
      </c>
      <c r="D14423">
        <v>454</v>
      </c>
    </row>
    <row r="14424" spans="1:4" x14ac:dyDescent="0.25">
      <c r="A14424" t="str">
        <f>T("   GH")</f>
        <v xml:space="preserve">   GH</v>
      </c>
      <c r="B14424" t="str">
        <f>T("   Ghana")</f>
        <v xml:space="preserve">   Ghana</v>
      </c>
      <c r="C14424">
        <v>8385617</v>
      </c>
      <c r="D14424">
        <v>36136</v>
      </c>
    </row>
    <row r="14425" spans="1:4" x14ac:dyDescent="0.25">
      <c r="A14425" t="str">
        <f>T("   MA")</f>
        <v xml:space="preserve">   MA</v>
      </c>
      <c r="B14425" t="str">
        <f>T("   Maroc")</f>
        <v xml:space="preserve">   Maroc</v>
      </c>
      <c r="C14425">
        <v>29528039</v>
      </c>
      <c r="D14425">
        <v>5078</v>
      </c>
    </row>
    <row r="14426" spans="1:4" x14ac:dyDescent="0.25">
      <c r="A14426" t="str">
        <f>T("   NG")</f>
        <v xml:space="preserve">   NG</v>
      </c>
      <c r="B14426" t="str">
        <f>T("   Nigéria")</f>
        <v xml:space="preserve">   Nigéria</v>
      </c>
      <c r="C14426">
        <v>332709960</v>
      </c>
      <c r="D14426">
        <v>946880</v>
      </c>
    </row>
    <row r="14427" spans="1:4" x14ac:dyDescent="0.25">
      <c r="A14427" t="str">
        <f>T("   TG")</f>
        <v xml:space="preserve">   TG</v>
      </c>
      <c r="B14427" t="str">
        <f>T("   Togo")</f>
        <v xml:space="preserve">   Togo</v>
      </c>
      <c r="C14427">
        <v>69495390</v>
      </c>
      <c r="D14427">
        <v>130925</v>
      </c>
    </row>
    <row r="14428" spans="1:4" x14ac:dyDescent="0.25">
      <c r="A14428" t="str">
        <f>T("   US")</f>
        <v xml:space="preserve">   US</v>
      </c>
      <c r="B14428" t="str">
        <f>T("   Etats-Unis")</f>
        <v xml:space="preserve">   Etats-Unis</v>
      </c>
      <c r="C14428">
        <v>172087</v>
      </c>
      <c r="D14428">
        <v>132</v>
      </c>
    </row>
    <row r="14429" spans="1:4" x14ac:dyDescent="0.25">
      <c r="A14429" t="str">
        <f>T("871491")</f>
        <v>871491</v>
      </c>
      <c r="B14429" t="str">
        <f>T("Cadres et fourches, et leurs parties, de bicyclettes, n.d.a.")</f>
        <v>Cadres et fourches, et leurs parties, de bicyclettes, n.d.a.</v>
      </c>
    </row>
    <row r="14430" spans="1:4" x14ac:dyDescent="0.25">
      <c r="A14430" t="str">
        <f>T("   ZZZ_Monde")</f>
        <v xml:space="preserve">   ZZZ_Monde</v>
      </c>
      <c r="B14430" t="str">
        <f>T("   ZZZ_Monde")</f>
        <v xml:space="preserve">   ZZZ_Monde</v>
      </c>
      <c r="C14430">
        <v>8225000</v>
      </c>
      <c r="D14430">
        <v>18520</v>
      </c>
    </row>
    <row r="14431" spans="1:4" x14ac:dyDescent="0.25">
      <c r="A14431" t="str">
        <f>T("   DE")</f>
        <v xml:space="preserve">   DE</v>
      </c>
      <c r="B14431" t="str">
        <f>T("   Allemagne")</f>
        <v xml:space="preserve">   Allemagne</v>
      </c>
      <c r="C14431">
        <v>1625000</v>
      </c>
      <c r="D14431">
        <v>1550</v>
      </c>
    </row>
    <row r="14432" spans="1:4" x14ac:dyDescent="0.25">
      <c r="A14432" t="str">
        <f>T("   TG")</f>
        <v xml:space="preserve">   TG</v>
      </c>
      <c r="B14432" t="str">
        <f>T("   Togo")</f>
        <v xml:space="preserve">   Togo</v>
      </c>
      <c r="C14432">
        <v>6600000</v>
      </c>
      <c r="D14432">
        <v>16970</v>
      </c>
    </row>
    <row r="14433" spans="1:4" x14ac:dyDescent="0.25">
      <c r="A14433" t="str">
        <f>T("871492")</f>
        <v>871492</v>
      </c>
      <c r="B14433" t="str">
        <f>T("Jantes et rayons, de bicyclettes")</f>
        <v>Jantes et rayons, de bicyclettes</v>
      </c>
    </row>
    <row r="14434" spans="1:4" x14ac:dyDescent="0.25">
      <c r="A14434" t="str">
        <f>T("   ZZZ_Monde")</f>
        <v xml:space="preserve">   ZZZ_Monde</v>
      </c>
      <c r="B14434" t="str">
        <f>T("   ZZZ_Monde")</f>
        <v xml:space="preserve">   ZZZ_Monde</v>
      </c>
      <c r="C14434">
        <v>884500</v>
      </c>
      <c r="D14434">
        <v>2720</v>
      </c>
    </row>
    <row r="14435" spans="1:4" x14ac:dyDescent="0.25">
      <c r="A14435" t="str">
        <f>T("   DE")</f>
        <v xml:space="preserve">   DE</v>
      </c>
      <c r="B14435" t="str">
        <f>T("   Allemagne")</f>
        <v xml:space="preserve">   Allemagne</v>
      </c>
      <c r="C14435">
        <v>400000</v>
      </c>
      <c r="D14435">
        <v>1500</v>
      </c>
    </row>
    <row r="14436" spans="1:4" x14ac:dyDescent="0.25">
      <c r="A14436" t="str">
        <f>T("   NG")</f>
        <v xml:space="preserve">   NG</v>
      </c>
      <c r="B14436" t="str">
        <f>T("   Nigéria")</f>
        <v xml:space="preserve">   Nigéria</v>
      </c>
      <c r="C14436">
        <v>184500</v>
      </c>
      <c r="D14436">
        <v>220</v>
      </c>
    </row>
    <row r="14437" spans="1:4" x14ac:dyDescent="0.25">
      <c r="A14437" t="str">
        <f>T("   TG")</f>
        <v xml:space="preserve">   TG</v>
      </c>
      <c r="B14437" t="str">
        <f>T("   Togo")</f>
        <v xml:space="preserve">   Togo</v>
      </c>
      <c r="C14437">
        <v>300000</v>
      </c>
      <c r="D14437">
        <v>1000</v>
      </c>
    </row>
    <row r="14438" spans="1:4" x14ac:dyDescent="0.25">
      <c r="A14438" t="str">
        <f>T("871493")</f>
        <v>871493</v>
      </c>
      <c r="B14438" t="str">
        <f>T("Moyeux (autres que les moyeux à frein) et pignons de roues libres, de bicyclettes")</f>
        <v>Moyeux (autres que les moyeux à frein) et pignons de roues libres, de bicyclettes</v>
      </c>
    </row>
    <row r="14439" spans="1:4" x14ac:dyDescent="0.25">
      <c r="A14439" t="str">
        <f>T("   ZZZ_Monde")</f>
        <v xml:space="preserve">   ZZZ_Monde</v>
      </c>
      <c r="B14439" t="str">
        <f>T("   ZZZ_Monde")</f>
        <v xml:space="preserve">   ZZZ_Monde</v>
      </c>
      <c r="C14439">
        <v>450000</v>
      </c>
      <c r="D14439">
        <v>311</v>
      </c>
    </row>
    <row r="14440" spans="1:4" x14ac:dyDescent="0.25">
      <c r="A14440" t="str">
        <f>T("   GD")</f>
        <v xml:space="preserve">   GD</v>
      </c>
      <c r="B14440" t="str">
        <f>T("   Grenade")</f>
        <v xml:space="preserve">   Grenade</v>
      </c>
      <c r="C14440">
        <v>290000</v>
      </c>
      <c r="D14440">
        <v>176</v>
      </c>
    </row>
    <row r="14441" spans="1:4" x14ac:dyDescent="0.25">
      <c r="A14441" t="str">
        <f>T("   KE")</f>
        <v xml:space="preserve">   KE</v>
      </c>
      <c r="B14441" t="str">
        <f>T("   Kenya")</f>
        <v xml:space="preserve">   Kenya</v>
      </c>
      <c r="C14441">
        <v>160000</v>
      </c>
      <c r="D14441">
        <v>135</v>
      </c>
    </row>
    <row r="14442" spans="1:4" x14ac:dyDescent="0.25">
      <c r="A14442" t="str">
        <f>T("871499")</f>
        <v>871499</v>
      </c>
      <c r="B14442" t="str">
        <f>T("Parties et accessoires, de bicyclettes, n.d.a.")</f>
        <v>Parties et accessoires, de bicyclettes, n.d.a.</v>
      </c>
    </row>
    <row r="14443" spans="1:4" x14ac:dyDescent="0.25">
      <c r="A14443" t="str">
        <f>T("   ZZZ_Monde")</f>
        <v xml:space="preserve">   ZZZ_Monde</v>
      </c>
      <c r="B14443" t="str">
        <f>T("   ZZZ_Monde")</f>
        <v xml:space="preserve">   ZZZ_Monde</v>
      </c>
      <c r="C14443">
        <v>25320769</v>
      </c>
      <c r="D14443">
        <v>57931</v>
      </c>
    </row>
    <row r="14444" spans="1:4" x14ac:dyDescent="0.25">
      <c r="A14444" t="str">
        <f>T("   BE")</f>
        <v xml:space="preserve">   BE</v>
      </c>
      <c r="B14444" t="str">
        <f>T("   Belgique")</f>
        <v xml:space="preserve">   Belgique</v>
      </c>
      <c r="C14444">
        <v>2787258</v>
      </c>
      <c r="D14444">
        <v>10038</v>
      </c>
    </row>
    <row r="14445" spans="1:4" x14ac:dyDescent="0.25">
      <c r="A14445" t="str">
        <f>T("   CN")</f>
        <v xml:space="preserve">   CN</v>
      </c>
      <c r="B14445" t="str">
        <f>T("   Chine")</f>
        <v xml:space="preserve">   Chine</v>
      </c>
      <c r="C14445">
        <v>12543175</v>
      </c>
      <c r="D14445">
        <v>29457</v>
      </c>
    </row>
    <row r="14446" spans="1:4" x14ac:dyDescent="0.25">
      <c r="A14446" t="str">
        <f>T("   DE")</f>
        <v xml:space="preserve">   DE</v>
      </c>
      <c r="B14446" t="str">
        <f>T("   Allemagne")</f>
        <v xml:space="preserve">   Allemagne</v>
      </c>
      <c r="C14446">
        <v>2200000</v>
      </c>
      <c r="D14446">
        <v>4000</v>
      </c>
    </row>
    <row r="14447" spans="1:4" x14ac:dyDescent="0.25">
      <c r="A14447" t="str">
        <f>T("   FR")</f>
        <v xml:space="preserve">   FR</v>
      </c>
      <c r="B14447" t="str">
        <f>T("   France")</f>
        <v xml:space="preserve">   France</v>
      </c>
      <c r="C14447">
        <v>143203</v>
      </c>
      <c r="D14447">
        <v>7</v>
      </c>
    </row>
    <row r="14448" spans="1:4" x14ac:dyDescent="0.25">
      <c r="A14448" t="str">
        <f>T("   GB")</f>
        <v xml:space="preserve">   GB</v>
      </c>
      <c r="B14448" t="str">
        <f>T("   Royaume-Uni")</f>
        <v xml:space="preserve">   Royaume-Uni</v>
      </c>
      <c r="C14448">
        <v>300430</v>
      </c>
      <c r="D14448">
        <v>2000</v>
      </c>
    </row>
    <row r="14449" spans="1:4" x14ac:dyDescent="0.25">
      <c r="A14449" t="str">
        <f>T("   IN")</f>
        <v xml:space="preserve">   IN</v>
      </c>
      <c r="B14449" t="str">
        <f>T("   Inde")</f>
        <v xml:space="preserve">   Inde</v>
      </c>
      <c r="C14449">
        <v>5541703</v>
      </c>
      <c r="D14449">
        <v>5069</v>
      </c>
    </row>
    <row r="14450" spans="1:4" x14ac:dyDescent="0.25">
      <c r="A14450" t="str">
        <f>T("   NG")</f>
        <v xml:space="preserve">   NG</v>
      </c>
      <c r="B14450" t="str">
        <f>T("   Nigéria")</f>
        <v xml:space="preserve">   Nigéria</v>
      </c>
      <c r="C14450">
        <v>905000</v>
      </c>
      <c r="D14450">
        <v>860</v>
      </c>
    </row>
    <row r="14451" spans="1:4" x14ac:dyDescent="0.25">
      <c r="A14451" t="str">
        <f>T("   TN")</f>
        <v xml:space="preserve">   TN</v>
      </c>
      <c r="B14451" t="str">
        <f>T("   Tunisie")</f>
        <v xml:space="preserve">   Tunisie</v>
      </c>
      <c r="C14451">
        <v>400000</v>
      </c>
      <c r="D14451">
        <v>3000</v>
      </c>
    </row>
    <row r="14452" spans="1:4" x14ac:dyDescent="0.25">
      <c r="A14452" t="str">
        <f>T("   US")</f>
        <v xml:space="preserve">   US</v>
      </c>
      <c r="B14452" t="str">
        <f>T("   Etats-Unis")</f>
        <v xml:space="preserve">   Etats-Unis</v>
      </c>
      <c r="C14452">
        <v>500000</v>
      </c>
      <c r="D14452">
        <v>3500</v>
      </c>
    </row>
    <row r="14453" spans="1:4" x14ac:dyDescent="0.25">
      <c r="A14453" t="str">
        <f>T("871500")</f>
        <v>871500</v>
      </c>
      <c r="B14453" t="str">
        <f>T("Landaus, poussettes et voitures simil., pour le transport des enfants, et leurs parties, n.d.a.")</f>
        <v>Landaus, poussettes et voitures simil., pour le transport des enfants, et leurs parties, n.d.a.</v>
      </c>
    </row>
    <row r="14454" spans="1:4" x14ac:dyDescent="0.25">
      <c r="A14454" t="str">
        <f>T("   ZZZ_Monde")</f>
        <v xml:space="preserve">   ZZZ_Monde</v>
      </c>
      <c r="B14454" t="str">
        <f>T("   ZZZ_Monde")</f>
        <v xml:space="preserve">   ZZZ_Monde</v>
      </c>
      <c r="C14454">
        <v>1098271</v>
      </c>
      <c r="D14454">
        <v>513</v>
      </c>
    </row>
    <row r="14455" spans="1:4" x14ac:dyDescent="0.25">
      <c r="A14455" t="str">
        <f>T("   CN")</f>
        <v xml:space="preserve">   CN</v>
      </c>
      <c r="B14455" t="str">
        <f>T("   Chine")</f>
        <v xml:space="preserve">   Chine</v>
      </c>
      <c r="C14455">
        <v>122849</v>
      </c>
      <c r="D14455">
        <v>143</v>
      </c>
    </row>
    <row r="14456" spans="1:4" x14ac:dyDescent="0.25">
      <c r="A14456" t="str">
        <f>T("   GH")</f>
        <v xml:space="preserve">   GH</v>
      </c>
      <c r="B14456" t="str">
        <f>T("   Ghana")</f>
        <v xml:space="preserve">   Ghana</v>
      </c>
      <c r="C14456">
        <v>50000</v>
      </c>
      <c r="D14456">
        <v>20</v>
      </c>
    </row>
    <row r="14457" spans="1:4" x14ac:dyDescent="0.25">
      <c r="A14457" t="str">
        <f>T("   IT")</f>
        <v xml:space="preserve">   IT</v>
      </c>
      <c r="B14457" t="str">
        <f>T("   Italie")</f>
        <v xml:space="preserve">   Italie</v>
      </c>
      <c r="C14457">
        <v>713070</v>
      </c>
      <c r="D14457">
        <v>202</v>
      </c>
    </row>
    <row r="14458" spans="1:4" x14ac:dyDescent="0.25">
      <c r="A14458" t="str">
        <f>T("   US")</f>
        <v xml:space="preserve">   US</v>
      </c>
      <c r="B14458" t="str">
        <f>T("   Etats-Unis")</f>
        <v xml:space="preserve">   Etats-Unis</v>
      </c>
      <c r="C14458">
        <v>212352</v>
      </c>
      <c r="D14458">
        <v>148</v>
      </c>
    </row>
    <row r="14459" spans="1:4" x14ac:dyDescent="0.25">
      <c r="A14459" t="str">
        <f>T("871610")</f>
        <v>871610</v>
      </c>
      <c r="B14459" t="str">
        <f>T("Remorques et semi-remorques pour l'habitation ou le camping, du type caravane")</f>
        <v>Remorques et semi-remorques pour l'habitation ou le camping, du type caravane</v>
      </c>
    </row>
    <row r="14460" spans="1:4" x14ac:dyDescent="0.25">
      <c r="A14460" t="str">
        <f>T("   ZZZ_Monde")</f>
        <v xml:space="preserve">   ZZZ_Monde</v>
      </c>
      <c r="B14460" t="str">
        <f>T("   ZZZ_Monde")</f>
        <v xml:space="preserve">   ZZZ_Monde</v>
      </c>
      <c r="C14460">
        <v>29062895</v>
      </c>
      <c r="D14460">
        <v>14000</v>
      </c>
    </row>
    <row r="14461" spans="1:4" x14ac:dyDescent="0.25">
      <c r="A14461" t="str">
        <f>T("   TG")</f>
        <v xml:space="preserve">   TG</v>
      </c>
      <c r="B14461" t="str">
        <f>T("   Togo")</f>
        <v xml:space="preserve">   Togo</v>
      </c>
      <c r="C14461">
        <v>29062895</v>
      </c>
      <c r="D14461">
        <v>14000</v>
      </c>
    </row>
    <row r="14462" spans="1:4" x14ac:dyDescent="0.25">
      <c r="A14462" t="str">
        <f>T("871620")</f>
        <v>871620</v>
      </c>
      <c r="B14462" t="str">
        <f>T("Remorques et semi-remorques autochargeuses ou autodéchargeuses, pour usages agricoles")</f>
        <v>Remorques et semi-remorques autochargeuses ou autodéchargeuses, pour usages agricoles</v>
      </c>
    </row>
    <row r="14463" spans="1:4" x14ac:dyDescent="0.25">
      <c r="A14463" t="str">
        <f>T("   ZZZ_Monde")</f>
        <v xml:space="preserve">   ZZZ_Monde</v>
      </c>
      <c r="B14463" t="str">
        <f>T("   ZZZ_Monde")</f>
        <v xml:space="preserve">   ZZZ_Monde</v>
      </c>
      <c r="C14463">
        <v>117246170</v>
      </c>
      <c r="D14463">
        <v>428369</v>
      </c>
    </row>
    <row r="14464" spans="1:4" x14ac:dyDescent="0.25">
      <c r="A14464" t="str">
        <f>T("   BE")</f>
        <v xml:space="preserve">   BE</v>
      </c>
      <c r="B14464" t="str">
        <f>T("   Belgique")</f>
        <v xml:space="preserve">   Belgique</v>
      </c>
      <c r="C14464">
        <v>4000000</v>
      </c>
      <c r="D14464">
        <v>4500</v>
      </c>
    </row>
    <row r="14465" spans="1:4" x14ac:dyDescent="0.25">
      <c r="A14465" t="str">
        <f>T("   FR")</f>
        <v xml:space="preserve">   FR</v>
      </c>
      <c r="B14465" t="str">
        <f>T("   France")</f>
        <v xml:space="preserve">   France</v>
      </c>
      <c r="C14465">
        <v>50911398</v>
      </c>
      <c r="D14465">
        <v>231369</v>
      </c>
    </row>
    <row r="14466" spans="1:4" x14ac:dyDescent="0.25">
      <c r="A14466" t="str">
        <f>T("   MA")</f>
        <v xml:space="preserve">   MA</v>
      </c>
      <c r="B14466" t="str">
        <f>T("   Maroc")</f>
        <v xml:space="preserve">   Maroc</v>
      </c>
      <c r="C14466">
        <v>33312273</v>
      </c>
      <c r="D14466">
        <v>29200</v>
      </c>
    </row>
    <row r="14467" spans="1:4" x14ac:dyDescent="0.25">
      <c r="A14467" t="str">
        <f>T("   NL")</f>
        <v xml:space="preserve">   NL</v>
      </c>
      <c r="B14467" t="str">
        <f>T("   Pays-bas")</f>
        <v xml:space="preserve">   Pays-bas</v>
      </c>
      <c r="C14467">
        <v>2000000</v>
      </c>
      <c r="D14467">
        <v>7492</v>
      </c>
    </row>
    <row r="14468" spans="1:4" x14ac:dyDescent="0.25">
      <c r="A14468" t="str">
        <f>T("   TG")</f>
        <v xml:space="preserve">   TG</v>
      </c>
      <c r="B14468" t="str">
        <f>T("   Togo")</f>
        <v xml:space="preserve">   Togo</v>
      </c>
      <c r="C14468">
        <v>20028514</v>
      </c>
      <c r="D14468">
        <v>145845</v>
      </c>
    </row>
    <row r="14469" spans="1:4" x14ac:dyDescent="0.25">
      <c r="A14469" t="str">
        <f>T("   TR")</f>
        <v xml:space="preserve">   TR</v>
      </c>
      <c r="B14469" t="str">
        <f>T("   Turquie")</f>
        <v xml:space="preserve">   Turquie</v>
      </c>
      <c r="C14469">
        <v>2993985</v>
      </c>
      <c r="D14469">
        <v>925</v>
      </c>
    </row>
    <row r="14470" spans="1:4" x14ac:dyDescent="0.25">
      <c r="A14470" t="str">
        <f>T("   US")</f>
        <v xml:space="preserve">   US</v>
      </c>
      <c r="B14470" t="str">
        <f>T("   Etats-Unis")</f>
        <v xml:space="preserve">   Etats-Unis</v>
      </c>
      <c r="C14470">
        <v>4000000</v>
      </c>
      <c r="D14470">
        <v>9038</v>
      </c>
    </row>
    <row r="14471" spans="1:4" x14ac:dyDescent="0.25">
      <c r="A14471" t="str">
        <f>T("871631")</f>
        <v>871631</v>
      </c>
      <c r="B14471" t="str">
        <f>T("Remorques-citernes ne circulant pas sur rails")</f>
        <v>Remorques-citernes ne circulant pas sur rails</v>
      </c>
    </row>
    <row r="14472" spans="1:4" x14ac:dyDescent="0.25">
      <c r="A14472" t="str">
        <f>T("   ZZZ_Monde")</f>
        <v xml:space="preserve">   ZZZ_Monde</v>
      </c>
      <c r="B14472" t="str">
        <f>T("   ZZZ_Monde")</f>
        <v xml:space="preserve">   ZZZ_Monde</v>
      </c>
      <c r="C14472">
        <v>26941748</v>
      </c>
      <c r="D14472">
        <v>113920</v>
      </c>
    </row>
    <row r="14473" spans="1:4" x14ac:dyDescent="0.25">
      <c r="A14473" t="str">
        <f>T("   CN")</f>
        <v xml:space="preserve">   CN</v>
      </c>
      <c r="B14473" t="str">
        <f>T("   Chine")</f>
        <v xml:space="preserve">   Chine</v>
      </c>
      <c r="C14473">
        <v>13611170</v>
      </c>
      <c r="D14473">
        <v>9860</v>
      </c>
    </row>
    <row r="14474" spans="1:4" x14ac:dyDescent="0.25">
      <c r="A14474" t="str">
        <f>T("   FR")</f>
        <v xml:space="preserve">   FR</v>
      </c>
      <c r="B14474" t="str">
        <f>T("   France")</f>
        <v xml:space="preserve">   France</v>
      </c>
      <c r="C14474">
        <v>8400000</v>
      </c>
      <c r="D14474">
        <v>81940</v>
      </c>
    </row>
    <row r="14475" spans="1:4" x14ac:dyDescent="0.25">
      <c r="A14475" t="str">
        <f>T("   IN")</f>
        <v xml:space="preserve">   IN</v>
      </c>
      <c r="B14475" t="str">
        <f>T("   Inde")</f>
        <v xml:space="preserve">   Inde</v>
      </c>
      <c r="C14475">
        <v>2400000</v>
      </c>
      <c r="D14475">
        <v>8500</v>
      </c>
    </row>
    <row r="14476" spans="1:4" x14ac:dyDescent="0.25">
      <c r="A14476" t="str">
        <f>T("   TG")</f>
        <v xml:space="preserve">   TG</v>
      </c>
      <c r="B14476" t="str">
        <f>T("   Togo")</f>
        <v xml:space="preserve">   Togo</v>
      </c>
      <c r="C14476">
        <v>2530578</v>
      </c>
      <c r="D14476">
        <v>13620</v>
      </c>
    </row>
    <row r="14477" spans="1:4" x14ac:dyDescent="0.25">
      <c r="A14477" t="str">
        <f>T("871639")</f>
        <v>871639</v>
      </c>
      <c r="B14477" t="str">
        <f>T("Remorques ne circulant pas sur rails, pour le transport des marchandises (sauf remorques destinées à des usages agricoles, remorques autochargeuses ou autodéchargeuses et remorques-citernes)")</f>
        <v>Remorques ne circulant pas sur rails, pour le transport des marchandises (sauf remorques destinées à des usages agricoles, remorques autochargeuses ou autodéchargeuses et remorques-citernes)</v>
      </c>
    </row>
    <row r="14478" spans="1:4" x14ac:dyDescent="0.25">
      <c r="A14478" t="str">
        <f>T("   ZZZ_Monde")</f>
        <v xml:space="preserve">   ZZZ_Monde</v>
      </c>
      <c r="B14478" t="str">
        <f>T("   ZZZ_Monde")</f>
        <v xml:space="preserve">   ZZZ_Monde</v>
      </c>
      <c r="C14478">
        <v>2400000</v>
      </c>
      <c r="D14478">
        <v>5400</v>
      </c>
    </row>
    <row r="14479" spans="1:4" x14ac:dyDescent="0.25">
      <c r="A14479" t="str">
        <f>T("   DE")</f>
        <v xml:space="preserve">   DE</v>
      </c>
      <c r="B14479" t="str">
        <f>T("   Allemagne")</f>
        <v xml:space="preserve">   Allemagne</v>
      </c>
      <c r="C14479">
        <v>2400000</v>
      </c>
      <c r="D14479">
        <v>5400</v>
      </c>
    </row>
    <row r="14480" spans="1:4" x14ac:dyDescent="0.25">
      <c r="A14480" t="str">
        <f>T("871640")</f>
        <v>871640</v>
      </c>
      <c r="B14480" t="str">
        <f>T("Remorques ne circulant pas sur rails (à l'excl. des remorques pour le transport de marchandises et remorques pour l'habitation ou le camping, du type caravane)")</f>
        <v>Remorques ne circulant pas sur rails (à l'excl. des remorques pour le transport de marchandises et remorques pour l'habitation ou le camping, du type caravane)</v>
      </c>
    </row>
    <row r="14481" spans="1:4" x14ac:dyDescent="0.25">
      <c r="A14481" t="str">
        <f>T("   ZZZ_Monde")</f>
        <v xml:space="preserve">   ZZZ_Monde</v>
      </c>
      <c r="B14481" t="str">
        <f>T("   ZZZ_Monde")</f>
        <v xml:space="preserve">   ZZZ_Monde</v>
      </c>
      <c r="C14481">
        <v>1336350598</v>
      </c>
      <c r="D14481">
        <v>3257267</v>
      </c>
    </row>
    <row r="14482" spans="1:4" x14ac:dyDescent="0.25">
      <c r="A14482" t="str">
        <f>T("   BE")</f>
        <v xml:space="preserve">   BE</v>
      </c>
      <c r="B14482" t="str">
        <f>T("   Belgique")</f>
        <v xml:space="preserve">   Belgique</v>
      </c>
      <c r="C14482">
        <v>140724011</v>
      </c>
      <c r="D14482">
        <v>322068</v>
      </c>
    </row>
    <row r="14483" spans="1:4" x14ac:dyDescent="0.25">
      <c r="A14483" t="str">
        <f>T("   BF")</f>
        <v xml:space="preserve">   BF</v>
      </c>
      <c r="B14483" t="str">
        <f>T("   Burkina Faso")</f>
        <v xml:space="preserve">   Burkina Faso</v>
      </c>
      <c r="C14483">
        <v>2000000</v>
      </c>
      <c r="D14483">
        <v>6500</v>
      </c>
    </row>
    <row r="14484" spans="1:4" x14ac:dyDescent="0.25">
      <c r="A14484" t="str">
        <f>T("   BR")</f>
        <v xml:space="preserve">   BR</v>
      </c>
      <c r="B14484" t="str">
        <f>T("   Brésil")</f>
        <v xml:space="preserve">   Brésil</v>
      </c>
      <c r="C14484">
        <v>2001000</v>
      </c>
      <c r="D14484">
        <v>2500</v>
      </c>
    </row>
    <row r="14485" spans="1:4" x14ac:dyDescent="0.25">
      <c r="A14485" t="str">
        <f>T("   CH")</f>
        <v xml:space="preserve">   CH</v>
      </c>
      <c r="B14485" t="str">
        <f>T("   Suisse")</f>
        <v xml:space="preserve">   Suisse</v>
      </c>
      <c r="C14485">
        <v>4000000</v>
      </c>
      <c r="D14485">
        <v>7500</v>
      </c>
    </row>
    <row r="14486" spans="1:4" x14ac:dyDescent="0.25">
      <c r="A14486" t="str">
        <f>T("   CN")</f>
        <v xml:space="preserve">   CN</v>
      </c>
      <c r="B14486" t="str">
        <f>T("   Chine")</f>
        <v xml:space="preserve">   Chine</v>
      </c>
      <c r="C14486">
        <v>117619180</v>
      </c>
      <c r="D14486">
        <v>128817</v>
      </c>
    </row>
    <row r="14487" spans="1:4" x14ac:dyDescent="0.25">
      <c r="A14487" t="str">
        <f>T("   CS")</f>
        <v xml:space="preserve">   CS</v>
      </c>
      <c r="B14487" t="str">
        <f>T("   Tchécoslovaquie")</f>
        <v xml:space="preserve">   Tchécoslovaquie</v>
      </c>
      <c r="C14487">
        <v>2000000</v>
      </c>
      <c r="D14487">
        <v>2000</v>
      </c>
    </row>
    <row r="14488" spans="1:4" x14ac:dyDescent="0.25">
      <c r="A14488" t="str">
        <f>T("   DE")</f>
        <v xml:space="preserve">   DE</v>
      </c>
      <c r="B14488" t="str">
        <f>T("   Allemagne")</f>
        <v xml:space="preserve">   Allemagne</v>
      </c>
      <c r="C14488">
        <v>24000000</v>
      </c>
      <c r="D14488">
        <v>75730</v>
      </c>
    </row>
    <row r="14489" spans="1:4" x14ac:dyDescent="0.25">
      <c r="A14489" t="str">
        <f>T("   DK")</f>
        <v xml:space="preserve">   DK</v>
      </c>
      <c r="B14489" t="str">
        <f>T("   Danemark")</f>
        <v xml:space="preserve">   Danemark</v>
      </c>
      <c r="C14489">
        <v>2000000</v>
      </c>
      <c r="D14489">
        <v>2250</v>
      </c>
    </row>
    <row r="14490" spans="1:4" x14ac:dyDescent="0.25">
      <c r="A14490" t="str">
        <f>T("   ES")</f>
        <v xml:space="preserve">   ES</v>
      </c>
      <c r="B14490" t="str">
        <f>T("   Espagne")</f>
        <v xml:space="preserve">   Espagne</v>
      </c>
      <c r="C14490">
        <v>6000000</v>
      </c>
      <c r="D14490">
        <v>10000</v>
      </c>
    </row>
    <row r="14491" spans="1:4" x14ac:dyDescent="0.25">
      <c r="A14491" t="str">
        <f>T("   FR")</f>
        <v xml:space="preserve">   FR</v>
      </c>
      <c r="B14491" t="str">
        <f>T("   France")</f>
        <v xml:space="preserve">   France</v>
      </c>
      <c r="C14491">
        <v>619151653</v>
      </c>
      <c r="D14491">
        <v>1662915</v>
      </c>
    </row>
    <row r="14492" spans="1:4" x14ac:dyDescent="0.25">
      <c r="A14492" t="str">
        <f>T("   IE")</f>
        <v xml:space="preserve">   IE</v>
      </c>
      <c r="B14492" t="str">
        <f>T("   Irlande")</f>
        <v xml:space="preserve">   Irlande</v>
      </c>
      <c r="C14492">
        <v>2000000</v>
      </c>
      <c r="D14492">
        <v>7492</v>
      </c>
    </row>
    <row r="14493" spans="1:4" x14ac:dyDescent="0.25">
      <c r="A14493" t="str">
        <f>T("   IT")</f>
        <v xml:space="preserve">   IT</v>
      </c>
      <c r="B14493" t="str">
        <f>T("   Italie")</f>
        <v xml:space="preserve">   Italie</v>
      </c>
      <c r="C14493">
        <v>26804278</v>
      </c>
      <c r="D14493">
        <v>64466</v>
      </c>
    </row>
    <row r="14494" spans="1:4" x14ac:dyDescent="0.25">
      <c r="A14494" t="str">
        <f>T("   NL")</f>
        <v xml:space="preserve">   NL</v>
      </c>
      <c r="B14494" t="str">
        <f>T("   Pays-bas")</f>
        <v xml:space="preserve">   Pays-bas</v>
      </c>
      <c r="C14494">
        <v>208254237</v>
      </c>
      <c r="D14494">
        <v>581652</v>
      </c>
    </row>
    <row r="14495" spans="1:4" x14ac:dyDescent="0.25">
      <c r="A14495" t="str">
        <f>T("   PL")</f>
        <v xml:space="preserve">   PL</v>
      </c>
      <c r="B14495" t="str">
        <f>T("   Pologne")</f>
        <v xml:space="preserve">   Pologne</v>
      </c>
      <c r="C14495">
        <v>12000000</v>
      </c>
      <c r="D14495">
        <v>19500</v>
      </c>
    </row>
    <row r="14496" spans="1:4" x14ac:dyDescent="0.25">
      <c r="A14496" t="str">
        <f>T("   SE")</f>
        <v xml:space="preserve">   SE</v>
      </c>
      <c r="B14496" t="str">
        <f>T("   Suède")</f>
        <v xml:space="preserve">   Suède</v>
      </c>
      <c r="C14496">
        <v>2000000</v>
      </c>
      <c r="D14496">
        <v>7310</v>
      </c>
    </row>
    <row r="14497" spans="1:4" x14ac:dyDescent="0.25">
      <c r="A14497" t="str">
        <f>T("   SN")</f>
        <v xml:space="preserve">   SN</v>
      </c>
      <c r="B14497" t="str">
        <f>T("   Sénégal")</f>
        <v xml:space="preserve">   Sénégal</v>
      </c>
      <c r="C14497">
        <v>1613685</v>
      </c>
      <c r="D14497">
        <v>8000</v>
      </c>
    </row>
    <row r="14498" spans="1:4" x14ac:dyDescent="0.25">
      <c r="A14498" t="str">
        <f>T("   TG")</f>
        <v xml:space="preserve">   TG</v>
      </c>
      <c r="B14498" t="str">
        <f>T("   Togo")</f>
        <v xml:space="preserve">   Togo</v>
      </c>
      <c r="C14498">
        <v>152173280</v>
      </c>
      <c r="D14498">
        <v>309007</v>
      </c>
    </row>
    <row r="14499" spans="1:4" x14ac:dyDescent="0.25">
      <c r="A14499" t="str">
        <f>T("   US")</f>
        <v xml:space="preserve">   US</v>
      </c>
      <c r="B14499" t="str">
        <f>T("   Etats-Unis")</f>
        <v xml:space="preserve">   Etats-Unis</v>
      </c>
      <c r="C14499">
        <v>12009274</v>
      </c>
      <c r="D14499">
        <v>39560</v>
      </c>
    </row>
    <row r="14500" spans="1:4" x14ac:dyDescent="0.25">
      <c r="A14500" t="str">
        <f>T("871680")</f>
        <v>871680</v>
      </c>
      <c r="B14500" t="str">
        <f>T("Véhicules dirigés à la main et autres véhicules non automobiles, autres que remorques et semi-remorques")</f>
        <v>Véhicules dirigés à la main et autres véhicules non automobiles, autres que remorques et semi-remorques</v>
      </c>
    </row>
    <row r="14501" spans="1:4" x14ac:dyDescent="0.25">
      <c r="A14501" t="str">
        <f>T("   ZZZ_Monde")</f>
        <v xml:space="preserve">   ZZZ_Monde</v>
      </c>
      <c r="B14501" t="str">
        <f>T("   ZZZ_Monde")</f>
        <v xml:space="preserve">   ZZZ_Monde</v>
      </c>
      <c r="C14501">
        <v>62036929</v>
      </c>
      <c r="D14501">
        <v>125533</v>
      </c>
    </row>
    <row r="14502" spans="1:4" x14ac:dyDescent="0.25">
      <c r="A14502" t="str">
        <f>T("   CI")</f>
        <v xml:space="preserve">   CI</v>
      </c>
      <c r="B14502" t="str">
        <f>T("   Côte d'Ivoire")</f>
        <v xml:space="preserve">   Côte d'Ivoire</v>
      </c>
      <c r="C14502">
        <v>43881043</v>
      </c>
      <c r="D14502">
        <v>76528</v>
      </c>
    </row>
    <row r="14503" spans="1:4" x14ac:dyDescent="0.25">
      <c r="A14503" t="str">
        <f>T("   CN")</f>
        <v xml:space="preserve">   CN</v>
      </c>
      <c r="B14503" t="str">
        <f>T("   Chine")</f>
        <v xml:space="preserve">   Chine</v>
      </c>
      <c r="C14503">
        <v>10323424</v>
      </c>
      <c r="D14503">
        <v>25793</v>
      </c>
    </row>
    <row r="14504" spans="1:4" x14ac:dyDescent="0.25">
      <c r="A14504" t="str">
        <f>T("   FR")</f>
        <v xml:space="preserve">   FR</v>
      </c>
      <c r="B14504" t="str">
        <f>T("   France")</f>
        <v xml:space="preserve">   France</v>
      </c>
      <c r="C14504">
        <v>4824700</v>
      </c>
      <c r="D14504">
        <v>5411</v>
      </c>
    </row>
    <row r="14505" spans="1:4" x14ac:dyDescent="0.25">
      <c r="A14505" t="str">
        <f>T("   NG")</f>
        <v xml:space="preserve">   NG</v>
      </c>
      <c r="B14505" t="str">
        <f>T("   Nigéria")</f>
        <v xml:space="preserve">   Nigéria</v>
      </c>
      <c r="C14505">
        <v>36000</v>
      </c>
      <c r="D14505">
        <v>60</v>
      </c>
    </row>
    <row r="14506" spans="1:4" x14ac:dyDescent="0.25">
      <c r="A14506" t="str">
        <f>T("   TG")</f>
        <v xml:space="preserve">   TG</v>
      </c>
      <c r="B14506" t="str">
        <f>T("   Togo")</f>
        <v xml:space="preserve">   Togo</v>
      </c>
      <c r="C14506">
        <v>2050000</v>
      </c>
      <c r="D14506">
        <v>13153</v>
      </c>
    </row>
    <row r="14507" spans="1:4" x14ac:dyDescent="0.25">
      <c r="A14507" t="str">
        <f>T("   US")</f>
        <v xml:space="preserve">   US</v>
      </c>
      <c r="B14507" t="str">
        <f>T("   Etats-Unis")</f>
        <v xml:space="preserve">   Etats-Unis</v>
      </c>
      <c r="C14507">
        <v>921762</v>
      </c>
      <c r="D14507">
        <v>4588</v>
      </c>
    </row>
    <row r="14508" spans="1:4" x14ac:dyDescent="0.25">
      <c r="A14508" t="str">
        <f>T("871690")</f>
        <v>871690</v>
      </c>
      <c r="B14508" t="str">
        <f>T("PARTIES DE REMORQUES, SEMI-REMORQUES ET AUTRES VÉHICULES NON-AUTOMOBILES, N.D.A.")</f>
        <v>PARTIES DE REMORQUES, SEMI-REMORQUES ET AUTRES VÉHICULES NON-AUTOMOBILES, N.D.A.</v>
      </c>
    </row>
    <row r="14509" spans="1:4" x14ac:dyDescent="0.25">
      <c r="A14509" t="str">
        <f>T("   ZZZ_Monde")</f>
        <v xml:space="preserve">   ZZZ_Monde</v>
      </c>
      <c r="B14509" t="str">
        <f>T("   ZZZ_Monde")</f>
        <v xml:space="preserve">   ZZZ_Monde</v>
      </c>
      <c r="C14509">
        <v>9339440</v>
      </c>
      <c r="D14509">
        <v>8009</v>
      </c>
    </row>
    <row r="14510" spans="1:4" x14ac:dyDescent="0.25">
      <c r="A14510" t="str">
        <f>T("   CN")</f>
        <v xml:space="preserve">   CN</v>
      </c>
      <c r="B14510" t="str">
        <f>T("   Chine")</f>
        <v xml:space="preserve">   Chine</v>
      </c>
      <c r="C14510">
        <v>8923522</v>
      </c>
      <c r="D14510">
        <v>8000</v>
      </c>
    </row>
    <row r="14511" spans="1:4" x14ac:dyDescent="0.25">
      <c r="A14511" t="str">
        <f>T("   FR")</f>
        <v xml:space="preserve">   FR</v>
      </c>
      <c r="B14511" t="str">
        <f>T("   France")</f>
        <v xml:space="preserve">   France</v>
      </c>
      <c r="C14511">
        <v>415918</v>
      </c>
      <c r="D14511">
        <v>9</v>
      </c>
    </row>
    <row r="14512" spans="1:4" x14ac:dyDescent="0.25">
      <c r="A14512" t="str">
        <f>T("880190")</f>
        <v>880190</v>
      </c>
      <c r="B14512" t="str">
        <f>T("Ballons et dirigeables et autres véhicules aériens (non conçus pour la propulsion à moteur) (sauf planeurs et ailes volantes, cerf-volants pour enfants et ballonnets pour enfants)")</f>
        <v>Ballons et dirigeables et autres véhicules aériens (non conçus pour la propulsion à moteur) (sauf planeurs et ailes volantes, cerf-volants pour enfants et ballonnets pour enfants)</v>
      </c>
    </row>
    <row r="14513" spans="1:4" x14ac:dyDescent="0.25">
      <c r="A14513" t="str">
        <f>T("   ZZZ_Monde")</f>
        <v xml:space="preserve">   ZZZ_Monde</v>
      </c>
      <c r="B14513" t="str">
        <f>T("   ZZZ_Monde")</f>
        <v xml:space="preserve">   ZZZ_Monde</v>
      </c>
      <c r="C14513">
        <v>6323527</v>
      </c>
      <c r="D14513">
        <v>1094</v>
      </c>
    </row>
    <row r="14514" spans="1:4" x14ac:dyDescent="0.25">
      <c r="A14514" t="str">
        <f>T("   CI")</f>
        <v xml:space="preserve">   CI</v>
      </c>
      <c r="B14514" t="str">
        <f>T("   Côte d'Ivoire")</f>
        <v xml:space="preserve">   Côte d'Ivoire</v>
      </c>
      <c r="C14514">
        <v>2221477</v>
      </c>
      <c r="D14514">
        <v>210</v>
      </c>
    </row>
    <row r="14515" spans="1:4" x14ac:dyDescent="0.25">
      <c r="A14515" t="str">
        <f>T("   FR")</f>
        <v xml:space="preserve">   FR</v>
      </c>
      <c r="B14515" t="str">
        <f>T("   France")</f>
        <v xml:space="preserve">   France</v>
      </c>
      <c r="C14515">
        <v>4102050</v>
      </c>
      <c r="D14515">
        <v>884</v>
      </c>
    </row>
    <row r="14516" spans="1:4" x14ac:dyDescent="0.25">
      <c r="A14516" t="str">
        <f>T("880510")</f>
        <v>880510</v>
      </c>
      <c r="B14516" t="str">
        <f>T("Appareils et dispositifs pour le lancement de véhicules aériens (sauf treuils pour lancer les planeurs), leurs parties, n.d.a.; appareils et dispositifs pour l'appontage de véhicules aériens, et simil., leurs parties, n.d.a.")</f>
        <v>Appareils et dispositifs pour le lancement de véhicules aériens (sauf treuils pour lancer les planeurs), leurs parties, n.d.a.; appareils et dispositifs pour l'appontage de véhicules aériens, et simil., leurs parties, n.d.a.</v>
      </c>
    </row>
    <row r="14517" spans="1:4" x14ac:dyDescent="0.25">
      <c r="A14517" t="str">
        <f>T("   ZZZ_Monde")</f>
        <v xml:space="preserve">   ZZZ_Monde</v>
      </c>
      <c r="B14517" t="str">
        <f>T("   ZZZ_Monde")</f>
        <v xml:space="preserve">   ZZZ_Monde</v>
      </c>
      <c r="C14517">
        <v>148247</v>
      </c>
      <c r="D14517">
        <v>200</v>
      </c>
    </row>
    <row r="14518" spans="1:4" x14ac:dyDescent="0.25">
      <c r="A14518" t="str">
        <f>T("   MA")</f>
        <v xml:space="preserve">   MA</v>
      </c>
      <c r="B14518" t="str">
        <f>T("   Maroc")</f>
        <v xml:space="preserve">   Maroc</v>
      </c>
      <c r="C14518">
        <v>148247</v>
      </c>
      <c r="D14518">
        <v>200</v>
      </c>
    </row>
    <row r="14519" spans="1:4" x14ac:dyDescent="0.25">
      <c r="A14519" t="str">
        <f>T("890399")</f>
        <v>890399</v>
      </c>
      <c r="B14519" t="str">
        <f>T("Bateaux, de plaisance ou de sport (sauf bateaux à moteur autre qu' à moteur hors-bord, bateaux à voile, même avec moteur auxiliaire, et bateaux gonflables); bateaux à rames et canoës")</f>
        <v>Bateaux, de plaisance ou de sport (sauf bateaux à moteur autre qu' à moteur hors-bord, bateaux à voile, même avec moteur auxiliaire, et bateaux gonflables); bateaux à rames et canoës</v>
      </c>
    </row>
    <row r="14520" spans="1:4" x14ac:dyDescent="0.25">
      <c r="A14520" t="str">
        <f>T("   ZZZ_Monde")</f>
        <v xml:space="preserve">   ZZZ_Monde</v>
      </c>
      <c r="B14520" t="str">
        <f>T("   ZZZ_Monde")</f>
        <v xml:space="preserve">   ZZZ_Monde</v>
      </c>
      <c r="C14520">
        <v>33413512</v>
      </c>
      <c r="D14520">
        <v>11837</v>
      </c>
    </row>
    <row r="14521" spans="1:4" x14ac:dyDescent="0.25">
      <c r="A14521" t="str">
        <f>T("   FR")</f>
        <v xml:space="preserve">   FR</v>
      </c>
      <c r="B14521" t="str">
        <f>T("   France")</f>
        <v xml:space="preserve">   France</v>
      </c>
      <c r="C14521">
        <v>26614796</v>
      </c>
      <c r="D14521">
        <v>10118</v>
      </c>
    </row>
    <row r="14522" spans="1:4" x14ac:dyDescent="0.25">
      <c r="A14522" t="str">
        <f>T("   KR")</f>
        <v xml:space="preserve">   KR</v>
      </c>
      <c r="B14522" t="str">
        <f>T("   Corée, République de")</f>
        <v xml:space="preserve">   Corée, République de</v>
      </c>
      <c r="C14522">
        <v>1677725</v>
      </c>
      <c r="D14522">
        <v>109</v>
      </c>
    </row>
    <row r="14523" spans="1:4" x14ac:dyDescent="0.25">
      <c r="A14523" t="str">
        <f>T("   TG")</f>
        <v xml:space="preserve">   TG</v>
      </c>
      <c r="B14523" t="str">
        <f>T("   Togo")</f>
        <v xml:space="preserve">   Togo</v>
      </c>
      <c r="C14523">
        <v>4401966</v>
      </c>
      <c r="D14523">
        <v>930</v>
      </c>
    </row>
    <row r="14524" spans="1:4" x14ac:dyDescent="0.25">
      <c r="A14524" t="str">
        <f>T("   US")</f>
        <v xml:space="preserve">   US</v>
      </c>
      <c r="B14524" t="str">
        <f>T("   Etats-Unis")</f>
        <v xml:space="preserve">   Etats-Unis</v>
      </c>
      <c r="C14524">
        <v>719025</v>
      </c>
      <c r="D14524">
        <v>680</v>
      </c>
    </row>
    <row r="14525" spans="1:4" x14ac:dyDescent="0.25">
      <c r="A14525" t="str">
        <f>T("890590")</f>
        <v>890590</v>
      </c>
      <c r="B14525" t="str">
        <f>T("Bateaux-phares, bateaux-pompes, pontons-grues et autres bateaux pour lesquels la navigation n'est qu'accessoire par rapport à la fonction principale (sauf bateaux-dragueurs, plates-formes de forage ou d'exploitation, flottantes ou submersibles, bateaux de")</f>
        <v>Bateaux-phares, bateaux-pompes, pontons-grues et autres bateaux pour lesquels la navigation n'est qu'accessoire par rapport à la fonction principale (sauf bateaux-dragueurs, plates-formes de forage ou d'exploitation, flottantes ou submersibles, bateaux de</v>
      </c>
    </row>
    <row r="14526" spans="1:4" x14ac:dyDescent="0.25">
      <c r="A14526" t="str">
        <f>T("   ZZZ_Monde")</f>
        <v xml:space="preserve">   ZZZ_Monde</v>
      </c>
      <c r="B14526" t="str">
        <f>T("   ZZZ_Monde")</f>
        <v xml:space="preserve">   ZZZ_Monde</v>
      </c>
      <c r="C14526">
        <v>23978520</v>
      </c>
      <c r="D14526">
        <v>30000</v>
      </c>
    </row>
    <row r="14527" spans="1:4" x14ac:dyDescent="0.25">
      <c r="A14527" t="str">
        <f>T("   NG")</f>
        <v xml:space="preserve">   NG</v>
      </c>
      <c r="B14527" t="str">
        <f>T("   Nigéria")</f>
        <v xml:space="preserve">   Nigéria</v>
      </c>
      <c r="C14527">
        <v>23978520</v>
      </c>
      <c r="D14527">
        <v>30000</v>
      </c>
    </row>
    <row r="14528" spans="1:4" x14ac:dyDescent="0.25">
      <c r="A14528" t="str">
        <f>T("890690")</f>
        <v>890690</v>
      </c>
      <c r="B14528" t="str">
        <f>T("Bateaux, y.c. les bateaux de sauvetage (à l'excl. des navires de guerre, des bateaux à rames et autres bateaux du n° 8901 à 8905 et des bateaux à dépecer)")</f>
        <v>Bateaux, y.c. les bateaux de sauvetage (à l'excl. des navires de guerre, des bateaux à rames et autres bateaux du n° 8901 à 8905 et des bateaux à dépecer)</v>
      </c>
    </row>
    <row r="14529" spans="1:4" x14ac:dyDescent="0.25">
      <c r="A14529" t="str">
        <f>T("   ZZZ_Monde")</f>
        <v xml:space="preserve">   ZZZ_Monde</v>
      </c>
      <c r="B14529" t="str">
        <f>T("   ZZZ_Monde")</f>
        <v xml:space="preserve">   ZZZ_Monde</v>
      </c>
      <c r="C14529">
        <v>3395000</v>
      </c>
      <c r="D14529">
        <v>360</v>
      </c>
    </row>
    <row r="14530" spans="1:4" x14ac:dyDescent="0.25">
      <c r="A14530" t="str">
        <f>T("   SN")</f>
        <v xml:space="preserve">   SN</v>
      </c>
      <c r="B14530" t="str">
        <f>T("   Sénégal")</f>
        <v xml:space="preserve">   Sénégal</v>
      </c>
      <c r="C14530">
        <v>3395000</v>
      </c>
      <c r="D14530">
        <v>360</v>
      </c>
    </row>
    <row r="14531" spans="1:4" x14ac:dyDescent="0.25">
      <c r="A14531" t="str">
        <f>T("890790")</f>
        <v>890790</v>
      </c>
      <c r="B14531" t="str">
        <f>T("Engins flottants, p.ex. réservoirs, caissons, coffres d'amarrage, bouées et balises (sauf radeaux gonflables, bateaux du n° 8901 à 8906 et engins flottants à dépecer)")</f>
        <v>Engins flottants, p.ex. réservoirs, caissons, coffres d'amarrage, bouées et balises (sauf radeaux gonflables, bateaux du n° 8901 à 8906 et engins flottants à dépecer)</v>
      </c>
    </row>
    <row r="14532" spans="1:4" x14ac:dyDescent="0.25">
      <c r="A14532" t="str">
        <f>T("   ZZZ_Monde")</f>
        <v xml:space="preserve">   ZZZ_Monde</v>
      </c>
      <c r="B14532" t="str">
        <f>T("   ZZZ_Monde")</f>
        <v xml:space="preserve">   ZZZ_Monde</v>
      </c>
      <c r="C14532">
        <v>301086</v>
      </c>
      <c r="D14532">
        <v>50</v>
      </c>
    </row>
    <row r="14533" spans="1:4" x14ac:dyDescent="0.25">
      <c r="A14533" t="str">
        <f>T("   FR")</f>
        <v xml:space="preserve">   FR</v>
      </c>
      <c r="B14533" t="str">
        <f>T("   France")</f>
        <v xml:space="preserve">   France</v>
      </c>
      <c r="C14533">
        <v>301086</v>
      </c>
      <c r="D14533">
        <v>50</v>
      </c>
    </row>
    <row r="14534" spans="1:4" x14ac:dyDescent="0.25">
      <c r="A14534" t="str">
        <f>T("900110")</f>
        <v>900110</v>
      </c>
      <c r="B14534" t="str">
        <f>T("Fibres optiques, faisceaux et câbles de fibres optiques (autres que les câbles constitués de fibres gainées individuellement du n° 8544)")</f>
        <v>Fibres optiques, faisceaux et câbles de fibres optiques (autres que les câbles constitués de fibres gainées individuellement du n° 8544)</v>
      </c>
    </row>
    <row r="14535" spans="1:4" x14ac:dyDescent="0.25">
      <c r="A14535" t="str">
        <f>T("   ZZZ_Monde")</f>
        <v xml:space="preserve">   ZZZ_Monde</v>
      </c>
      <c r="B14535" t="str">
        <f>T("   ZZZ_Monde")</f>
        <v xml:space="preserve">   ZZZ_Monde</v>
      </c>
      <c r="C14535">
        <v>107428</v>
      </c>
      <c r="D14535">
        <v>180</v>
      </c>
    </row>
    <row r="14536" spans="1:4" x14ac:dyDescent="0.25">
      <c r="A14536" t="str">
        <f>T("   TG")</f>
        <v xml:space="preserve">   TG</v>
      </c>
      <c r="B14536" t="str">
        <f>T("   Togo")</f>
        <v xml:space="preserve">   Togo</v>
      </c>
      <c r="C14536">
        <v>107428</v>
      </c>
      <c r="D14536">
        <v>180</v>
      </c>
    </row>
    <row r="14537" spans="1:4" x14ac:dyDescent="0.25">
      <c r="A14537" t="str">
        <f>T("900130")</f>
        <v>900130</v>
      </c>
      <c r="B14537" t="str">
        <f>T("Verres de contact")</f>
        <v>Verres de contact</v>
      </c>
    </row>
    <row r="14538" spans="1:4" x14ac:dyDescent="0.25">
      <c r="A14538" t="str">
        <f>T("   ZZZ_Monde")</f>
        <v xml:space="preserve">   ZZZ_Monde</v>
      </c>
      <c r="B14538" t="str">
        <f>T("   ZZZ_Monde")</f>
        <v xml:space="preserve">   ZZZ_Monde</v>
      </c>
      <c r="C14538">
        <v>39222</v>
      </c>
      <c r="D14538">
        <v>16500</v>
      </c>
    </row>
    <row r="14539" spans="1:4" x14ac:dyDescent="0.25">
      <c r="A14539" t="str">
        <f>T("   TG")</f>
        <v xml:space="preserve">   TG</v>
      </c>
      <c r="B14539" t="str">
        <f>T("   Togo")</f>
        <v xml:space="preserve">   Togo</v>
      </c>
      <c r="C14539">
        <v>39222</v>
      </c>
      <c r="D14539">
        <v>16500</v>
      </c>
    </row>
    <row r="14540" spans="1:4" x14ac:dyDescent="0.25">
      <c r="A14540" t="str">
        <f>T("900190")</f>
        <v>900190</v>
      </c>
      <c r="B14540" t="str">
        <f>T("Lentilles, prismes, miroirs et autres éléments d'optique, en toutes matières, non montés (autres que ceux en verre non travaillé optiquement ainsi que les verres de contact et les verres de lunetterie)")</f>
        <v>Lentilles, prismes, miroirs et autres éléments d'optique, en toutes matières, non montés (autres que ceux en verre non travaillé optiquement ainsi que les verres de contact et les verres de lunetterie)</v>
      </c>
    </row>
    <row r="14541" spans="1:4" x14ac:dyDescent="0.25">
      <c r="A14541" t="str">
        <f>T("   ZZZ_Monde")</f>
        <v xml:space="preserve">   ZZZ_Monde</v>
      </c>
      <c r="B14541" t="str">
        <f>T("   ZZZ_Monde")</f>
        <v xml:space="preserve">   ZZZ_Monde</v>
      </c>
      <c r="C14541">
        <v>2458539</v>
      </c>
      <c r="D14541">
        <v>1.95</v>
      </c>
    </row>
    <row r="14542" spans="1:4" x14ac:dyDescent="0.25">
      <c r="A14542" t="str">
        <f>T("   FR")</f>
        <v xml:space="preserve">   FR</v>
      </c>
      <c r="B14542" t="str">
        <f>T("   France")</f>
        <v xml:space="preserve">   France</v>
      </c>
      <c r="C14542">
        <v>2458539</v>
      </c>
      <c r="D14542">
        <v>1.95</v>
      </c>
    </row>
    <row r="14543" spans="1:4" x14ac:dyDescent="0.25">
      <c r="A14543" t="str">
        <f>T("900219")</f>
        <v>900219</v>
      </c>
      <c r="B14543" t="str">
        <f>T("Objectifs (autres que pour appareils de prise de vues, pour projecteurs ou pour appareils photographiques ou cinématographiques d'agrandissement ou de réduction)")</f>
        <v>Objectifs (autres que pour appareils de prise de vues, pour projecteurs ou pour appareils photographiques ou cinématographiques d'agrandissement ou de réduction)</v>
      </c>
    </row>
    <row r="14544" spans="1:4" x14ac:dyDescent="0.25">
      <c r="A14544" t="str">
        <f>T("   ZZZ_Monde")</f>
        <v xml:space="preserve">   ZZZ_Monde</v>
      </c>
      <c r="B14544" t="str">
        <f>T("   ZZZ_Monde")</f>
        <v xml:space="preserve">   ZZZ_Monde</v>
      </c>
      <c r="C14544">
        <v>2156141</v>
      </c>
      <c r="D14544">
        <v>12</v>
      </c>
    </row>
    <row r="14545" spans="1:4" x14ac:dyDescent="0.25">
      <c r="A14545" t="str">
        <f>T("   FR")</f>
        <v xml:space="preserve">   FR</v>
      </c>
      <c r="B14545" t="str">
        <f>T("   France")</f>
        <v xml:space="preserve">   France</v>
      </c>
      <c r="C14545">
        <v>2156141</v>
      </c>
      <c r="D14545">
        <v>12</v>
      </c>
    </row>
    <row r="14546" spans="1:4" x14ac:dyDescent="0.25">
      <c r="A14546" t="str">
        <f>T("900290")</f>
        <v>900290</v>
      </c>
      <c r="B14546" t="str">
        <f>T("Lentilles, prismes, miroirs et autres éléments d'optique, en toutes matières, montés, pour instruments ou appareils (autres que ceux en verre non travaillé optiquement ainsi que les filtres et les objectifs)")</f>
        <v>Lentilles, prismes, miroirs et autres éléments d'optique, en toutes matières, montés, pour instruments ou appareils (autres que ceux en verre non travaillé optiquement ainsi que les filtres et les objectifs)</v>
      </c>
    </row>
    <row r="14547" spans="1:4" x14ac:dyDescent="0.25">
      <c r="A14547" t="str">
        <f>T("   ZZZ_Monde")</f>
        <v xml:space="preserve">   ZZZ_Monde</v>
      </c>
      <c r="B14547" t="str">
        <f>T("   ZZZ_Monde")</f>
        <v xml:space="preserve">   ZZZ_Monde</v>
      </c>
      <c r="C14547">
        <v>1758728</v>
      </c>
      <c r="D14547">
        <v>43</v>
      </c>
    </row>
    <row r="14548" spans="1:4" x14ac:dyDescent="0.25">
      <c r="A14548" t="str">
        <f>T("   DE")</f>
        <v xml:space="preserve">   DE</v>
      </c>
      <c r="B14548" t="str">
        <f>T("   Allemagne")</f>
        <v xml:space="preserve">   Allemagne</v>
      </c>
      <c r="C14548">
        <v>1731440</v>
      </c>
      <c r="D14548">
        <v>42</v>
      </c>
    </row>
    <row r="14549" spans="1:4" x14ac:dyDescent="0.25">
      <c r="A14549" t="str">
        <f>T("   FR")</f>
        <v xml:space="preserve">   FR</v>
      </c>
      <c r="B14549" t="str">
        <f>T("   France")</f>
        <v xml:space="preserve">   France</v>
      </c>
      <c r="C14549">
        <v>27288</v>
      </c>
      <c r="D14549">
        <v>1</v>
      </c>
    </row>
    <row r="14550" spans="1:4" x14ac:dyDescent="0.25">
      <c r="A14550" t="str">
        <f>T("900410")</f>
        <v>900410</v>
      </c>
      <c r="B14550" t="str">
        <f>T("Lunettes solaires")</f>
        <v>Lunettes solaires</v>
      </c>
    </row>
    <row r="14551" spans="1:4" x14ac:dyDescent="0.25">
      <c r="A14551" t="str">
        <f>T("   ZZZ_Monde")</f>
        <v xml:space="preserve">   ZZZ_Monde</v>
      </c>
      <c r="B14551" t="str">
        <f>T("   ZZZ_Monde")</f>
        <v xml:space="preserve">   ZZZ_Monde</v>
      </c>
      <c r="C14551">
        <v>928215</v>
      </c>
      <c r="D14551">
        <v>328</v>
      </c>
    </row>
    <row r="14552" spans="1:4" x14ac:dyDescent="0.25">
      <c r="A14552" t="str">
        <f>T("   ES")</f>
        <v xml:space="preserve">   ES</v>
      </c>
      <c r="B14552" t="str">
        <f>T("   Espagne")</f>
        <v xml:space="preserve">   Espagne</v>
      </c>
      <c r="C14552">
        <v>251659</v>
      </c>
      <c r="D14552">
        <v>10</v>
      </c>
    </row>
    <row r="14553" spans="1:4" x14ac:dyDescent="0.25">
      <c r="A14553" t="str">
        <f>T("   FR")</f>
        <v xml:space="preserve">   FR</v>
      </c>
      <c r="B14553" t="str">
        <f>T("   France")</f>
        <v xml:space="preserve">   France</v>
      </c>
      <c r="C14553">
        <v>556932</v>
      </c>
      <c r="D14553">
        <v>140</v>
      </c>
    </row>
    <row r="14554" spans="1:4" x14ac:dyDescent="0.25">
      <c r="A14554" t="str">
        <f>T("   IT")</f>
        <v xml:space="preserve">   IT</v>
      </c>
      <c r="B14554" t="str">
        <f>T("   Italie")</f>
        <v xml:space="preserve">   Italie</v>
      </c>
      <c r="C14554">
        <v>41224</v>
      </c>
      <c r="D14554">
        <v>80</v>
      </c>
    </row>
    <row r="14555" spans="1:4" x14ac:dyDescent="0.25">
      <c r="A14555" t="str">
        <f>T("   NG")</f>
        <v xml:space="preserve">   NG</v>
      </c>
      <c r="B14555" t="str">
        <f>T("   Nigéria")</f>
        <v xml:space="preserve">   Nigéria</v>
      </c>
      <c r="C14555">
        <v>78400</v>
      </c>
      <c r="D14555">
        <v>98</v>
      </c>
    </row>
    <row r="14556" spans="1:4" x14ac:dyDescent="0.25">
      <c r="A14556" t="str">
        <f>T("900490")</f>
        <v>900490</v>
      </c>
      <c r="B14556" t="str">
        <f>T("Lunettes correctrices, protectrices ou autres et articles simil. (à l'excl. des lunettes pour tests visuels, des lunettes solaires, des verres de contact, des verres de lunetterie et des montures de lunettes)")</f>
        <v>Lunettes correctrices, protectrices ou autres et articles simil. (à l'excl. des lunettes pour tests visuels, des lunettes solaires, des verres de contact, des verres de lunetterie et des montures de lunettes)</v>
      </c>
    </row>
    <row r="14557" spans="1:4" x14ac:dyDescent="0.25">
      <c r="A14557" t="str">
        <f>T("   ZZZ_Monde")</f>
        <v xml:space="preserve">   ZZZ_Monde</v>
      </c>
      <c r="B14557" t="str">
        <f>T("   ZZZ_Monde")</f>
        <v xml:space="preserve">   ZZZ_Monde</v>
      </c>
      <c r="C14557">
        <v>7643996</v>
      </c>
      <c r="D14557">
        <v>4270.5</v>
      </c>
    </row>
    <row r="14558" spans="1:4" x14ac:dyDescent="0.25">
      <c r="A14558" t="str">
        <f>T("   AE")</f>
        <v xml:space="preserve">   AE</v>
      </c>
      <c r="B14558" t="str">
        <f>T("   Emirats Arabes Unis")</f>
        <v xml:space="preserve">   Emirats Arabes Unis</v>
      </c>
      <c r="C14558">
        <v>249120</v>
      </c>
      <c r="D14558">
        <v>823</v>
      </c>
    </row>
    <row r="14559" spans="1:4" x14ac:dyDescent="0.25">
      <c r="A14559" t="str">
        <f>T("   BE")</f>
        <v xml:space="preserve">   BE</v>
      </c>
      <c r="B14559" t="str">
        <f>T("   Belgique")</f>
        <v xml:space="preserve">   Belgique</v>
      </c>
      <c r="C14559">
        <v>29078</v>
      </c>
      <c r="D14559">
        <v>2</v>
      </c>
    </row>
    <row r="14560" spans="1:4" x14ac:dyDescent="0.25">
      <c r="A14560" t="str">
        <f>T("   CN")</f>
        <v xml:space="preserve">   CN</v>
      </c>
      <c r="B14560" t="str">
        <f>T("   Chine")</f>
        <v xml:space="preserve">   Chine</v>
      </c>
      <c r="C14560">
        <v>641339</v>
      </c>
      <c r="D14560">
        <v>2060</v>
      </c>
    </row>
    <row r="14561" spans="1:4" x14ac:dyDescent="0.25">
      <c r="A14561" t="str">
        <f>T("   DK")</f>
        <v xml:space="preserve">   DK</v>
      </c>
      <c r="B14561" t="str">
        <f>T("   Danemark")</f>
        <v xml:space="preserve">   Danemark</v>
      </c>
      <c r="C14561">
        <v>150490</v>
      </c>
      <c r="D14561">
        <v>16</v>
      </c>
    </row>
    <row r="14562" spans="1:4" x14ac:dyDescent="0.25">
      <c r="A14562" t="str">
        <f>T("   FR")</f>
        <v xml:space="preserve">   FR</v>
      </c>
      <c r="B14562" t="str">
        <f>T("   France")</f>
        <v xml:space="preserve">   France</v>
      </c>
      <c r="C14562">
        <v>5220307</v>
      </c>
      <c r="D14562">
        <v>1218.5</v>
      </c>
    </row>
    <row r="14563" spans="1:4" x14ac:dyDescent="0.25">
      <c r="A14563" t="str">
        <f>T("   KP")</f>
        <v xml:space="preserve">   KP</v>
      </c>
      <c r="B14563" t="str">
        <f>T("   Corée, Rép. Populaire Démocratique")</f>
        <v xml:space="preserve">   Corée, Rép. Populaire Démocratique</v>
      </c>
      <c r="C14563">
        <v>460176</v>
      </c>
      <c r="D14563">
        <v>55</v>
      </c>
    </row>
    <row r="14564" spans="1:4" x14ac:dyDescent="0.25">
      <c r="A14564" t="str">
        <f>T("   KR")</f>
        <v xml:space="preserve">   KR</v>
      </c>
      <c r="B14564" t="str">
        <f>T("   Corée, République de")</f>
        <v xml:space="preserve">   Corée, République de</v>
      </c>
      <c r="C14564">
        <v>893486</v>
      </c>
      <c r="D14564">
        <v>96</v>
      </c>
    </row>
    <row r="14565" spans="1:4" x14ac:dyDescent="0.25">
      <c r="A14565" t="str">
        <f>T("900510")</f>
        <v>900510</v>
      </c>
      <c r="B14565" t="str">
        <f>T("Jumelles")</f>
        <v>Jumelles</v>
      </c>
    </row>
    <row r="14566" spans="1:4" x14ac:dyDescent="0.25">
      <c r="A14566" t="str">
        <f>T("   ZZZ_Monde")</f>
        <v xml:space="preserve">   ZZZ_Monde</v>
      </c>
      <c r="B14566" t="str">
        <f>T("   ZZZ_Monde")</f>
        <v xml:space="preserve">   ZZZ_Monde</v>
      </c>
      <c r="C14566">
        <v>400792</v>
      </c>
      <c r="D14566">
        <v>142</v>
      </c>
    </row>
    <row r="14567" spans="1:4" x14ac:dyDescent="0.25">
      <c r="A14567" t="str">
        <f>T("   MG")</f>
        <v xml:space="preserve">   MG</v>
      </c>
      <c r="B14567" t="str">
        <f>T("   Madagascar")</f>
        <v xml:space="preserve">   Madagascar</v>
      </c>
      <c r="C14567">
        <v>400792</v>
      </c>
      <c r="D14567">
        <v>142</v>
      </c>
    </row>
    <row r="14568" spans="1:4" x14ac:dyDescent="0.25">
      <c r="A14568" t="str">
        <f>T("900640")</f>
        <v>900640</v>
      </c>
      <c r="B14568" t="str">
        <f>T("Appareils photographiques à développement et tirage instantanés (à l'excl. des appareils photographiques pour usages spéciaux dus n° 9006.10, 9006.20 ou 9006.30)")</f>
        <v>Appareils photographiques à développement et tirage instantanés (à l'excl. des appareils photographiques pour usages spéciaux dus n° 9006.10, 9006.20 ou 9006.30)</v>
      </c>
    </row>
    <row r="14569" spans="1:4" x14ac:dyDescent="0.25">
      <c r="A14569" t="str">
        <f>T("   ZZZ_Monde")</f>
        <v xml:space="preserve">   ZZZ_Monde</v>
      </c>
      <c r="B14569" t="str">
        <f>T("   ZZZ_Monde")</f>
        <v xml:space="preserve">   ZZZ_Monde</v>
      </c>
      <c r="C14569">
        <v>4198145</v>
      </c>
      <c r="D14569">
        <v>559</v>
      </c>
    </row>
    <row r="14570" spans="1:4" x14ac:dyDescent="0.25">
      <c r="A14570" t="str">
        <f>T("   FR")</f>
        <v xml:space="preserve">   FR</v>
      </c>
      <c r="B14570" t="str">
        <f>T("   France")</f>
        <v xml:space="preserve">   France</v>
      </c>
      <c r="C14570">
        <v>4198145</v>
      </c>
      <c r="D14570">
        <v>559</v>
      </c>
    </row>
    <row r="14571" spans="1:4" x14ac:dyDescent="0.25">
      <c r="A14571" t="str">
        <f>T("900659")</f>
        <v>900659</v>
      </c>
      <c r="B14571" t="str">
        <f>T("Appareils photographiques, pour pellicules en rouleaux d'une largeur &gt; 35 mm ou pour films plans (autres que les appareils photographiques à développement et tirage instantanés et les appareils photographiques pour usages spéciaux du n° 9006.10, 9006.20 o")</f>
        <v>Appareils photographiques, pour pellicules en rouleaux d'une largeur &gt; 35 mm ou pour films plans (autres que les appareils photographiques à développement et tirage instantanés et les appareils photographiques pour usages spéciaux du n° 9006.10, 9006.20 o</v>
      </c>
    </row>
    <row r="14572" spans="1:4" x14ac:dyDescent="0.25">
      <c r="A14572" t="str">
        <f>T("   ZZZ_Monde")</f>
        <v xml:space="preserve">   ZZZ_Monde</v>
      </c>
      <c r="B14572" t="str">
        <f>T("   ZZZ_Monde")</f>
        <v xml:space="preserve">   ZZZ_Monde</v>
      </c>
      <c r="C14572">
        <v>15221931</v>
      </c>
      <c r="D14572">
        <v>10923</v>
      </c>
    </row>
    <row r="14573" spans="1:4" x14ac:dyDescent="0.25">
      <c r="A14573" t="str">
        <f>T("   AE")</f>
        <v xml:space="preserve">   AE</v>
      </c>
      <c r="B14573" t="str">
        <f>T("   Emirats Arabes Unis")</f>
        <v xml:space="preserve">   Emirats Arabes Unis</v>
      </c>
      <c r="C14573">
        <v>700173</v>
      </c>
      <c r="D14573">
        <v>998</v>
      </c>
    </row>
    <row r="14574" spans="1:4" x14ac:dyDescent="0.25">
      <c r="A14574" t="str">
        <f>T("   CH")</f>
        <v xml:space="preserve">   CH</v>
      </c>
      <c r="B14574" t="str">
        <f>T("   Suisse")</f>
        <v xml:space="preserve">   Suisse</v>
      </c>
      <c r="C14574">
        <v>959669</v>
      </c>
      <c r="D14574">
        <v>8</v>
      </c>
    </row>
    <row r="14575" spans="1:4" x14ac:dyDescent="0.25">
      <c r="A14575" t="str">
        <f>T("   JP")</f>
        <v xml:space="preserve">   JP</v>
      </c>
      <c r="B14575" t="str">
        <f>T("   Japon")</f>
        <v xml:space="preserve">   Japon</v>
      </c>
      <c r="C14575">
        <v>11362089</v>
      </c>
      <c r="D14575">
        <v>7777</v>
      </c>
    </row>
    <row r="14576" spans="1:4" x14ac:dyDescent="0.25">
      <c r="A14576" t="str">
        <f>T("   TG")</f>
        <v xml:space="preserve">   TG</v>
      </c>
      <c r="B14576" t="str">
        <f>T("   Togo")</f>
        <v xml:space="preserve">   Togo</v>
      </c>
      <c r="C14576">
        <v>2200000</v>
      </c>
      <c r="D14576">
        <v>2140</v>
      </c>
    </row>
    <row r="14577" spans="1:4" x14ac:dyDescent="0.25">
      <c r="A14577" t="str">
        <f>T("900669")</f>
        <v>900669</v>
      </c>
      <c r="B14577" t="str">
        <f>T("Appareils et dispositifs pour la production de lumière-éclair en photographie (à l'excl. des appareils à tube à décharge, dits 'flashes électroniques', des lampes-éclair, cubes-éclairs et simil.)")</f>
        <v>Appareils et dispositifs pour la production de lumière-éclair en photographie (à l'excl. des appareils à tube à décharge, dits 'flashes électroniques', des lampes-éclair, cubes-éclairs et simil.)</v>
      </c>
    </row>
    <row r="14578" spans="1:4" x14ac:dyDescent="0.25">
      <c r="A14578" t="str">
        <f>T("   ZZZ_Monde")</f>
        <v xml:space="preserve">   ZZZ_Monde</v>
      </c>
      <c r="B14578" t="str">
        <f>T("   ZZZ_Monde")</f>
        <v xml:space="preserve">   ZZZ_Monde</v>
      </c>
      <c r="C14578">
        <v>328000</v>
      </c>
      <c r="D14578">
        <v>25</v>
      </c>
    </row>
    <row r="14579" spans="1:4" x14ac:dyDescent="0.25">
      <c r="A14579" t="str">
        <f>T("   CN")</f>
        <v xml:space="preserve">   CN</v>
      </c>
      <c r="B14579" t="str">
        <f>T("   Chine")</f>
        <v xml:space="preserve">   Chine</v>
      </c>
      <c r="C14579">
        <v>328000</v>
      </c>
      <c r="D14579">
        <v>25</v>
      </c>
    </row>
    <row r="14580" spans="1:4" x14ac:dyDescent="0.25">
      <c r="A14580" t="str">
        <f>T("900719")</f>
        <v>900719</v>
      </c>
      <c r="B14580" t="str">
        <f>T("Caméras cinématographiques, pour films d'une largeur &gt;= 16 mm (à l'excl. des films double-8 mm)")</f>
        <v>Caméras cinématographiques, pour films d'une largeur &gt;= 16 mm (à l'excl. des films double-8 mm)</v>
      </c>
    </row>
    <row r="14581" spans="1:4" x14ac:dyDescent="0.25">
      <c r="A14581" t="str">
        <f>T("   ZZZ_Monde")</f>
        <v xml:space="preserve">   ZZZ_Monde</v>
      </c>
      <c r="B14581" t="str">
        <f>T("   ZZZ_Monde")</f>
        <v xml:space="preserve">   ZZZ_Monde</v>
      </c>
      <c r="C14581">
        <v>13286462</v>
      </c>
      <c r="D14581">
        <v>1219</v>
      </c>
    </row>
    <row r="14582" spans="1:4" x14ac:dyDescent="0.25">
      <c r="A14582" t="str">
        <f>T("   CN")</f>
        <v xml:space="preserve">   CN</v>
      </c>
      <c r="B14582" t="str">
        <f>T("   Chine")</f>
        <v xml:space="preserve">   Chine</v>
      </c>
      <c r="C14582">
        <v>700172</v>
      </c>
      <c r="D14582">
        <v>150</v>
      </c>
    </row>
    <row r="14583" spans="1:4" x14ac:dyDescent="0.25">
      <c r="A14583" t="str">
        <f>T("   FR")</f>
        <v xml:space="preserve">   FR</v>
      </c>
      <c r="B14583" t="str">
        <f>T("   France")</f>
        <v xml:space="preserve">   France</v>
      </c>
      <c r="C14583">
        <v>9669890</v>
      </c>
      <c r="D14583">
        <v>156</v>
      </c>
    </row>
    <row r="14584" spans="1:4" x14ac:dyDescent="0.25">
      <c r="A14584" t="str">
        <f>T("   HK")</f>
        <v xml:space="preserve">   HK</v>
      </c>
      <c r="B14584" t="str">
        <f>T("   Hong-Kong")</f>
        <v xml:space="preserve">   Hong-Kong</v>
      </c>
      <c r="C14584">
        <v>1313889</v>
      </c>
      <c r="D14584">
        <v>411</v>
      </c>
    </row>
    <row r="14585" spans="1:4" x14ac:dyDescent="0.25">
      <c r="A14585" t="str">
        <f>T("   KR")</f>
        <v xml:space="preserve">   KR</v>
      </c>
      <c r="B14585" t="str">
        <f>T("   Corée, République de")</f>
        <v xml:space="preserve">   Corée, République de</v>
      </c>
      <c r="C14585">
        <v>1602511</v>
      </c>
      <c r="D14585">
        <v>502</v>
      </c>
    </row>
    <row r="14586" spans="1:4" x14ac:dyDescent="0.25">
      <c r="A14586" t="str">
        <f>T("900720")</f>
        <v>900720</v>
      </c>
      <c r="B14586" t="str">
        <f>T("Projecteurs cinématographiques")</f>
        <v>Projecteurs cinématographiques</v>
      </c>
    </row>
    <row r="14587" spans="1:4" x14ac:dyDescent="0.25">
      <c r="A14587" t="str">
        <f>T("   ZZZ_Monde")</f>
        <v xml:space="preserve">   ZZZ_Monde</v>
      </c>
      <c r="B14587" t="str">
        <f>T("   ZZZ_Monde")</f>
        <v xml:space="preserve">   ZZZ_Monde</v>
      </c>
      <c r="C14587">
        <v>8838059</v>
      </c>
      <c r="D14587">
        <v>1139</v>
      </c>
    </row>
    <row r="14588" spans="1:4" x14ac:dyDescent="0.25">
      <c r="A14588" t="str">
        <f>T("   AE")</f>
        <v xml:space="preserve">   AE</v>
      </c>
      <c r="B14588" t="str">
        <f>T("   Emirats Arabes Unis")</f>
        <v xml:space="preserve">   Emirats Arabes Unis</v>
      </c>
      <c r="C14588">
        <v>550440</v>
      </c>
      <c r="D14588">
        <v>1045</v>
      </c>
    </row>
    <row r="14589" spans="1:4" x14ac:dyDescent="0.25">
      <c r="A14589" t="str">
        <f>T("   CA")</f>
        <v xml:space="preserve">   CA</v>
      </c>
      <c r="B14589" t="str">
        <f>T("   Canada")</f>
        <v xml:space="preserve">   Canada</v>
      </c>
      <c r="C14589">
        <v>7745610</v>
      </c>
      <c r="D14589">
        <v>76</v>
      </c>
    </row>
    <row r="14590" spans="1:4" x14ac:dyDescent="0.25">
      <c r="A14590" t="str">
        <f>T("   FR")</f>
        <v xml:space="preserve">   FR</v>
      </c>
      <c r="B14590" t="str">
        <f>T("   France")</f>
        <v xml:space="preserve">   France</v>
      </c>
      <c r="C14590">
        <v>542009</v>
      </c>
      <c r="D14590">
        <v>18</v>
      </c>
    </row>
    <row r="14591" spans="1:4" x14ac:dyDescent="0.25">
      <c r="A14591" t="str">
        <f>T("900791")</f>
        <v>900791</v>
      </c>
      <c r="B14591" t="str">
        <f>T("PARTIES ET ACCESSOIRES DE CAMÉRAS CINEMATOGRAPHIQUES, N.D.A.")</f>
        <v>PARTIES ET ACCESSOIRES DE CAMÉRAS CINEMATOGRAPHIQUES, N.D.A.</v>
      </c>
    </row>
    <row r="14592" spans="1:4" x14ac:dyDescent="0.25">
      <c r="A14592" t="str">
        <f>T("   ZZZ_Monde")</f>
        <v xml:space="preserve">   ZZZ_Monde</v>
      </c>
      <c r="B14592" t="str">
        <f>T("   ZZZ_Monde")</f>
        <v xml:space="preserve">   ZZZ_Monde</v>
      </c>
      <c r="C14592">
        <v>349926</v>
      </c>
      <c r="D14592">
        <v>45</v>
      </c>
    </row>
    <row r="14593" spans="1:4" x14ac:dyDescent="0.25">
      <c r="A14593" t="str">
        <f>T("   US")</f>
        <v xml:space="preserve">   US</v>
      </c>
      <c r="B14593" t="str">
        <f>T("   Etats-Unis")</f>
        <v xml:space="preserve">   Etats-Unis</v>
      </c>
      <c r="C14593">
        <v>349926</v>
      </c>
      <c r="D14593">
        <v>45</v>
      </c>
    </row>
    <row r="14594" spans="1:4" x14ac:dyDescent="0.25">
      <c r="A14594" t="str">
        <f>T("900792")</f>
        <v>900792</v>
      </c>
      <c r="B14594" t="str">
        <f>T("Parties et accessoires de projecteurs cinématographiques, n.d.a.")</f>
        <v>Parties et accessoires de projecteurs cinématographiques, n.d.a.</v>
      </c>
    </row>
    <row r="14595" spans="1:4" x14ac:dyDescent="0.25">
      <c r="A14595" t="str">
        <f>T("   ZZZ_Monde")</f>
        <v xml:space="preserve">   ZZZ_Monde</v>
      </c>
      <c r="B14595" t="str">
        <f>T("   ZZZ_Monde")</f>
        <v xml:space="preserve">   ZZZ_Monde</v>
      </c>
      <c r="C14595">
        <v>4984336</v>
      </c>
      <c r="D14595">
        <v>45</v>
      </c>
    </row>
    <row r="14596" spans="1:4" x14ac:dyDescent="0.25">
      <c r="A14596" t="str">
        <f>T("   CA")</f>
        <v xml:space="preserve">   CA</v>
      </c>
      <c r="B14596" t="str">
        <f>T("   Canada")</f>
        <v xml:space="preserve">   Canada</v>
      </c>
      <c r="C14596">
        <v>4984336</v>
      </c>
      <c r="D14596">
        <v>45</v>
      </c>
    </row>
    <row r="14597" spans="1:4" x14ac:dyDescent="0.25">
      <c r="A14597" t="str">
        <f>T("900830")</f>
        <v>900830</v>
      </c>
      <c r="B14597" t="str">
        <f>T("Projecteurs d'images fixes (à l'excl. des projecteurs de diapositives et des lecteurs de microfilms, de microfiches ou d'autres microformats)")</f>
        <v>Projecteurs d'images fixes (à l'excl. des projecteurs de diapositives et des lecteurs de microfilms, de microfiches ou d'autres microformats)</v>
      </c>
    </row>
    <row r="14598" spans="1:4" x14ac:dyDescent="0.25">
      <c r="A14598" t="str">
        <f>T("   ZZZ_Monde")</f>
        <v xml:space="preserve">   ZZZ_Monde</v>
      </c>
      <c r="B14598" t="str">
        <f>T("   ZZZ_Monde")</f>
        <v xml:space="preserve">   ZZZ_Monde</v>
      </c>
      <c r="C14598">
        <v>1946045</v>
      </c>
      <c r="D14598">
        <v>30</v>
      </c>
    </row>
    <row r="14599" spans="1:4" x14ac:dyDescent="0.25">
      <c r="A14599" t="str">
        <f>T("   FR")</f>
        <v xml:space="preserve">   FR</v>
      </c>
      <c r="B14599" t="str">
        <f>T("   France")</f>
        <v xml:space="preserve">   France</v>
      </c>
      <c r="C14599">
        <v>1946045</v>
      </c>
      <c r="D14599">
        <v>30</v>
      </c>
    </row>
    <row r="14600" spans="1:4" x14ac:dyDescent="0.25">
      <c r="A14600" t="str">
        <f>T("900840")</f>
        <v>900840</v>
      </c>
      <c r="B14600" t="str">
        <f>T("Appareils photographiques d'agrandissement ou de réduction")</f>
        <v>Appareils photographiques d'agrandissement ou de réduction</v>
      </c>
    </row>
    <row r="14601" spans="1:4" x14ac:dyDescent="0.25">
      <c r="A14601" t="str">
        <f>T("   ZZZ_Monde")</f>
        <v xml:space="preserve">   ZZZ_Monde</v>
      </c>
      <c r="B14601" t="str">
        <f>T("   ZZZ_Monde")</f>
        <v xml:space="preserve">   ZZZ_Monde</v>
      </c>
      <c r="C14601">
        <v>718108</v>
      </c>
      <c r="D14601">
        <v>701.5</v>
      </c>
    </row>
    <row r="14602" spans="1:4" x14ac:dyDescent="0.25">
      <c r="A14602" t="str">
        <f>T("   DE")</f>
        <v xml:space="preserve">   DE</v>
      </c>
      <c r="B14602" t="str">
        <f>T("   Allemagne")</f>
        <v xml:space="preserve">   Allemagne</v>
      </c>
      <c r="C14602">
        <v>439606</v>
      </c>
      <c r="D14602">
        <v>700</v>
      </c>
    </row>
    <row r="14603" spans="1:4" x14ac:dyDescent="0.25">
      <c r="A14603" t="str">
        <f>T("   ZA")</f>
        <v xml:space="preserve">   ZA</v>
      </c>
      <c r="B14603" t="str">
        <f>T("   Afrique du Sud")</f>
        <v xml:space="preserve">   Afrique du Sud</v>
      </c>
      <c r="C14603">
        <v>278502</v>
      </c>
      <c r="D14603">
        <v>1.5</v>
      </c>
    </row>
    <row r="14604" spans="1:4" x14ac:dyDescent="0.25">
      <c r="A14604" t="str">
        <f>T("900911")</f>
        <v>900911</v>
      </c>
      <c r="B14604" t="str">
        <f>T("Appareils de photocopie électrostatiques, fonctionnant par reproduction directe de l'image de l'original sur la copie [procédé direct]")</f>
        <v>Appareils de photocopie électrostatiques, fonctionnant par reproduction directe de l'image de l'original sur la copie [procédé direct]</v>
      </c>
    </row>
    <row r="14605" spans="1:4" x14ac:dyDescent="0.25">
      <c r="A14605" t="str">
        <f>T("   ZZZ_Monde")</f>
        <v xml:space="preserve">   ZZZ_Monde</v>
      </c>
      <c r="B14605" t="str">
        <f>T("   ZZZ_Monde")</f>
        <v xml:space="preserve">   ZZZ_Monde</v>
      </c>
      <c r="C14605">
        <v>9521303</v>
      </c>
      <c r="D14605">
        <v>6302</v>
      </c>
    </row>
    <row r="14606" spans="1:4" x14ac:dyDescent="0.25">
      <c r="A14606" t="str">
        <f>T("   BW")</f>
        <v xml:space="preserve">   BW</v>
      </c>
      <c r="B14606" t="str">
        <f>T("   Botswana")</f>
        <v xml:space="preserve">   Botswana</v>
      </c>
      <c r="C14606">
        <v>95000</v>
      </c>
      <c r="D14606">
        <v>105</v>
      </c>
    </row>
    <row r="14607" spans="1:4" x14ac:dyDescent="0.25">
      <c r="A14607" t="str">
        <f>T("   CN")</f>
        <v xml:space="preserve">   CN</v>
      </c>
      <c r="B14607" t="str">
        <f>T("   Chine")</f>
        <v xml:space="preserve">   Chine</v>
      </c>
      <c r="C14607">
        <v>1330913</v>
      </c>
      <c r="D14607">
        <v>1595</v>
      </c>
    </row>
    <row r="14608" spans="1:4" x14ac:dyDescent="0.25">
      <c r="A14608" t="str">
        <f>T("   ES")</f>
        <v xml:space="preserve">   ES</v>
      </c>
      <c r="B14608" t="str">
        <f>T("   Espagne")</f>
        <v xml:space="preserve">   Espagne</v>
      </c>
      <c r="C14608">
        <v>45917</v>
      </c>
      <c r="D14608">
        <v>318</v>
      </c>
    </row>
    <row r="14609" spans="1:4" x14ac:dyDescent="0.25">
      <c r="A14609" t="str">
        <f>T("   FR")</f>
        <v xml:space="preserve">   FR</v>
      </c>
      <c r="B14609" t="str">
        <f>T("   France")</f>
        <v xml:space="preserve">   France</v>
      </c>
      <c r="C14609">
        <v>7229784</v>
      </c>
      <c r="D14609">
        <v>1678</v>
      </c>
    </row>
    <row r="14610" spans="1:4" x14ac:dyDescent="0.25">
      <c r="A14610" t="str">
        <f>T("   SA")</f>
        <v xml:space="preserve">   SA</v>
      </c>
      <c r="B14610" t="str">
        <f>T("   Arabie Saoudite")</f>
        <v xml:space="preserve">   Arabie Saoudite</v>
      </c>
      <c r="C14610">
        <v>731148</v>
      </c>
      <c r="D14610">
        <v>2366</v>
      </c>
    </row>
    <row r="14611" spans="1:4" x14ac:dyDescent="0.25">
      <c r="A14611" t="str">
        <f>T("   TG")</f>
        <v xml:space="preserve">   TG</v>
      </c>
      <c r="B14611" t="str">
        <f>T("   Togo")</f>
        <v xml:space="preserve">   Togo</v>
      </c>
      <c r="C14611">
        <v>13106</v>
      </c>
      <c r="D14611">
        <v>120</v>
      </c>
    </row>
    <row r="14612" spans="1:4" x14ac:dyDescent="0.25">
      <c r="A14612" t="str">
        <f>T("   US")</f>
        <v xml:space="preserve">   US</v>
      </c>
      <c r="B14612" t="str">
        <f>T("   Etats-Unis")</f>
        <v xml:space="preserve">   Etats-Unis</v>
      </c>
      <c r="C14612">
        <v>75435</v>
      </c>
      <c r="D14612">
        <v>120</v>
      </c>
    </row>
    <row r="14613" spans="1:4" x14ac:dyDescent="0.25">
      <c r="A14613" t="str">
        <f>T("900912")</f>
        <v>900912</v>
      </c>
      <c r="B14613" t="str">
        <f>T("Appareils de photocopie électrostatiques, fonctionnant par reproduction de l'image de l'original sur la copie au moyen d'un support intermédiaire [procédé indirect]")</f>
        <v>Appareils de photocopie électrostatiques, fonctionnant par reproduction de l'image de l'original sur la copie au moyen d'un support intermédiaire [procédé indirect]</v>
      </c>
    </row>
    <row r="14614" spans="1:4" x14ac:dyDescent="0.25">
      <c r="A14614" t="str">
        <f>T("   ZZZ_Monde")</f>
        <v xml:space="preserve">   ZZZ_Monde</v>
      </c>
      <c r="B14614" t="str">
        <f>T("   ZZZ_Monde")</f>
        <v xml:space="preserve">   ZZZ_Monde</v>
      </c>
      <c r="C14614">
        <v>282566</v>
      </c>
      <c r="D14614">
        <v>122</v>
      </c>
    </row>
    <row r="14615" spans="1:4" x14ac:dyDescent="0.25">
      <c r="A14615" t="str">
        <f>T("   CH")</f>
        <v xml:space="preserve">   CH</v>
      </c>
      <c r="B14615" t="str">
        <f>T("   Suisse")</f>
        <v xml:space="preserve">   Suisse</v>
      </c>
      <c r="C14615">
        <v>167773</v>
      </c>
      <c r="D14615">
        <v>72</v>
      </c>
    </row>
    <row r="14616" spans="1:4" x14ac:dyDescent="0.25">
      <c r="A14616" t="str">
        <f>T("   FR")</f>
        <v xml:space="preserve">   FR</v>
      </c>
      <c r="B14616" t="str">
        <f>T("   France")</f>
        <v xml:space="preserve">   France</v>
      </c>
      <c r="C14616">
        <v>114793</v>
      </c>
      <c r="D14616">
        <v>50</v>
      </c>
    </row>
    <row r="14617" spans="1:4" x14ac:dyDescent="0.25">
      <c r="A14617" t="str">
        <f>T("900921")</f>
        <v>900921</v>
      </c>
      <c r="B14617" t="str">
        <f>T("Appareils de photocopie à système optique (autres qu'électrostatiques)")</f>
        <v>Appareils de photocopie à système optique (autres qu'électrostatiques)</v>
      </c>
    </row>
    <row r="14618" spans="1:4" x14ac:dyDescent="0.25">
      <c r="A14618" t="str">
        <f>T("   ZZZ_Monde")</f>
        <v xml:space="preserve">   ZZZ_Monde</v>
      </c>
      <c r="B14618" t="str">
        <f>T("   ZZZ_Monde")</f>
        <v xml:space="preserve">   ZZZ_Monde</v>
      </c>
      <c r="C14618">
        <v>64279947</v>
      </c>
      <c r="D14618">
        <v>17795</v>
      </c>
    </row>
    <row r="14619" spans="1:4" x14ac:dyDescent="0.25">
      <c r="A14619" t="str">
        <f>T("   FR")</f>
        <v xml:space="preserve">   FR</v>
      </c>
      <c r="B14619" t="str">
        <f>T("   France")</f>
        <v xml:space="preserve">   France</v>
      </c>
      <c r="C14619">
        <v>59307307</v>
      </c>
      <c r="D14619">
        <v>10295</v>
      </c>
    </row>
    <row r="14620" spans="1:4" x14ac:dyDescent="0.25">
      <c r="A14620" t="str">
        <f>T("   IT")</f>
        <v xml:space="preserve">   IT</v>
      </c>
      <c r="B14620" t="str">
        <f>T("   Italie")</f>
        <v xml:space="preserve">   Italie</v>
      </c>
      <c r="C14620">
        <v>331260</v>
      </c>
      <c r="D14620">
        <v>500</v>
      </c>
    </row>
    <row r="14621" spans="1:4" x14ac:dyDescent="0.25">
      <c r="A14621" t="str">
        <f>T("   NG")</f>
        <v xml:space="preserve">   NG</v>
      </c>
      <c r="B14621" t="str">
        <f>T("   Nigéria")</f>
        <v xml:space="preserve">   Nigéria</v>
      </c>
      <c r="C14621">
        <v>4641380</v>
      </c>
      <c r="D14621">
        <v>7000</v>
      </c>
    </row>
    <row r="14622" spans="1:4" x14ac:dyDescent="0.25">
      <c r="A14622" t="str">
        <f>T("900922")</f>
        <v>900922</v>
      </c>
      <c r="B14622" t="str">
        <f>T("APPAREILS DE PHOTOCOPIE PAR CONTACT")</f>
        <v>APPAREILS DE PHOTOCOPIE PAR CONTACT</v>
      </c>
    </row>
    <row r="14623" spans="1:4" x14ac:dyDescent="0.25">
      <c r="A14623" t="str">
        <f>T("   ZZZ_Monde")</f>
        <v xml:space="preserve">   ZZZ_Monde</v>
      </c>
      <c r="B14623" t="str">
        <f>T("   ZZZ_Monde")</f>
        <v xml:space="preserve">   ZZZ_Monde</v>
      </c>
      <c r="C14623">
        <v>17247492</v>
      </c>
      <c r="D14623">
        <v>4085</v>
      </c>
    </row>
    <row r="14624" spans="1:4" x14ac:dyDescent="0.25">
      <c r="A14624" t="str">
        <f>T("   CN")</f>
        <v xml:space="preserve">   CN</v>
      </c>
      <c r="B14624" t="str">
        <f>T("   Chine")</f>
        <v xml:space="preserve">   Chine</v>
      </c>
      <c r="C14624">
        <v>568988</v>
      </c>
      <c r="D14624">
        <v>306</v>
      </c>
    </row>
    <row r="14625" spans="1:4" x14ac:dyDescent="0.25">
      <c r="A14625" t="str">
        <f>T("   FR")</f>
        <v xml:space="preserve">   FR</v>
      </c>
      <c r="B14625" t="str">
        <f>T("   France")</f>
        <v xml:space="preserve">   France</v>
      </c>
      <c r="C14625">
        <v>16678504</v>
      </c>
      <c r="D14625">
        <v>3779</v>
      </c>
    </row>
    <row r="14626" spans="1:4" x14ac:dyDescent="0.25">
      <c r="A14626" t="str">
        <f>T("900930")</f>
        <v>900930</v>
      </c>
      <c r="B14626" t="str">
        <f>T("Appareils de thermocopie (à l'excl. des imprimantes thermiques)")</f>
        <v>Appareils de thermocopie (à l'excl. des imprimantes thermiques)</v>
      </c>
    </row>
    <row r="14627" spans="1:4" x14ac:dyDescent="0.25">
      <c r="A14627" t="str">
        <f>T("   ZZZ_Monde")</f>
        <v xml:space="preserve">   ZZZ_Monde</v>
      </c>
      <c r="B14627" t="str">
        <f>T("   ZZZ_Monde")</f>
        <v xml:space="preserve">   ZZZ_Monde</v>
      </c>
      <c r="C14627">
        <v>100000</v>
      </c>
      <c r="D14627">
        <v>90</v>
      </c>
    </row>
    <row r="14628" spans="1:4" x14ac:dyDescent="0.25">
      <c r="A14628" t="str">
        <f>T("   FR")</f>
        <v xml:space="preserve">   FR</v>
      </c>
      <c r="B14628" t="str">
        <f>T("   France")</f>
        <v xml:space="preserve">   France</v>
      </c>
      <c r="C14628">
        <v>100000</v>
      </c>
      <c r="D14628">
        <v>90</v>
      </c>
    </row>
    <row r="14629" spans="1:4" x14ac:dyDescent="0.25">
      <c r="A14629" t="str">
        <f>T("900999")</f>
        <v>900999</v>
      </c>
      <c r="B14629" t="str">
        <f>T("Parties et accessoires d'appareils de photocopie et de thermocopie, n.d.a. (à l'excl. des dispositifs automatiques d'alimentation en documents, des dispositifs d'alimentation en papier et des dispositifs de tri)")</f>
        <v>Parties et accessoires d'appareils de photocopie et de thermocopie, n.d.a. (à l'excl. des dispositifs automatiques d'alimentation en documents, des dispositifs d'alimentation en papier et des dispositifs de tri)</v>
      </c>
    </row>
    <row r="14630" spans="1:4" x14ac:dyDescent="0.25">
      <c r="A14630" t="str">
        <f>T("   ZZZ_Monde")</f>
        <v xml:space="preserve">   ZZZ_Monde</v>
      </c>
      <c r="B14630" t="str">
        <f>T("   ZZZ_Monde")</f>
        <v xml:space="preserve">   ZZZ_Monde</v>
      </c>
      <c r="C14630">
        <v>55189687</v>
      </c>
      <c r="D14630">
        <v>4968</v>
      </c>
    </row>
    <row r="14631" spans="1:4" x14ac:dyDescent="0.25">
      <c r="A14631" t="str">
        <f>T("   AE")</f>
        <v xml:space="preserve">   AE</v>
      </c>
      <c r="B14631" t="str">
        <f>T("   Emirats Arabes Unis")</f>
        <v xml:space="preserve">   Emirats Arabes Unis</v>
      </c>
      <c r="C14631">
        <v>5928763</v>
      </c>
      <c r="D14631">
        <v>755</v>
      </c>
    </row>
    <row r="14632" spans="1:4" x14ac:dyDescent="0.25">
      <c r="A14632" t="str">
        <f>T("   AM")</f>
        <v xml:space="preserve">   AM</v>
      </c>
      <c r="B14632" t="str">
        <f>T("   Arménie")</f>
        <v xml:space="preserve">   Arménie</v>
      </c>
      <c r="C14632">
        <v>258624</v>
      </c>
      <c r="D14632">
        <v>51</v>
      </c>
    </row>
    <row r="14633" spans="1:4" x14ac:dyDescent="0.25">
      <c r="A14633" t="str">
        <f>T("   CN")</f>
        <v xml:space="preserve">   CN</v>
      </c>
      <c r="B14633" t="str">
        <f>T("   Chine")</f>
        <v xml:space="preserve">   Chine</v>
      </c>
      <c r="C14633">
        <v>456125</v>
      </c>
      <c r="D14633">
        <v>150</v>
      </c>
    </row>
    <row r="14634" spans="1:4" x14ac:dyDescent="0.25">
      <c r="A14634" t="str">
        <f>T("   FR")</f>
        <v xml:space="preserve">   FR</v>
      </c>
      <c r="B14634" t="str">
        <f>T("   France")</f>
        <v xml:space="preserve">   France</v>
      </c>
      <c r="C14634">
        <v>41157199</v>
      </c>
      <c r="D14634">
        <v>3216</v>
      </c>
    </row>
    <row r="14635" spans="1:4" x14ac:dyDescent="0.25">
      <c r="A14635" t="str">
        <f>T("   KW")</f>
        <v xml:space="preserve">   KW</v>
      </c>
      <c r="B14635" t="str">
        <f>T("   Koweit")</f>
        <v xml:space="preserve">   Koweit</v>
      </c>
      <c r="C14635">
        <v>300000</v>
      </c>
      <c r="D14635">
        <v>29</v>
      </c>
    </row>
    <row r="14636" spans="1:4" x14ac:dyDescent="0.25">
      <c r="A14636" t="str">
        <f>T("   LB")</f>
        <v xml:space="preserve">   LB</v>
      </c>
      <c r="B14636" t="str">
        <f>T("   Liban")</f>
        <v xml:space="preserve">   Liban</v>
      </c>
      <c r="C14636">
        <v>1313606</v>
      </c>
      <c r="D14636">
        <v>599</v>
      </c>
    </row>
    <row r="14637" spans="1:4" x14ac:dyDescent="0.25">
      <c r="A14637" t="str">
        <f>T("   NL")</f>
        <v xml:space="preserve">   NL</v>
      </c>
      <c r="B14637" t="str">
        <f>T("   Pays-bas")</f>
        <v xml:space="preserve">   Pays-bas</v>
      </c>
      <c r="C14637">
        <v>5775370</v>
      </c>
      <c r="D14637">
        <v>168</v>
      </c>
    </row>
    <row r="14638" spans="1:4" x14ac:dyDescent="0.25">
      <c r="A14638" t="str">
        <f>T("901010")</f>
        <v>901010</v>
      </c>
      <c r="B14638" t="str">
        <f>T("Appareils et matériel pour le développement automatique des pellicules photographiques, des films cinématographiques ou du papier photographique en rouleaux ou pour l'impression automatique des pellicules développées sur des rouleaux de papier photographi")</f>
        <v>Appareils et matériel pour le développement automatique des pellicules photographiques, des films cinématographiques ou du papier photographique en rouleaux ou pour l'impression automatique des pellicules développées sur des rouleaux de papier photographi</v>
      </c>
    </row>
    <row r="14639" spans="1:4" x14ac:dyDescent="0.25">
      <c r="A14639" t="str">
        <f>T("   ZZZ_Monde")</f>
        <v xml:space="preserve">   ZZZ_Monde</v>
      </c>
      <c r="B14639" t="str">
        <f>T("   ZZZ_Monde")</f>
        <v xml:space="preserve">   ZZZ_Monde</v>
      </c>
      <c r="C14639">
        <v>109769</v>
      </c>
      <c r="D14639">
        <v>285</v>
      </c>
    </row>
    <row r="14640" spans="1:4" x14ac:dyDescent="0.25">
      <c r="A14640" t="str">
        <f>T("   FR")</f>
        <v xml:space="preserve">   FR</v>
      </c>
      <c r="B14640" t="str">
        <f>T("   France")</f>
        <v xml:space="preserve">   France</v>
      </c>
      <c r="C14640">
        <v>109769</v>
      </c>
      <c r="D14640">
        <v>285</v>
      </c>
    </row>
    <row r="14641" spans="1:4" x14ac:dyDescent="0.25">
      <c r="A14641" t="str">
        <f>T("901050")</f>
        <v>901050</v>
      </c>
      <c r="B14641" t="str">
        <f>T("Appareils et matériel pour laboratoires photographiques ou cinématographiques, n.d.a.; négatoscopes")</f>
        <v>Appareils et matériel pour laboratoires photographiques ou cinématographiques, n.d.a.; négatoscopes</v>
      </c>
    </row>
    <row r="14642" spans="1:4" x14ac:dyDescent="0.25">
      <c r="A14642" t="str">
        <f>T("   ZZZ_Monde")</f>
        <v xml:space="preserve">   ZZZ_Monde</v>
      </c>
      <c r="B14642" t="str">
        <f>T("   ZZZ_Monde")</f>
        <v xml:space="preserve">   ZZZ_Monde</v>
      </c>
      <c r="C14642">
        <v>1196143</v>
      </c>
      <c r="D14642">
        <v>2060</v>
      </c>
    </row>
    <row r="14643" spans="1:4" x14ac:dyDescent="0.25">
      <c r="A14643" t="str">
        <f>T("   FR")</f>
        <v xml:space="preserve">   FR</v>
      </c>
      <c r="B14643" t="str">
        <f>T("   France")</f>
        <v xml:space="preserve">   France</v>
      </c>
      <c r="C14643">
        <v>196143</v>
      </c>
      <c r="D14643">
        <v>500</v>
      </c>
    </row>
    <row r="14644" spans="1:4" x14ac:dyDescent="0.25">
      <c r="A14644" t="str">
        <f>T("   TG")</f>
        <v xml:space="preserve">   TG</v>
      </c>
      <c r="B14644" t="str">
        <f>T("   Togo")</f>
        <v xml:space="preserve">   Togo</v>
      </c>
      <c r="C14644">
        <v>1000000</v>
      </c>
      <c r="D14644">
        <v>1560</v>
      </c>
    </row>
    <row r="14645" spans="1:4" x14ac:dyDescent="0.25">
      <c r="A14645" t="str">
        <f>T("901060")</f>
        <v>901060</v>
      </c>
      <c r="B14645" t="str">
        <f>T("ECRANS POUR PROJECTIONS")</f>
        <v>ECRANS POUR PROJECTIONS</v>
      </c>
    </row>
    <row r="14646" spans="1:4" x14ac:dyDescent="0.25">
      <c r="A14646" t="str">
        <f>T("   ZZZ_Monde")</f>
        <v xml:space="preserve">   ZZZ_Monde</v>
      </c>
      <c r="B14646" t="str">
        <f>T("   ZZZ_Monde")</f>
        <v xml:space="preserve">   ZZZ_Monde</v>
      </c>
      <c r="C14646">
        <v>347683</v>
      </c>
      <c r="D14646">
        <v>7</v>
      </c>
    </row>
    <row r="14647" spans="1:4" x14ac:dyDescent="0.25">
      <c r="A14647" t="str">
        <f>T("   FR")</f>
        <v xml:space="preserve">   FR</v>
      </c>
      <c r="B14647" t="str">
        <f>T("   France")</f>
        <v xml:space="preserve">   France</v>
      </c>
      <c r="C14647">
        <v>347683</v>
      </c>
      <c r="D14647">
        <v>7</v>
      </c>
    </row>
    <row r="14648" spans="1:4" x14ac:dyDescent="0.25">
      <c r="A14648" t="str">
        <f>T("901180")</f>
        <v>901180</v>
      </c>
      <c r="B14648" t="str">
        <f>T("Microscopes optiques (à l'excl. de ceux destinés à la photomicrographie, la cinéphotomicrographie ou la microprojection, des microscopes stéréoscopiques, des microscopes binoculaires pour l'ophtalmologie ainsi que des instruments, appareils et machines du")</f>
        <v>Microscopes optiques (à l'excl. de ceux destinés à la photomicrographie, la cinéphotomicrographie ou la microprojection, des microscopes stéréoscopiques, des microscopes binoculaires pour l'ophtalmologie ainsi que des instruments, appareils et machines du</v>
      </c>
    </row>
    <row r="14649" spans="1:4" x14ac:dyDescent="0.25">
      <c r="A14649" t="str">
        <f>T("   ZZZ_Monde")</f>
        <v xml:space="preserve">   ZZZ_Monde</v>
      </c>
      <c r="B14649" t="str">
        <f>T("   ZZZ_Monde")</f>
        <v xml:space="preserve">   ZZZ_Monde</v>
      </c>
      <c r="C14649">
        <v>4289106</v>
      </c>
      <c r="D14649">
        <v>322</v>
      </c>
    </row>
    <row r="14650" spans="1:4" x14ac:dyDescent="0.25">
      <c r="A14650" t="str">
        <f>T("   FR")</f>
        <v xml:space="preserve">   FR</v>
      </c>
      <c r="B14650" t="str">
        <f>T("   France")</f>
        <v xml:space="preserve">   France</v>
      </c>
      <c r="C14650">
        <v>2922958</v>
      </c>
      <c r="D14650">
        <v>37</v>
      </c>
    </row>
    <row r="14651" spans="1:4" x14ac:dyDescent="0.25">
      <c r="A14651" t="str">
        <f>T("   SG")</f>
        <v xml:space="preserve">   SG</v>
      </c>
      <c r="B14651" t="str">
        <f>T("   Singapour")</f>
        <v xml:space="preserve">   Singapour</v>
      </c>
      <c r="C14651">
        <v>1366148</v>
      </c>
      <c r="D14651">
        <v>285</v>
      </c>
    </row>
    <row r="14652" spans="1:4" x14ac:dyDescent="0.25">
      <c r="A14652" t="str">
        <f>T("901190")</f>
        <v>901190</v>
      </c>
      <c r="B14652" t="str">
        <f>T("Parties et accessoires de microscopes optiques, n.d.a.")</f>
        <v>Parties et accessoires de microscopes optiques, n.d.a.</v>
      </c>
    </row>
    <row r="14653" spans="1:4" x14ac:dyDescent="0.25">
      <c r="A14653" t="str">
        <f>T("   ZZZ_Monde")</f>
        <v xml:space="preserve">   ZZZ_Monde</v>
      </c>
      <c r="B14653" t="str">
        <f>T("   ZZZ_Monde")</f>
        <v xml:space="preserve">   ZZZ_Monde</v>
      </c>
      <c r="C14653">
        <v>215720</v>
      </c>
      <c r="D14653">
        <v>1669</v>
      </c>
    </row>
    <row r="14654" spans="1:4" x14ac:dyDescent="0.25">
      <c r="A14654" t="str">
        <f>T("   CH")</f>
        <v xml:space="preserve">   CH</v>
      </c>
      <c r="B14654" t="str">
        <f>T("   Suisse")</f>
        <v xml:space="preserve">   Suisse</v>
      </c>
      <c r="C14654">
        <v>215720</v>
      </c>
      <c r="D14654">
        <v>1669</v>
      </c>
    </row>
    <row r="14655" spans="1:4" x14ac:dyDescent="0.25">
      <c r="A14655" t="str">
        <f>T("901380")</f>
        <v>901380</v>
      </c>
      <c r="B14655" t="str">
        <f>T("DISPOSITIFS À CRISTAUX LIQUIDES, N.D.A., ET AUTRES APPAREILS ET INSTRUMENTS D'OPTIQUE, N.D.A. DANS LE PRÉSENT CHAPITRE")</f>
        <v>DISPOSITIFS À CRISTAUX LIQUIDES, N.D.A., ET AUTRES APPAREILS ET INSTRUMENTS D'OPTIQUE, N.D.A. DANS LE PRÉSENT CHAPITRE</v>
      </c>
    </row>
    <row r="14656" spans="1:4" x14ac:dyDescent="0.25">
      <c r="A14656" t="str">
        <f>T("   ZZZ_Monde")</f>
        <v xml:space="preserve">   ZZZ_Monde</v>
      </c>
      <c r="B14656" t="str">
        <f>T("   ZZZ_Monde")</f>
        <v xml:space="preserve">   ZZZ_Monde</v>
      </c>
      <c r="C14656">
        <v>5989428</v>
      </c>
      <c r="D14656">
        <v>1129.5</v>
      </c>
    </row>
    <row r="14657" spans="1:4" x14ac:dyDescent="0.25">
      <c r="A14657" t="str">
        <f>T("   FR")</f>
        <v xml:space="preserve">   FR</v>
      </c>
      <c r="B14657" t="str">
        <f>T("   France")</f>
        <v xml:space="preserve">   France</v>
      </c>
      <c r="C14657">
        <v>5989428</v>
      </c>
      <c r="D14657">
        <v>1129.5</v>
      </c>
    </row>
    <row r="14658" spans="1:4" x14ac:dyDescent="0.25">
      <c r="A14658" t="str">
        <f>T("901490")</f>
        <v>901490</v>
      </c>
      <c r="B14658" t="str">
        <f>T("Parties et accessoires de boussoles et d'autres instruments et appareils de navigation, n.d.a.")</f>
        <v>Parties et accessoires de boussoles et d'autres instruments et appareils de navigation, n.d.a.</v>
      </c>
    </row>
    <row r="14659" spans="1:4" x14ac:dyDescent="0.25">
      <c r="A14659" t="str">
        <f>T("   ZZZ_Monde")</f>
        <v xml:space="preserve">   ZZZ_Monde</v>
      </c>
      <c r="B14659" t="str">
        <f>T("   ZZZ_Monde")</f>
        <v xml:space="preserve">   ZZZ_Monde</v>
      </c>
      <c r="C14659">
        <v>2735164</v>
      </c>
      <c r="D14659">
        <v>21</v>
      </c>
    </row>
    <row r="14660" spans="1:4" x14ac:dyDescent="0.25">
      <c r="A14660" t="str">
        <f>T("   FR")</f>
        <v xml:space="preserve">   FR</v>
      </c>
      <c r="B14660" t="str">
        <f>T("   France")</f>
        <v xml:space="preserve">   France</v>
      </c>
      <c r="C14660">
        <v>2735164</v>
      </c>
      <c r="D14660">
        <v>21</v>
      </c>
    </row>
    <row r="14661" spans="1:4" x14ac:dyDescent="0.25">
      <c r="A14661" t="str">
        <f>T("901530")</f>
        <v>901530</v>
      </c>
      <c r="B14661" t="str">
        <f>T("Niveaux")</f>
        <v>Niveaux</v>
      </c>
    </row>
    <row r="14662" spans="1:4" x14ac:dyDescent="0.25">
      <c r="A14662" t="str">
        <f>T("   ZZZ_Monde")</f>
        <v xml:space="preserve">   ZZZ_Monde</v>
      </c>
      <c r="B14662" t="str">
        <f>T("   ZZZ_Monde")</f>
        <v xml:space="preserve">   ZZZ_Monde</v>
      </c>
      <c r="C14662">
        <v>6164652</v>
      </c>
      <c r="D14662">
        <v>5021</v>
      </c>
    </row>
    <row r="14663" spans="1:4" x14ac:dyDescent="0.25">
      <c r="A14663" t="str">
        <f>T("   AE")</f>
        <v xml:space="preserve">   AE</v>
      </c>
      <c r="B14663" t="str">
        <f>T("   Emirats Arabes Unis")</f>
        <v xml:space="preserve">   Emirats Arabes Unis</v>
      </c>
      <c r="C14663">
        <v>12238</v>
      </c>
      <c r="D14663">
        <v>1</v>
      </c>
    </row>
    <row r="14664" spans="1:4" x14ac:dyDescent="0.25">
      <c r="A14664" t="str">
        <f>T("   BE")</f>
        <v xml:space="preserve">   BE</v>
      </c>
      <c r="B14664" t="str">
        <f>T("   Belgique")</f>
        <v xml:space="preserve">   Belgique</v>
      </c>
      <c r="C14664">
        <v>4335677</v>
      </c>
      <c r="D14664">
        <v>387</v>
      </c>
    </row>
    <row r="14665" spans="1:4" x14ac:dyDescent="0.25">
      <c r="A14665" t="str">
        <f>T("   CN")</f>
        <v xml:space="preserve">   CN</v>
      </c>
      <c r="B14665" t="str">
        <f>T("   Chine")</f>
        <v xml:space="preserve">   Chine</v>
      </c>
      <c r="C14665">
        <v>1816737</v>
      </c>
      <c r="D14665">
        <v>4633</v>
      </c>
    </row>
    <row r="14666" spans="1:4" x14ac:dyDescent="0.25">
      <c r="A14666" t="str">
        <f>T("901580")</f>
        <v>901580</v>
      </c>
      <c r="B14666" t="str">
        <f>T("Instruments et appareils de géodésie, de topographie, d'arpentage, de nivellement, d'hydrographie, de météorologie, d'hydrologie, de géophysique ou d'océanographie (à l'excl. des boussoles, des télémètres, des théodolites, des tachéomètres, des niveaux ai")</f>
        <v>Instruments et appareils de géodésie, de topographie, d'arpentage, de nivellement, d'hydrographie, de météorologie, d'hydrologie, de géophysique ou d'océanographie (à l'excl. des boussoles, des télémètres, des théodolites, des tachéomètres, des niveaux ai</v>
      </c>
    </row>
    <row r="14667" spans="1:4" x14ac:dyDescent="0.25">
      <c r="A14667" t="str">
        <f>T("   ZZZ_Monde")</f>
        <v xml:space="preserve">   ZZZ_Monde</v>
      </c>
      <c r="B14667" t="str">
        <f>T("   ZZZ_Monde")</f>
        <v xml:space="preserve">   ZZZ_Monde</v>
      </c>
      <c r="C14667">
        <v>181246704</v>
      </c>
      <c r="D14667">
        <v>24323</v>
      </c>
    </row>
    <row r="14668" spans="1:4" x14ac:dyDescent="0.25">
      <c r="A14668" t="str">
        <f>T("   BE")</f>
        <v xml:space="preserve">   BE</v>
      </c>
      <c r="B14668" t="str">
        <f>T("   Belgique")</f>
        <v xml:space="preserve">   Belgique</v>
      </c>
      <c r="C14668">
        <v>1075774</v>
      </c>
      <c r="D14668">
        <v>900</v>
      </c>
    </row>
    <row r="14669" spans="1:4" x14ac:dyDescent="0.25">
      <c r="A14669" t="str">
        <f>T("   CH")</f>
        <v xml:space="preserve">   CH</v>
      </c>
      <c r="B14669" t="str">
        <f>T("   Suisse")</f>
        <v xml:space="preserve">   Suisse</v>
      </c>
      <c r="C14669">
        <v>709758</v>
      </c>
      <c r="D14669">
        <v>29</v>
      </c>
    </row>
    <row r="14670" spans="1:4" x14ac:dyDescent="0.25">
      <c r="A14670" t="str">
        <f>T("   CN")</f>
        <v xml:space="preserve">   CN</v>
      </c>
      <c r="B14670" t="str">
        <f>T("   Chine")</f>
        <v xml:space="preserve">   Chine</v>
      </c>
      <c r="C14670">
        <v>17713819</v>
      </c>
      <c r="D14670">
        <v>3741</v>
      </c>
    </row>
    <row r="14671" spans="1:4" x14ac:dyDescent="0.25">
      <c r="A14671" t="str">
        <f>T("   FR")</f>
        <v xml:space="preserve">   FR</v>
      </c>
      <c r="B14671" t="str">
        <f>T("   France")</f>
        <v xml:space="preserve">   France</v>
      </c>
      <c r="C14671">
        <v>100005207</v>
      </c>
      <c r="D14671">
        <v>948</v>
      </c>
    </row>
    <row r="14672" spans="1:4" x14ac:dyDescent="0.25">
      <c r="A14672" t="str">
        <f>T("   GA")</f>
        <v xml:space="preserve">   GA</v>
      </c>
      <c r="B14672" t="str">
        <f>T("   Gabon")</f>
        <v xml:space="preserve">   Gabon</v>
      </c>
      <c r="C14672">
        <v>500000</v>
      </c>
      <c r="D14672">
        <v>16800</v>
      </c>
    </row>
    <row r="14673" spans="1:4" x14ac:dyDescent="0.25">
      <c r="A14673" t="str">
        <f>T("   HR")</f>
        <v xml:space="preserve">   HR</v>
      </c>
      <c r="B14673" t="str">
        <f>T("   Croatie")</f>
        <v xml:space="preserve">   Croatie</v>
      </c>
      <c r="C14673">
        <v>2980243</v>
      </c>
      <c r="D14673">
        <v>120</v>
      </c>
    </row>
    <row r="14674" spans="1:4" x14ac:dyDescent="0.25">
      <c r="A14674" t="str">
        <f>T("   NL")</f>
        <v xml:space="preserve">   NL</v>
      </c>
      <c r="B14674" t="str">
        <f>T("   Pays-bas")</f>
        <v xml:space="preserve">   Pays-bas</v>
      </c>
      <c r="C14674">
        <v>51689174</v>
      </c>
      <c r="D14674">
        <v>1631</v>
      </c>
    </row>
    <row r="14675" spans="1:4" x14ac:dyDescent="0.25">
      <c r="A14675" t="str">
        <f>T("   SN")</f>
        <v xml:space="preserve">   SN</v>
      </c>
      <c r="B14675" t="str">
        <f>T("   Sénégal")</f>
        <v xml:space="preserve">   Sénégal</v>
      </c>
      <c r="C14675">
        <v>160100</v>
      </c>
      <c r="D14675">
        <v>1</v>
      </c>
    </row>
    <row r="14676" spans="1:4" x14ac:dyDescent="0.25">
      <c r="A14676" t="str">
        <f>T("   TV")</f>
        <v xml:space="preserve">   TV</v>
      </c>
      <c r="B14676" t="str">
        <f>T("   Tuvalu")</f>
        <v xml:space="preserve">   Tuvalu</v>
      </c>
      <c r="C14676">
        <v>300000</v>
      </c>
      <c r="D14676">
        <v>47</v>
      </c>
    </row>
    <row r="14677" spans="1:4" x14ac:dyDescent="0.25">
      <c r="A14677" t="str">
        <f>T("   US")</f>
        <v xml:space="preserve">   US</v>
      </c>
      <c r="B14677" t="str">
        <f>T("   Etats-Unis")</f>
        <v xml:space="preserve">   Etats-Unis</v>
      </c>
      <c r="C14677">
        <v>6112629</v>
      </c>
      <c r="D14677">
        <v>106</v>
      </c>
    </row>
    <row r="14678" spans="1:4" x14ac:dyDescent="0.25">
      <c r="A14678" t="str">
        <f>T("901590")</f>
        <v>901590</v>
      </c>
      <c r="B14678" t="str">
        <f>T("Parties et accessoires des instruments et appareils de géodésie, de topographie, d'arpentage, de nivellement, de photogrammétrie, d'hydrographie, d'océanographie, d'hydrologie, de météorologie ou de géophysique ainsi que des télémètres, n.d.a.")</f>
        <v>Parties et accessoires des instruments et appareils de géodésie, de topographie, d'arpentage, de nivellement, de photogrammétrie, d'hydrographie, d'océanographie, d'hydrologie, de météorologie ou de géophysique ainsi que des télémètres, n.d.a.</v>
      </c>
    </row>
    <row r="14679" spans="1:4" x14ac:dyDescent="0.25">
      <c r="A14679" t="str">
        <f>T("   ZZZ_Monde")</f>
        <v xml:space="preserve">   ZZZ_Monde</v>
      </c>
      <c r="B14679" t="str">
        <f>T("   ZZZ_Monde")</f>
        <v xml:space="preserve">   ZZZ_Monde</v>
      </c>
      <c r="C14679">
        <v>13129561</v>
      </c>
      <c r="D14679">
        <v>963</v>
      </c>
    </row>
    <row r="14680" spans="1:4" x14ac:dyDescent="0.25">
      <c r="A14680" t="str">
        <f>T("   FR")</f>
        <v xml:space="preserve">   FR</v>
      </c>
      <c r="B14680" t="str">
        <f>T("   France")</f>
        <v xml:space="preserve">   France</v>
      </c>
      <c r="C14680">
        <v>11073035</v>
      </c>
      <c r="D14680">
        <v>661</v>
      </c>
    </row>
    <row r="14681" spans="1:4" x14ac:dyDescent="0.25">
      <c r="A14681" t="str">
        <f>T("   NL")</f>
        <v xml:space="preserve">   NL</v>
      </c>
      <c r="B14681" t="str">
        <f>T("   Pays-bas")</f>
        <v xml:space="preserve">   Pays-bas</v>
      </c>
      <c r="C14681">
        <v>2056526</v>
      </c>
      <c r="D14681">
        <v>302</v>
      </c>
    </row>
    <row r="14682" spans="1:4" x14ac:dyDescent="0.25">
      <c r="A14682" t="str">
        <f>T("901600")</f>
        <v>901600</v>
      </c>
      <c r="B14682" t="str">
        <f>T("Balances sensibles à un poids de 5 cg ou moins, avec ou sans poids")</f>
        <v>Balances sensibles à un poids de 5 cg ou moins, avec ou sans poids</v>
      </c>
    </row>
    <row r="14683" spans="1:4" x14ac:dyDescent="0.25">
      <c r="A14683" t="str">
        <f>T("   ZZZ_Monde")</f>
        <v xml:space="preserve">   ZZZ_Monde</v>
      </c>
      <c r="B14683" t="str">
        <f>T("   ZZZ_Monde")</f>
        <v xml:space="preserve">   ZZZ_Monde</v>
      </c>
      <c r="C14683">
        <v>9549300</v>
      </c>
      <c r="D14683">
        <v>3269</v>
      </c>
    </row>
    <row r="14684" spans="1:4" x14ac:dyDescent="0.25">
      <c r="A14684" t="str">
        <f>T("   BE")</f>
        <v xml:space="preserve">   BE</v>
      </c>
      <c r="B14684" t="str">
        <f>T("   Belgique")</f>
        <v xml:space="preserve">   Belgique</v>
      </c>
      <c r="C14684">
        <v>411129</v>
      </c>
      <c r="D14684">
        <v>10</v>
      </c>
    </row>
    <row r="14685" spans="1:4" x14ac:dyDescent="0.25">
      <c r="A14685" t="str">
        <f>T("   CN")</f>
        <v xml:space="preserve">   CN</v>
      </c>
      <c r="B14685" t="str">
        <f>T("   Chine")</f>
        <v xml:space="preserve">   Chine</v>
      </c>
      <c r="C14685">
        <v>454242</v>
      </c>
      <c r="D14685">
        <v>1298</v>
      </c>
    </row>
    <row r="14686" spans="1:4" x14ac:dyDescent="0.25">
      <c r="A14686" t="str">
        <f>T("   FR")</f>
        <v xml:space="preserve">   FR</v>
      </c>
      <c r="B14686" t="str">
        <f>T("   France")</f>
        <v xml:space="preserve">   France</v>
      </c>
      <c r="C14686">
        <v>1183929</v>
      </c>
      <c r="D14686">
        <v>461</v>
      </c>
    </row>
    <row r="14687" spans="1:4" x14ac:dyDescent="0.25">
      <c r="A14687" t="str">
        <f>T("   TN")</f>
        <v xml:space="preserve">   TN</v>
      </c>
      <c r="B14687" t="str">
        <f>T("   Tunisie")</f>
        <v xml:space="preserve">   Tunisie</v>
      </c>
      <c r="C14687">
        <v>7500000</v>
      </c>
      <c r="D14687">
        <v>1500</v>
      </c>
    </row>
    <row r="14688" spans="1:4" x14ac:dyDescent="0.25">
      <c r="A14688" t="str">
        <f>T("901720")</f>
        <v>901720</v>
      </c>
      <c r="B14688" t="str">
        <f>T("Instruments de dessin, de traçage et de calcul (sauf tables et machines à dessiner ainsi que calculatrices)")</f>
        <v>Instruments de dessin, de traçage et de calcul (sauf tables et machines à dessiner ainsi que calculatrices)</v>
      </c>
    </row>
    <row r="14689" spans="1:4" x14ac:dyDescent="0.25">
      <c r="A14689" t="str">
        <f>T("   ZZZ_Monde")</f>
        <v xml:space="preserve">   ZZZ_Monde</v>
      </c>
      <c r="B14689" t="str">
        <f>T("   ZZZ_Monde")</f>
        <v xml:space="preserve">   ZZZ_Monde</v>
      </c>
      <c r="C14689">
        <v>177755453</v>
      </c>
      <c r="D14689">
        <v>220854.8</v>
      </c>
    </row>
    <row r="14690" spans="1:4" x14ac:dyDescent="0.25">
      <c r="A14690" t="str">
        <f>T("   CN")</f>
        <v xml:space="preserve">   CN</v>
      </c>
      <c r="B14690" t="str">
        <f>T("   Chine")</f>
        <v xml:space="preserve">   Chine</v>
      </c>
      <c r="C14690">
        <v>34922293</v>
      </c>
      <c r="D14690">
        <v>56585</v>
      </c>
    </row>
    <row r="14691" spans="1:4" x14ac:dyDescent="0.25">
      <c r="A14691" t="str">
        <f>T("   FR")</f>
        <v xml:space="preserve">   FR</v>
      </c>
      <c r="B14691" t="str">
        <f>T("   France")</f>
        <v xml:space="preserve">   France</v>
      </c>
      <c r="C14691">
        <v>8354955</v>
      </c>
      <c r="D14691">
        <v>5056.8</v>
      </c>
    </row>
    <row r="14692" spans="1:4" x14ac:dyDescent="0.25">
      <c r="A14692" t="str">
        <f>T("   SG")</f>
        <v xml:space="preserve">   SG</v>
      </c>
      <c r="B14692" t="str">
        <f>T("   Singapour")</f>
        <v xml:space="preserve">   Singapour</v>
      </c>
      <c r="C14692">
        <v>133111743</v>
      </c>
      <c r="D14692">
        <v>159205</v>
      </c>
    </row>
    <row r="14693" spans="1:4" x14ac:dyDescent="0.25">
      <c r="A14693" t="str">
        <f>T("   US")</f>
        <v xml:space="preserve">   US</v>
      </c>
      <c r="B14693" t="str">
        <f>T("   Etats-Unis")</f>
        <v xml:space="preserve">   Etats-Unis</v>
      </c>
      <c r="C14693">
        <v>1366462</v>
      </c>
      <c r="D14693">
        <v>8</v>
      </c>
    </row>
    <row r="14694" spans="1:4" x14ac:dyDescent="0.25">
      <c r="A14694" t="str">
        <f>T("901730")</f>
        <v>901730</v>
      </c>
      <c r="B14694" t="str">
        <f>T("Micromètres, pieds à coulisses, calibres et jauges")</f>
        <v>Micromètres, pieds à coulisses, calibres et jauges</v>
      </c>
    </row>
    <row r="14695" spans="1:4" x14ac:dyDescent="0.25">
      <c r="A14695" t="str">
        <f>T("   ZZZ_Monde")</f>
        <v xml:space="preserve">   ZZZ_Monde</v>
      </c>
      <c r="B14695" t="str">
        <f>T("   ZZZ_Monde")</f>
        <v xml:space="preserve">   ZZZ_Monde</v>
      </c>
      <c r="C14695">
        <v>7429763</v>
      </c>
      <c r="D14695">
        <v>445</v>
      </c>
    </row>
    <row r="14696" spans="1:4" x14ac:dyDescent="0.25">
      <c r="A14696" t="str">
        <f>T("   BE")</f>
        <v xml:space="preserve">   BE</v>
      </c>
      <c r="B14696" t="str">
        <f>T("   Belgique")</f>
        <v xml:space="preserve">   Belgique</v>
      </c>
      <c r="C14696">
        <v>81655</v>
      </c>
      <c r="D14696">
        <v>2</v>
      </c>
    </row>
    <row r="14697" spans="1:4" x14ac:dyDescent="0.25">
      <c r="A14697" t="str">
        <f>T("   FR")</f>
        <v xml:space="preserve">   FR</v>
      </c>
      <c r="B14697" t="str">
        <f>T("   France")</f>
        <v xml:space="preserve">   France</v>
      </c>
      <c r="C14697">
        <v>7348108</v>
      </c>
      <c r="D14697">
        <v>443</v>
      </c>
    </row>
    <row r="14698" spans="1:4" x14ac:dyDescent="0.25">
      <c r="A14698" t="str">
        <f>T("901780")</f>
        <v>901780</v>
      </c>
      <c r="B14698" t="str">
        <f>T("Instruments de mesure de longueurs, pour emploi à la main, n.d.a.")</f>
        <v>Instruments de mesure de longueurs, pour emploi à la main, n.d.a.</v>
      </c>
    </row>
    <row r="14699" spans="1:4" x14ac:dyDescent="0.25">
      <c r="A14699" t="str">
        <f>T("   ZZZ_Monde")</f>
        <v xml:space="preserve">   ZZZ_Monde</v>
      </c>
      <c r="B14699" t="str">
        <f>T("   ZZZ_Monde")</f>
        <v xml:space="preserve">   ZZZ_Monde</v>
      </c>
      <c r="C14699">
        <v>13128876</v>
      </c>
      <c r="D14699">
        <v>16128.7</v>
      </c>
    </row>
    <row r="14700" spans="1:4" x14ac:dyDescent="0.25">
      <c r="A14700" t="str">
        <f>T("   BE")</f>
        <v xml:space="preserve">   BE</v>
      </c>
      <c r="B14700" t="str">
        <f>T("   Belgique")</f>
        <v xml:space="preserve">   Belgique</v>
      </c>
      <c r="C14700">
        <v>1746087</v>
      </c>
      <c r="D14700">
        <v>949</v>
      </c>
    </row>
    <row r="14701" spans="1:4" x14ac:dyDescent="0.25">
      <c r="A14701" t="str">
        <f>T("   CH")</f>
        <v xml:space="preserve">   CH</v>
      </c>
      <c r="B14701" t="str">
        <f>T("   Suisse")</f>
        <v xml:space="preserve">   Suisse</v>
      </c>
      <c r="C14701">
        <v>123694</v>
      </c>
      <c r="D14701">
        <v>20</v>
      </c>
    </row>
    <row r="14702" spans="1:4" x14ac:dyDescent="0.25">
      <c r="A14702" t="str">
        <f>T("   CN")</f>
        <v xml:space="preserve">   CN</v>
      </c>
      <c r="B14702" t="str">
        <f>T("   Chine")</f>
        <v xml:space="preserve">   Chine</v>
      </c>
      <c r="C14702">
        <v>5040392</v>
      </c>
      <c r="D14702">
        <v>9096</v>
      </c>
    </row>
    <row r="14703" spans="1:4" x14ac:dyDescent="0.25">
      <c r="A14703" t="str">
        <f>T("   ES")</f>
        <v xml:space="preserve">   ES</v>
      </c>
      <c r="B14703" t="str">
        <f>T("   Espagne")</f>
        <v xml:space="preserve">   Espagne</v>
      </c>
      <c r="C14703">
        <v>512961</v>
      </c>
      <c r="D14703">
        <v>75</v>
      </c>
    </row>
    <row r="14704" spans="1:4" x14ac:dyDescent="0.25">
      <c r="A14704" t="str">
        <f>T("   FR")</f>
        <v xml:space="preserve">   FR</v>
      </c>
      <c r="B14704" t="str">
        <f>T("   France")</f>
        <v xml:space="preserve">   France</v>
      </c>
      <c r="C14704">
        <v>3889141</v>
      </c>
      <c r="D14704">
        <v>1730.2</v>
      </c>
    </row>
    <row r="14705" spans="1:4" x14ac:dyDescent="0.25">
      <c r="A14705" t="str">
        <f>T("   NL")</f>
        <v xml:space="preserve">   NL</v>
      </c>
      <c r="B14705" t="str">
        <f>T("   Pays-bas")</f>
        <v xml:space="preserve">   Pays-bas</v>
      </c>
      <c r="C14705">
        <v>465732</v>
      </c>
      <c r="D14705">
        <v>8.5</v>
      </c>
    </row>
    <row r="14706" spans="1:4" x14ac:dyDescent="0.25">
      <c r="A14706" t="str">
        <f>T("   SG")</f>
        <v xml:space="preserve">   SG</v>
      </c>
      <c r="B14706" t="str">
        <f>T("   Singapour")</f>
        <v xml:space="preserve">   Singapour</v>
      </c>
      <c r="C14706">
        <v>966144</v>
      </c>
      <c r="D14706">
        <v>1000</v>
      </c>
    </row>
    <row r="14707" spans="1:4" x14ac:dyDescent="0.25">
      <c r="A14707" t="str">
        <f>T("   TG")</f>
        <v xml:space="preserve">   TG</v>
      </c>
      <c r="B14707" t="str">
        <f>T("   Togo")</f>
        <v xml:space="preserve">   Togo</v>
      </c>
      <c r="C14707">
        <v>384725</v>
      </c>
      <c r="D14707">
        <v>3250</v>
      </c>
    </row>
    <row r="14708" spans="1:4" x14ac:dyDescent="0.25">
      <c r="A14708" t="str">
        <f>T("901811")</f>
        <v>901811</v>
      </c>
      <c r="B14708" t="str">
        <f>T("ÉLECTROCARDIOGRAPHES")</f>
        <v>ÉLECTROCARDIOGRAPHES</v>
      </c>
    </row>
    <row r="14709" spans="1:4" x14ac:dyDescent="0.25">
      <c r="A14709" t="str">
        <f>T("   ZZZ_Monde")</f>
        <v xml:space="preserve">   ZZZ_Monde</v>
      </c>
      <c r="B14709" t="str">
        <f>T("   ZZZ_Monde")</f>
        <v xml:space="preserve">   ZZZ_Monde</v>
      </c>
      <c r="C14709">
        <v>34110</v>
      </c>
      <c r="D14709">
        <v>500</v>
      </c>
    </row>
    <row r="14710" spans="1:4" x14ac:dyDescent="0.25">
      <c r="A14710" t="str">
        <f>T("   FR")</f>
        <v xml:space="preserve">   FR</v>
      </c>
      <c r="B14710" t="str">
        <f>T("   France")</f>
        <v xml:space="preserve">   France</v>
      </c>
      <c r="C14710">
        <v>34110</v>
      </c>
      <c r="D14710">
        <v>500</v>
      </c>
    </row>
    <row r="14711" spans="1:4" x14ac:dyDescent="0.25">
      <c r="A14711" t="str">
        <f>T("901812")</f>
        <v>901812</v>
      </c>
      <c r="B14711" t="str">
        <f>T("Appareils de diagnostic par balayage ultrasonique [scanners]")</f>
        <v>Appareils de diagnostic par balayage ultrasonique [scanners]</v>
      </c>
    </row>
    <row r="14712" spans="1:4" x14ac:dyDescent="0.25">
      <c r="A14712" t="str">
        <f>T("   ZZZ_Monde")</f>
        <v xml:space="preserve">   ZZZ_Monde</v>
      </c>
      <c r="B14712" t="str">
        <f>T("   ZZZ_Monde")</f>
        <v xml:space="preserve">   ZZZ_Monde</v>
      </c>
      <c r="C14712">
        <v>18265408</v>
      </c>
      <c r="D14712">
        <v>1083</v>
      </c>
    </row>
    <row r="14713" spans="1:4" x14ac:dyDescent="0.25">
      <c r="A14713" t="str">
        <f>T("   CN")</f>
        <v xml:space="preserve">   CN</v>
      </c>
      <c r="B14713" t="str">
        <f>T("   Chine")</f>
        <v xml:space="preserve">   Chine</v>
      </c>
      <c r="C14713">
        <v>10554951</v>
      </c>
      <c r="D14713">
        <v>214</v>
      </c>
    </row>
    <row r="14714" spans="1:4" x14ac:dyDescent="0.25">
      <c r="A14714" t="str">
        <f>T("   FR")</f>
        <v xml:space="preserve">   FR</v>
      </c>
      <c r="B14714" t="str">
        <f>T("   France")</f>
        <v xml:space="preserve">   France</v>
      </c>
      <c r="C14714">
        <v>360000</v>
      </c>
      <c r="D14714">
        <v>45</v>
      </c>
    </row>
    <row r="14715" spans="1:4" x14ac:dyDescent="0.25">
      <c r="A14715" t="str">
        <f>T("   HK")</f>
        <v xml:space="preserve">   HK</v>
      </c>
      <c r="B14715" t="str">
        <f>T("   Hong-Kong")</f>
        <v xml:space="preserve">   Hong-Kong</v>
      </c>
      <c r="C14715">
        <v>6650738</v>
      </c>
      <c r="D14715">
        <v>744</v>
      </c>
    </row>
    <row r="14716" spans="1:4" x14ac:dyDescent="0.25">
      <c r="A14716" t="str">
        <f>T("   TG")</f>
        <v xml:space="preserve">   TG</v>
      </c>
      <c r="B14716" t="str">
        <f>T("   Togo")</f>
        <v xml:space="preserve">   Togo</v>
      </c>
      <c r="C14716">
        <v>699719</v>
      </c>
      <c r="D14716">
        <v>80</v>
      </c>
    </row>
    <row r="14717" spans="1:4" x14ac:dyDescent="0.25">
      <c r="A14717" t="str">
        <f>T("901819")</f>
        <v>901819</v>
      </c>
      <c r="B14717" t="str">
        <f>T("Appareils d'électrodiagnostic, y.c. les appareils d'exploration fonctionnelle ou de surveillance de paramètres physiologiques (sauf électrocardiographes, appareils de diagnostic par balayage ultrasonique [scanners], appareils de diagnostic par visualisati")</f>
        <v>Appareils d'électrodiagnostic, y.c. les appareils d'exploration fonctionnelle ou de surveillance de paramètres physiologiques (sauf électrocardiographes, appareils de diagnostic par balayage ultrasonique [scanners], appareils de diagnostic par visualisati</v>
      </c>
    </row>
    <row r="14718" spans="1:4" x14ac:dyDescent="0.25">
      <c r="A14718" t="str">
        <f>T("   ZZZ_Monde")</f>
        <v xml:space="preserve">   ZZZ_Monde</v>
      </c>
      <c r="B14718" t="str">
        <f>T("   ZZZ_Monde")</f>
        <v xml:space="preserve">   ZZZ_Monde</v>
      </c>
      <c r="C14718">
        <v>49907939</v>
      </c>
      <c r="D14718">
        <v>5621</v>
      </c>
    </row>
    <row r="14719" spans="1:4" x14ac:dyDescent="0.25">
      <c r="A14719" t="str">
        <f>T("   CH")</f>
        <v xml:space="preserve">   CH</v>
      </c>
      <c r="B14719" t="str">
        <f>T("   Suisse")</f>
        <v xml:space="preserve">   Suisse</v>
      </c>
      <c r="C14719">
        <v>2107223</v>
      </c>
      <c r="D14719">
        <v>150</v>
      </c>
    </row>
    <row r="14720" spans="1:4" x14ac:dyDescent="0.25">
      <c r="A14720" t="str">
        <f>T("   CN")</f>
        <v xml:space="preserve">   CN</v>
      </c>
      <c r="B14720" t="str">
        <f>T("   Chine")</f>
        <v xml:space="preserve">   Chine</v>
      </c>
      <c r="C14720">
        <v>698341</v>
      </c>
      <c r="D14720">
        <v>900</v>
      </c>
    </row>
    <row r="14721" spans="1:4" x14ac:dyDescent="0.25">
      <c r="A14721" t="str">
        <f>T("   FR")</f>
        <v xml:space="preserve">   FR</v>
      </c>
      <c r="B14721" t="str">
        <f>T("   France")</f>
        <v xml:space="preserve">   France</v>
      </c>
      <c r="C14721">
        <v>34472225</v>
      </c>
      <c r="D14721">
        <v>3034</v>
      </c>
    </row>
    <row r="14722" spans="1:4" x14ac:dyDescent="0.25">
      <c r="A14722" t="str">
        <f>T("   IN")</f>
        <v xml:space="preserve">   IN</v>
      </c>
      <c r="B14722" t="str">
        <f>T("   Inde")</f>
        <v xml:space="preserve">   Inde</v>
      </c>
      <c r="C14722">
        <v>6291969</v>
      </c>
      <c r="D14722">
        <v>760</v>
      </c>
    </row>
    <row r="14723" spans="1:4" x14ac:dyDescent="0.25">
      <c r="A14723" t="str">
        <f>T("   TR")</f>
        <v xml:space="preserve">   TR</v>
      </c>
      <c r="B14723" t="str">
        <f>T("   Turquie")</f>
        <v xml:space="preserve">   Turquie</v>
      </c>
      <c r="C14723">
        <v>3403121</v>
      </c>
      <c r="D14723">
        <v>728</v>
      </c>
    </row>
    <row r="14724" spans="1:4" x14ac:dyDescent="0.25">
      <c r="A14724" t="str">
        <f>T("   US")</f>
        <v xml:space="preserve">   US</v>
      </c>
      <c r="B14724" t="str">
        <f>T("   Etats-Unis")</f>
        <v xml:space="preserve">   Etats-Unis</v>
      </c>
      <c r="C14724">
        <v>2935060</v>
      </c>
      <c r="D14724">
        <v>49</v>
      </c>
    </row>
    <row r="14725" spans="1:4" x14ac:dyDescent="0.25">
      <c r="A14725" t="str">
        <f>T("901820")</f>
        <v>901820</v>
      </c>
      <c r="B14725" t="str">
        <f>T("Appareils à rayons ultraviolets ou infrarouges, pour la médecine")</f>
        <v>Appareils à rayons ultraviolets ou infrarouges, pour la médecine</v>
      </c>
    </row>
    <row r="14726" spans="1:4" x14ac:dyDescent="0.25">
      <c r="A14726" t="str">
        <f>T("   ZZZ_Monde")</f>
        <v xml:space="preserve">   ZZZ_Monde</v>
      </c>
      <c r="B14726" t="str">
        <f>T("   ZZZ_Monde")</f>
        <v xml:space="preserve">   ZZZ_Monde</v>
      </c>
      <c r="C14726">
        <v>885000</v>
      </c>
      <c r="D14726">
        <v>1180</v>
      </c>
    </row>
    <row r="14727" spans="1:4" x14ac:dyDescent="0.25">
      <c r="A14727" t="str">
        <f>T("   TG")</f>
        <v xml:space="preserve">   TG</v>
      </c>
      <c r="B14727" t="str">
        <f>T("   Togo")</f>
        <v xml:space="preserve">   Togo</v>
      </c>
      <c r="C14727">
        <v>885000</v>
      </c>
      <c r="D14727">
        <v>1180</v>
      </c>
    </row>
    <row r="14728" spans="1:4" x14ac:dyDescent="0.25">
      <c r="A14728" t="str">
        <f>T("901831")</f>
        <v>901831</v>
      </c>
      <c r="B14728" t="str">
        <f>T("Seringues, avec ou sans aiguilles, pour la médecine")</f>
        <v>Seringues, avec ou sans aiguilles, pour la médecine</v>
      </c>
    </row>
    <row r="14729" spans="1:4" x14ac:dyDescent="0.25">
      <c r="A14729" t="str">
        <f>T("   ZZZ_Monde")</f>
        <v xml:space="preserve">   ZZZ_Monde</v>
      </c>
      <c r="B14729" t="str">
        <f>T("   ZZZ_Monde")</f>
        <v xml:space="preserve">   ZZZ_Monde</v>
      </c>
      <c r="C14729">
        <v>81225903</v>
      </c>
      <c r="D14729">
        <v>57393</v>
      </c>
    </row>
    <row r="14730" spans="1:4" x14ac:dyDescent="0.25">
      <c r="A14730" t="str">
        <f>T("   BE")</f>
        <v xml:space="preserve">   BE</v>
      </c>
      <c r="B14730" t="str">
        <f>T("   Belgique")</f>
        <v xml:space="preserve">   Belgique</v>
      </c>
      <c r="C14730">
        <v>710844</v>
      </c>
      <c r="D14730">
        <v>85</v>
      </c>
    </row>
    <row r="14731" spans="1:4" x14ac:dyDescent="0.25">
      <c r="A14731" t="str">
        <f>T("   CN")</f>
        <v xml:space="preserve">   CN</v>
      </c>
      <c r="B14731" t="str">
        <f>T("   Chine")</f>
        <v xml:space="preserve">   Chine</v>
      </c>
      <c r="C14731">
        <v>52257802</v>
      </c>
      <c r="D14731">
        <v>49950</v>
      </c>
    </row>
    <row r="14732" spans="1:4" x14ac:dyDescent="0.25">
      <c r="A14732" t="str">
        <f>T("   DE")</f>
        <v xml:space="preserve">   DE</v>
      </c>
      <c r="B14732" t="str">
        <f>T("   Allemagne")</f>
        <v xml:space="preserve">   Allemagne</v>
      </c>
      <c r="C14732">
        <v>2061308</v>
      </c>
      <c r="D14732">
        <v>178</v>
      </c>
    </row>
    <row r="14733" spans="1:4" x14ac:dyDescent="0.25">
      <c r="A14733" t="str">
        <f>T("   DK")</f>
        <v xml:space="preserve">   DK</v>
      </c>
      <c r="B14733" t="str">
        <f>T("   Danemark")</f>
        <v xml:space="preserve">   Danemark</v>
      </c>
      <c r="C14733">
        <v>3795185</v>
      </c>
      <c r="D14733">
        <v>533</v>
      </c>
    </row>
    <row r="14734" spans="1:4" x14ac:dyDescent="0.25">
      <c r="A14734" t="str">
        <f>T("   FR")</f>
        <v xml:space="preserve">   FR</v>
      </c>
      <c r="B14734" t="str">
        <f>T("   France")</f>
        <v xml:space="preserve">   France</v>
      </c>
      <c r="C14734">
        <v>18379134</v>
      </c>
      <c r="D14734">
        <v>4142</v>
      </c>
    </row>
    <row r="14735" spans="1:4" x14ac:dyDescent="0.25">
      <c r="A14735" t="str">
        <f>T("   NG")</f>
        <v xml:space="preserve">   NG</v>
      </c>
      <c r="B14735" t="str">
        <f>T("   Nigéria")</f>
        <v xml:space="preserve">   Nigéria</v>
      </c>
      <c r="C14735">
        <v>525000</v>
      </c>
      <c r="D14735">
        <v>525</v>
      </c>
    </row>
    <row r="14736" spans="1:4" x14ac:dyDescent="0.25">
      <c r="A14736" t="str">
        <f>T("   NL")</f>
        <v xml:space="preserve">   NL</v>
      </c>
      <c r="B14736" t="str">
        <f>T("   Pays-bas")</f>
        <v xml:space="preserve">   Pays-bas</v>
      </c>
      <c r="C14736">
        <v>1855055</v>
      </c>
      <c r="D14736">
        <v>213</v>
      </c>
    </row>
    <row r="14737" spans="1:4" x14ac:dyDescent="0.25">
      <c r="A14737" t="str">
        <f>T("   US")</f>
        <v xml:space="preserve">   US</v>
      </c>
      <c r="B14737" t="str">
        <f>T("   Etats-Unis")</f>
        <v xml:space="preserve">   Etats-Unis</v>
      </c>
      <c r="C14737">
        <v>1641575</v>
      </c>
      <c r="D14737">
        <v>1767</v>
      </c>
    </row>
    <row r="14738" spans="1:4" x14ac:dyDescent="0.25">
      <c r="A14738" t="str">
        <f>T("901832")</f>
        <v>901832</v>
      </c>
      <c r="B14738" t="str">
        <f>T("Aiguilles tubulaires en métal et aiguilles à sutures, pour la médecine")</f>
        <v>Aiguilles tubulaires en métal et aiguilles à sutures, pour la médecine</v>
      </c>
    </row>
    <row r="14739" spans="1:4" x14ac:dyDescent="0.25">
      <c r="A14739" t="str">
        <f>T("   ZZZ_Monde")</f>
        <v xml:space="preserve">   ZZZ_Monde</v>
      </c>
      <c r="B14739" t="str">
        <f>T("   ZZZ_Monde")</f>
        <v xml:space="preserve">   ZZZ_Monde</v>
      </c>
      <c r="C14739">
        <v>7712882</v>
      </c>
      <c r="D14739">
        <v>1557</v>
      </c>
    </row>
    <row r="14740" spans="1:4" x14ac:dyDescent="0.25">
      <c r="A14740" t="str">
        <f>T("   FR")</f>
        <v xml:space="preserve">   FR</v>
      </c>
      <c r="B14740" t="str">
        <f>T("   France")</f>
        <v xml:space="preserve">   France</v>
      </c>
      <c r="C14740">
        <v>7305531</v>
      </c>
      <c r="D14740">
        <v>1455</v>
      </c>
    </row>
    <row r="14741" spans="1:4" x14ac:dyDescent="0.25">
      <c r="A14741" t="str">
        <f>T("   LU")</f>
        <v xml:space="preserve">   LU</v>
      </c>
      <c r="B14741" t="str">
        <f>T("   Luxembourg")</f>
        <v xml:space="preserve">   Luxembourg</v>
      </c>
      <c r="C14741">
        <v>407351</v>
      </c>
      <c r="D14741">
        <v>102</v>
      </c>
    </row>
    <row r="14742" spans="1:4" x14ac:dyDescent="0.25">
      <c r="A14742" t="str">
        <f>T("901839")</f>
        <v>901839</v>
      </c>
      <c r="B14742" t="str">
        <f>T("AIGUILLES, CTHEÉTERS, CANULES ET SIMIL. POUR LA MÉDECINE (SAUF SERINGUES, AIGUILLES TUBULAIRES EN MÉTAL ET AIGUILLES À SUTURES)")</f>
        <v>AIGUILLES, CTHEÉTERS, CANULES ET SIMIL. POUR LA MÉDECINE (SAUF SERINGUES, AIGUILLES TUBULAIRES EN MÉTAL ET AIGUILLES À SUTURES)</v>
      </c>
    </row>
    <row r="14743" spans="1:4" x14ac:dyDescent="0.25">
      <c r="A14743" t="str">
        <f>T("   ZZZ_Monde")</f>
        <v xml:space="preserve">   ZZZ_Monde</v>
      </c>
      <c r="B14743" t="str">
        <f>T("   ZZZ_Monde")</f>
        <v xml:space="preserve">   ZZZ_Monde</v>
      </c>
      <c r="C14743">
        <v>303436827</v>
      </c>
      <c r="D14743">
        <v>102808</v>
      </c>
    </row>
    <row r="14744" spans="1:4" x14ac:dyDescent="0.25">
      <c r="A14744" t="str">
        <f>T("   BE")</f>
        <v xml:space="preserve">   BE</v>
      </c>
      <c r="B14744" t="str">
        <f>T("   Belgique")</f>
        <v xml:space="preserve">   Belgique</v>
      </c>
      <c r="C14744">
        <v>366026</v>
      </c>
      <c r="D14744">
        <v>16</v>
      </c>
    </row>
    <row r="14745" spans="1:4" x14ac:dyDescent="0.25">
      <c r="A14745" t="str">
        <f>T("   CN")</f>
        <v xml:space="preserve">   CN</v>
      </c>
      <c r="B14745" t="str">
        <f>T("   Chine")</f>
        <v xml:space="preserve">   Chine</v>
      </c>
      <c r="C14745">
        <v>2607441</v>
      </c>
      <c r="D14745">
        <v>1881</v>
      </c>
    </row>
    <row r="14746" spans="1:4" x14ac:dyDescent="0.25">
      <c r="A14746" t="str">
        <f>T("   DE")</f>
        <v xml:space="preserve">   DE</v>
      </c>
      <c r="B14746" t="str">
        <f>T("   Allemagne")</f>
        <v xml:space="preserve">   Allemagne</v>
      </c>
      <c r="C14746">
        <v>286035293</v>
      </c>
      <c r="D14746">
        <v>97926</v>
      </c>
    </row>
    <row r="14747" spans="1:4" x14ac:dyDescent="0.25">
      <c r="A14747" t="str">
        <f>T("   FR")</f>
        <v xml:space="preserve">   FR</v>
      </c>
      <c r="B14747" t="str">
        <f>T("   France")</f>
        <v xml:space="preserve">   France</v>
      </c>
      <c r="C14747">
        <v>5356695</v>
      </c>
      <c r="D14747">
        <v>1731</v>
      </c>
    </row>
    <row r="14748" spans="1:4" x14ac:dyDescent="0.25">
      <c r="A14748" t="str">
        <f>T("   IN")</f>
        <v xml:space="preserve">   IN</v>
      </c>
      <c r="B14748" t="str">
        <f>T("   Inde")</f>
        <v xml:space="preserve">   Inde</v>
      </c>
      <c r="C14748">
        <v>1864996</v>
      </c>
      <c r="D14748">
        <v>395</v>
      </c>
    </row>
    <row r="14749" spans="1:4" x14ac:dyDescent="0.25">
      <c r="A14749" t="str">
        <f>T("   NL")</f>
        <v xml:space="preserve">   NL</v>
      </c>
      <c r="B14749" t="str">
        <f>T("   Pays-bas")</f>
        <v xml:space="preserve">   Pays-bas</v>
      </c>
      <c r="C14749">
        <v>7206376</v>
      </c>
      <c r="D14749">
        <v>859</v>
      </c>
    </row>
    <row r="14750" spans="1:4" x14ac:dyDescent="0.25">
      <c r="A14750" t="str">
        <f>T("901841")</f>
        <v>901841</v>
      </c>
      <c r="B14750" t="str">
        <f>T("Tours dentaires, même combinés sur une base commune avec d'autres équipements dentaires")</f>
        <v>Tours dentaires, même combinés sur une base commune avec d'autres équipements dentaires</v>
      </c>
    </row>
    <row r="14751" spans="1:4" x14ac:dyDescent="0.25">
      <c r="A14751" t="str">
        <f>T("   ZZZ_Monde")</f>
        <v xml:space="preserve">   ZZZ_Monde</v>
      </c>
      <c r="B14751" t="str">
        <f>T("   ZZZ_Monde")</f>
        <v xml:space="preserve">   ZZZ_Monde</v>
      </c>
      <c r="C14751">
        <v>776068</v>
      </c>
      <c r="D14751">
        <v>103</v>
      </c>
    </row>
    <row r="14752" spans="1:4" x14ac:dyDescent="0.25">
      <c r="A14752" t="str">
        <f>T("   TW")</f>
        <v xml:space="preserve">   TW</v>
      </c>
      <c r="B14752" t="str">
        <f>T("   Taïwan, Province de Chine")</f>
        <v xml:space="preserve">   Taïwan, Province de Chine</v>
      </c>
      <c r="C14752">
        <v>259808</v>
      </c>
      <c r="D14752">
        <v>10</v>
      </c>
    </row>
    <row r="14753" spans="1:4" x14ac:dyDescent="0.25">
      <c r="A14753" t="str">
        <f>T("   US")</f>
        <v xml:space="preserve">   US</v>
      </c>
      <c r="B14753" t="str">
        <f>T("   Etats-Unis")</f>
        <v xml:space="preserve">   Etats-Unis</v>
      </c>
      <c r="C14753">
        <v>516260</v>
      </c>
      <c r="D14753">
        <v>93</v>
      </c>
    </row>
    <row r="14754" spans="1:4" x14ac:dyDescent="0.25">
      <c r="A14754" t="str">
        <f>T("901849")</f>
        <v>901849</v>
      </c>
      <c r="B14754" t="str">
        <f>T("Instruments et appareils pour l'art dentaire, n.d.a.")</f>
        <v>Instruments et appareils pour l'art dentaire, n.d.a.</v>
      </c>
    </row>
    <row r="14755" spans="1:4" x14ac:dyDescent="0.25">
      <c r="A14755" t="str">
        <f>T("   ZZZ_Monde")</f>
        <v xml:space="preserve">   ZZZ_Monde</v>
      </c>
      <c r="B14755" t="str">
        <f>T("   ZZZ_Monde")</f>
        <v xml:space="preserve">   ZZZ_Monde</v>
      </c>
      <c r="C14755">
        <v>1109272</v>
      </c>
      <c r="D14755">
        <v>199</v>
      </c>
    </row>
    <row r="14756" spans="1:4" x14ac:dyDescent="0.25">
      <c r="A14756" t="str">
        <f>T("   BE")</f>
        <v xml:space="preserve">   BE</v>
      </c>
      <c r="B14756" t="str">
        <f>T("   Belgique")</f>
        <v xml:space="preserve">   Belgique</v>
      </c>
      <c r="C14756">
        <v>608775</v>
      </c>
      <c r="D14756">
        <v>75</v>
      </c>
    </row>
    <row r="14757" spans="1:4" x14ac:dyDescent="0.25">
      <c r="A14757" t="str">
        <f>T("   FR")</f>
        <v xml:space="preserve">   FR</v>
      </c>
      <c r="B14757" t="str">
        <f>T("   France")</f>
        <v xml:space="preserve">   France</v>
      </c>
      <c r="C14757">
        <v>500497</v>
      </c>
      <c r="D14757">
        <v>124</v>
      </c>
    </row>
    <row r="14758" spans="1:4" x14ac:dyDescent="0.25">
      <c r="A14758" t="str">
        <f>T("901890")</f>
        <v>901890</v>
      </c>
      <c r="B14758" t="str">
        <f>T("Instruments et appareils pour la médecine, la chirurgie ou l'art vétérinaire, n.d.a.")</f>
        <v>Instruments et appareils pour la médecine, la chirurgie ou l'art vétérinaire, n.d.a.</v>
      </c>
    </row>
    <row r="14759" spans="1:4" x14ac:dyDescent="0.25">
      <c r="A14759" t="str">
        <f>T("   ZZZ_Monde")</f>
        <v xml:space="preserve">   ZZZ_Monde</v>
      </c>
      <c r="B14759" t="str">
        <f>T("   ZZZ_Monde")</f>
        <v xml:space="preserve">   ZZZ_Monde</v>
      </c>
      <c r="C14759">
        <v>324601694</v>
      </c>
      <c r="D14759">
        <v>126089.34</v>
      </c>
    </row>
    <row r="14760" spans="1:4" x14ac:dyDescent="0.25">
      <c r="A14760" t="str">
        <f>T("   BE")</f>
        <v xml:space="preserve">   BE</v>
      </c>
      <c r="B14760" t="str">
        <f>T("   Belgique")</f>
        <v xml:space="preserve">   Belgique</v>
      </c>
      <c r="C14760">
        <v>16064355</v>
      </c>
      <c r="D14760">
        <v>11595</v>
      </c>
    </row>
    <row r="14761" spans="1:4" x14ac:dyDescent="0.25">
      <c r="A14761" t="str">
        <f>T("   CA")</f>
        <v xml:space="preserve">   CA</v>
      </c>
      <c r="B14761" t="str">
        <f>T("   Canada")</f>
        <v xml:space="preserve">   Canada</v>
      </c>
      <c r="C14761">
        <v>204278</v>
      </c>
      <c r="D14761">
        <v>101</v>
      </c>
    </row>
    <row r="14762" spans="1:4" x14ac:dyDescent="0.25">
      <c r="A14762" t="str">
        <f>T("   CH")</f>
        <v xml:space="preserve">   CH</v>
      </c>
      <c r="B14762" t="str">
        <f>T("   Suisse")</f>
        <v xml:space="preserve">   Suisse</v>
      </c>
      <c r="C14762">
        <v>1564832</v>
      </c>
      <c r="D14762">
        <v>158</v>
      </c>
    </row>
    <row r="14763" spans="1:4" x14ac:dyDescent="0.25">
      <c r="A14763" t="str">
        <f>T("   CI")</f>
        <v xml:space="preserve">   CI</v>
      </c>
      <c r="B14763" t="str">
        <f>T("   Côte d'Ivoire")</f>
        <v xml:space="preserve">   Côte d'Ivoire</v>
      </c>
      <c r="C14763">
        <v>850000</v>
      </c>
      <c r="D14763">
        <v>151</v>
      </c>
    </row>
    <row r="14764" spans="1:4" x14ac:dyDescent="0.25">
      <c r="A14764" t="str">
        <f>T("   CN")</f>
        <v xml:space="preserve">   CN</v>
      </c>
      <c r="B14764" t="str">
        <f>T("   Chine")</f>
        <v xml:space="preserve">   Chine</v>
      </c>
      <c r="C14764">
        <v>30139218</v>
      </c>
      <c r="D14764">
        <v>10211.34</v>
      </c>
    </row>
    <row r="14765" spans="1:4" x14ac:dyDescent="0.25">
      <c r="A14765" t="str">
        <f>T("   DE")</f>
        <v xml:space="preserve">   DE</v>
      </c>
      <c r="B14765" t="str">
        <f>T("   Allemagne")</f>
        <v xml:space="preserve">   Allemagne</v>
      </c>
      <c r="C14765">
        <v>15160947</v>
      </c>
      <c r="D14765">
        <v>1545</v>
      </c>
    </row>
    <row r="14766" spans="1:4" x14ac:dyDescent="0.25">
      <c r="A14766" t="str">
        <f>T("   DK")</f>
        <v xml:space="preserve">   DK</v>
      </c>
      <c r="B14766" t="str">
        <f>T("   Danemark")</f>
        <v xml:space="preserve">   Danemark</v>
      </c>
      <c r="C14766">
        <v>164431</v>
      </c>
      <c r="D14766">
        <v>35</v>
      </c>
    </row>
    <row r="14767" spans="1:4" x14ac:dyDescent="0.25">
      <c r="A14767" t="str">
        <f>T("   ES")</f>
        <v xml:space="preserve">   ES</v>
      </c>
      <c r="B14767" t="str">
        <f>T("   Espagne")</f>
        <v xml:space="preserve">   Espagne</v>
      </c>
      <c r="C14767">
        <v>650109</v>
      </c>
      <c r="D14767">
        <v>338</v>
      </c>
    </row>
    <row r="14768" spans="1:4" x14ac:dyDescent="0.25">
      <c r="A14768" t="str">
        <f>T("   FR")</f>
        <v xml:space="preserve">   FR</v>
      </c>
      <c r="B14768" t="str">
        <f>T("   France")</f>
        <v xml:space="preserve">   France</v>
      </c>
      <c r="C14768">
        <v>135385387</v>
      </c>
      <c r="D14768">
        <v>63351</v>
      </c>
    </row>
    <row r="14769" spans="1:4" x14ac:dyDescent="0.25">
      <c r="A14769" t="str">
        <f>T("   GR")</f>
        <v xml:space="preserve">   GR</v>
      </c>
      <c r="B14769" t="str">
        <f>T("   Grèce")</f>
        <v xml:space="preserve">   Grèce</v>
      </c>
      <c r="C14769">
        <v>11282512</v>
      </c>
      <c r="D14769">
        <v>7000</v>
      </c>
    </row>
    <row r="14770" spans="1:4" x14ac:dyDescent="0.25">
      <c r="A14770" t="str">
        <f>T("   HK")</f>
        <v xml:space="preserve">   HK</v>
      </c>
      <c r="B14770" t="str">
        <f>T("   Hong-Kong")</f>
        <v xml:space="preserve">   Hong-Kong</v>
      </c>
      <c r="C14770">
        <v>2847558</v>
      </c>
      <c r="D14770">
        <v>437</v>
      </c>
    </row>
    <row r="14771" spans="1:4" x14ac:dyDescent="0.25">
      <c r="A14771" t="str">
        <f>T("   IL")</f>
        <v xml:space="preserve">   IL</v>
      </c>
      <c r="B14771" t="str">
        <f>T("   Israël")</f>
        <v xml:space="preserve">   Israël</v>
      </c>
      <c r="C14771">
        <v>2287938</v>
      </c>
      <c r="D14771">
        <v>124</v>
      </c>
    </row>
    <row r="14772" spans="1:4" x14ac:dyDescent="0.25">
      <c r="A14772" t="str">
        <f>T("   IN")</f>
        <v xml:space="preserve">   IN</v>
      </c>
      <c r="B14772" t="str">
        <f>T("   Inde")</f>
        <v xml:space="preserve">   Inde</v>
      </c>
      <c r="C14772">
        <v>10307407</v>
      </c>
      <c r="D14772">
        <v>2628.5</v>
      </c>
    </row>
    <row r="14773" spans="1:4" x14ac:dyDescent="0.25">
      <c r="A14773" t="str">
        <f>T("   IS")</f>
        <v xml:space="preserve">   IS</v>
      </c>
      <c r="B14773" t="str">
        <f>T("   Islande")</f>
        <v xml:space="preserve">   Islande</v>
      </c>
      <c r="C14773">
        <v>963937</v>
      </c>
      <c r="D14773">
        <v>11</v>
      </c>
    </row>
    <row r="14774" spans="1:4" x14ac:dyDescent="0.25">
      <c r="A14774" t="str">
        <f>T("   IT")</f>
        <v xml:space="preserve">   IT</v>
      </c>
      <c r="B14774" t="str">
        <f>T("   Italie")</f>
        <v xml:space="preserve">   Italie</v>
      </c>
      <c r="C14774">
        <v>14847792</v>
      </c>
      <c r="D14774">
        <v>4314</v>
      </c>
    </row>
    <row r="14775" spans="1:4" x14ac:dyDescent="0.25">
      <c r="A14775" t="str">
        <f>T("   KR")</f>
        <v xml:space="preserve">   KR</v>
      </c>
      <c r="B14775" t="str">
        <f>T("   Corée, République de")</f>
        <v xml:space="preserve">   Corée, République de</v>
      </c>
      <c r="C14775">
        <v>4139759</v>
      </c>
      <c r="D14775">
        <v>60.5</v>
      </c>
    </row>
    <row r="14776" spans="1:4" x14ac:dyDescent="0.25">
      <c r="A14776" t="str">
        <f>T("   LB")</f>
        <v xml:space="preserve">   LB</v>
      </c>
      <c r="B14776" t="str">
        <f>T("   Liban")</f>
        <v xml:space="preserve">   Liban</v>
      </c>
      <c r="C14776">
        <v>3182885</v>
      </c>
      <c r="D14776">
        <v>349</v>
      </c>
    </row>
    <row r="14777" spans="1:4" x14ac:dyDescent="0.25">
      <c r="A14777" t="str">
        <f>T("   MA")</f>
        <v xml:space="preserve">   MA</v>
      </c>
      <c r="B14777" t="str">
        <f>T("   Maroc")</f>
        <v xml:space="preserve">   Maroc</v>
      </c>
      <c r="C14777">
        <v>5248</v>
      </c>
      <c r="D14777">
        <v>8</v>
      </c>
    </row>
    <row r="14778" spans="1:4" x14ac:dyDescent="0.25">
      <c r="A14778" t="str">
        <f>T("   NG")</f>
        <v xml:space="preserve">   NG</v>
      </c>
      <c r="B14778" t="str">
        <f>T("   Nigéria")</f>
        <v xml:space="preserve">   Nigéria</v>
      </c>
      <c r="C14778">
        <v>1302000</v>
      </c>
      <c r="D14778">
        <v>300</v>
      </c>
    </row>
    <row r="14779" spans="1:4" x14ac:dyDescent="0.25">
      <c r="A14779" t="str">
        <f>T("   NL")</f>
        <v xml:space="preserve">   NL</v>
      </c>
      <c r="B14779" t="str">
        <f>T("   Pays-bas")</f>
        <v xml:space="preserve">   Pays-bas</v>
      </c>
      <c r="C14779">
        <v>2892784</v>
      </c>
      <c r="D14779">
        <v>294</v>
      </c>
    </row>
    <row r="14780" spans="1:4" x14ac:dyDescent="0.25">
      <c r="A14780" t="str">
        <f>T("   PK")</f>
        <v xml:space="preserve">   PK</v>
      </c>
      <c r="B14780" t="str">
        <f>T("   Pakistan")</f>
        <v xml:space="preserve">   Pakistan</v>
      </c>
      <c r="C14780">
        <v>8385333</v>
      </c>
      <c r="D14780">
        <v>515</v>
      </c>
    </row>
    <row r="14781" spans="1:4" x14ac:dyDescent="0.25">
      <c r="A14781" t="str">
        <f>T("   SE")</f>
        <v xml:space="preserve">   SE</v>
      </c>
      <c r="B14781" t="str">
        <f>T("   Suède")</f>
        <v xml:space="preserve">   Suède</v>
      </c>
      <c r="C14781">
        <v>3506761</v>
      </c>
      <c r="D14781">
        <v>4749</v>
      </c>
    </row>
    <row r="14782" spans="1:4" x14ac:dyDescent="0.25">
      <c r="A14782" t="str">
        <f>T("   TG")</f>
        <v xml:space="preserve">   TG</v>
      </c>
      <c r="B14782" t="str">
        <f>T("   Togo")</f>
        <v xml:space="preserve">   Togo</v>
      </c>
      <c r="C14782">
        <v>45402336</v>
      </c>
      <c r="D14782">
        <v>15800</v>
      </c>
    </row>
    <row r="14783" spans="1:4" x14ac:dyDescent="0.25">
      <c r="A14783" t="str">
        <f>T("   TR")</f>
        <v xml:space="preserve">   TR</v>
      </c>
      <c r="B14783" t="str">
        <f>T("   Turquie")</f>
        <v xml:space="preserve">   Turquie</v>
      </c>
      <c r="C14783">
        <v>3189277</v>
      </c>
      <c r="D14783">
        <v>484</v>
      </c>
    </row>
    <row r="14784" spans="1:4" x14ac:dyDescent="0.25">
      <c r="A14784" t="str">
        <f>T("   TW")</f>
        <v xml:space="preserve">   TW</v>
      </c>
      <c r="B14784" t="str">
        <f>T("   Taïwan, Province de Chine")</f>
        <v xml:space="preserve">   Taïwan, Province de Chine</v>
      </c>
      <c r="C14784">
        <v>9539065</v>
      </c>
      <c r="D14784">
        <v>1476</v>
      </c>
    </row>
    <row r="14785" spans="1:4" x14ac:dyDescent="0.25">
      <c r="A14785" t="str">
        <f>T("   US")</f>
        <v xml:space="preserve">   US</v>
      </c>
      <c r="B14785" t="str">
        <f>T("   Etats-Unis")</f>
        <v xml:space="preserve">   Etats-Unis</v>
      </c>
      <c r="C14785">
        <v>335545</v>
      </c>
      <c r="D14785">
        <v>54</v>
      </c>
    </row>
    <row r="14786" spans="1:4" x14ac:dyDescent="0.25">
      <c r="A14786" t="str">
        <f>T("901910")</f>
        <v>901910</v>
      </c>
      <c r="B14786" t="str">
        <f>T("Appareils de mécanothérapie, appareils de massage et appareils de psychotechnie")</f>
        <v>Appareils de mécanothérapie, appareils de massage et appareils de psychotechnie</v>
      </c>
    </row>
    <row r="14787" spans="1:4" x14ac:dyDescent="0.25">
      <c r="A14787" t="str">
        <f>T("   ZZZ_Monde")</f>
        <v xml:space="preserve">   ZZZ_Monde</v>
      </c>
      <c r="B14787" t="str">
        <f>T("   ZZZ_Monde")</f>
        <v xml:space="preserve">   ZZZ_Monde</v>
      </c>
      <c r="C14787">
        <v>4532250</v>
      </c>
      <c r="D14787">
        <v>8317</v>
      </c>
    </row>
    <row r="14788" spans="1:4" x14ac:dyDescent="0.25">
      <c r="A14788" t="str">
        <f>T("   AE")</f>
        <v xml:space="preserve">   AE</v>
      </c>
      <c r="B14788" t="str">
        <f>T("   Emirats Arabes Unis")</f>
        <v xml:space="preserve">   Emirats Arabes Unis</v>
      </c>
      <c r="C14788">
        <v>99805</v>
      </c>
      <c r="D14788">
        <v>146</v>
      </c>
    </row>
    <row r="14789" spans="1:4" x14ac:dyDescent="0.25">
      <c r="A14789" t="str">
        <f>T("   CN")</f>
        <v xml:space="preserve">   CN</v>
      </c>
      <c r="B14789" t="str">
        <f>T("   Chine")</f>
        <v xml:space="preserve">   Chine</v>
      </c>
      <c r="C14789">
        <v>4357778</v>
      </c>
      <c r="D14789">
        <v>8055</v>
      </c>
    </row>
    <row r="14790" spans="1:4" x14ac:dyDescent="0.25">
      <c r="A14790" t="str">
        <f>T("   TG")</f>
        <v xml:space="preserve">   TG</v>
      </c>
      <c r="B14790" t="str">
        <f>T("   Togo")</f>
        <v xml:space="preserve">   Togo</v>
      </c>
      <c r="C14790">
        <v>74667</v>
      </c>
      <c r="D14790">
        <v>116</v>
      </c>
    </row>
    <row r="14791" spans="1:4" x14ac:dyDescent="0.25">
      <c r="A14791" t="str">
        <f>T("901920")</f>
        <v>901920</v>
      </c>
      <c r="B14791" t="str">
        <f>T("APPAREILS D'OZONOTHERAPIE, D'OXYGÉNOTHERAPIE, D'AÉROSOLTHERAPIE; APPAREILS RESPIRATOIRES DE RÉANIMATION ET AUTRES APPAREILS DE THERAPIE RESPIRATOIRE")</f>
        <v>APPAREILS D'OZONOTHERAPIE, D'OXYGÉNOTHERAPIE, D'AÉROSOLTHERAPIE; APPAREILS RESPIRATOIRES DE RÉANIMATION ET AUTRES APPAREILS DE THERAPIE RESPIRATOIRE</v>
      </c>
    </row>
    <row r="14792" spans="1:4" x14ac:dyDescent="0.25">
      <c r="A14792" t="str">
        <f>T("   ZZZ_Monde")</f>
        <v xml:space="preserve">   ZZZ_Monde</v>
      </c>
      <c r="B14792" t="str">
        <f>T("   ZZZ_Monde")</f>
        <v xml:space="preserve">   ZZZ_Monde</v>
      </c>
      <c r="C14792">
        <v>4141476</v>
      </c>
      <c r="D14792">
        <v>198</v>
      </c>
    </row>
    <row r="14793" spans="1:4" x14ac:dyDescent="0.25">
      <c r="A14793" t="str">
        <f>T("   CN")</f>
        <v xml:space="preserve">   CN</v>
      </c>
      <c r="B14793" t="str">
        <f>T("   Chine")</f>
        <v xml:space="preserve">   Chine</v>
      </c>
      <c r="C14793">
        <v>730013</v>
      </c>
      <c r="D14793">
        <v>152</v>
      </c>
    </row>
    <row r="14794" spans="1:4" x14ac:dyDescent="0.25">
      <c r="A14794" t="str">
        <f>T("   FR")</f>
        <v xml:space="preserve">   FR</v>
      </c>
      <c r="B14794" t="str">
        <f>T("   France")</f>
        <v xml:space="preserve">   France</v>
      </c>
      <c r="C14794">
        <v>3411463</v>
      </c>
      <c r="D14794">
        <v>46</v>
      </c>
    </row>
    <row r="14795" spans="1:4" x14ac:dyDescent="0.25">
      <c r="A14795" t="str">
        <f>T("902000")</f>
        <v>902000</v>
      </c>
      <c r="B14795" t="str">
        <f>T("APPAREILS RESPIRATOIRES ET MASQUES À GAZ (À L'EXCL. DES MASQUES DE PROTECTION DÉPOURVUS DE MÉCANISME ET D'ÉLÉMENT FILTRANT AMOVIBLE AINSI QUE DES APPAREILS DE RESPIRATOIRES DE RÉANIMATION ET AUTRES APPAREILS DE THERAPIE RESPIRATOIRE)")</f>
        <v>APPAREILS RESPIRATOIRES ET MASQUES À GAZ (À L'EXCL. DES MASQUES DE PROTECTION DÉPOURVUS DE MÉCANISME ET D'ÉLÉMENT FILTRANT AMOVIBLE AINSI QUE DES APPAREILS DE RESPIRATOIRES DE RÉANIMATION ET AUTRES APPAREILS DE THERAPIE RESPIRATOIRE)</v>
      </c>
    </row>
    <row r="14796" spans="1:4" x14ac:dyDescent="0.25">
      <c r="A14796" t="str">
        <f>T("   ZZZ_Monde")</f>
        <v xml:space="preserve">   ZZZ_Monde</v>
      </c>
      <c r="B14796" t="str">
        <f>T("   ZZZ_Monde")</f>
        <v xml:space="preserve">   ZZZ_Monde</v>
      </c>
      <c r="C14796">
        <v>25487387</v>
      </c>
      <c r="D14796">
        <v>1182</v>
      </c>
    </row>
    <row r="14797" spans="1:4" x14ac:dyDescent="0.25">
      <c r="A14797" t="str">
        <f>T("   AE")</f>
        <v xml:space="preserve">   AE</v>
      </c>
      <c r="B14797" t="str">
        <f>T("   Emirats Arabes Unis")</f>
        <v xml:space="preserve">   Emirats Arabes Unis</v>
      </c>
      <c r="C14797">
        <v>374747</v>
      </c>
      <c r="D14797">
        <v>63</v>
      </c>
    </row>
    <row r="14798" spans="1:4" x14ac:dyDescent="0.25">
      <c r="A14798" t="str">
        <f>T("   CA")</f>
        <v xml:space="preserve">   CA</v>
      </c>
      <c r="B14798" t="str">
        <f>T("   Canada")</f>
        <v xml:space="preserve">   Canada</v>
      </c>
      <c r="C14798">
        <v>3107439</v>
      </c>
      <c r="D14798">
        <v>36</v>
      </c>
    </row>
    <row r="14799" spans="1:4" x14ac:dyDescent="0.25">
      <c r="A14799" t="str">
        <f>T("   FR")</f>
        <v xml:space="preserve">   FR</v>
      </c>
      <c r="B14799" t="str">
        <f>T("   France")</f>
        <v xml:space="preserve">   France</v>
      </c>
      <c r="C14799">
        <v>22005201</v>
      </c>
      <c r="D14799">
        <v>1083</v>
      </c>
    </row>
    <row r="14800" spans="1:4" x14ac:dyDescent="0.25">
      <c r="A14800" t="str">
        <f>T("902110")</f>
        <v>902110</v>
      </c>
      <c r="B14800" t="str">
        <f>T("Appareils d'orthopédie ou pour fractures")</f>
        <v>Appareils d'orthopédie ou pour fractures</v>
      </c>
    </row>
    <row r="14801" spans="1:4" x14ac:dyDescent="0.25">
      <c r="A14801" t="str">
        <f>T("   ZZZ_Monde")</f>
        <v xml:space="preserve">   ZZZ_Monde</v>
      </c>
      <c r="B14801" t="str">
        <f>T("   ZZZ_Monde")</f>
        <v xml:space="preserve">   ZZZ_Monde</v>
      </c>
      <c r="C14801">
        <v>25876393</v>
      </c>
      <c r="D14801">
        <v>5746</v>
      </c>
    </row>
    <row r="14802" spans="1:4" x14ac:dyDescent="0.25">
      <c r="A14802" t="str">
        <f>T("   CN")</f>
        <v xml:space="preserve">   CN</v>
      </c>
      <c r="B14802" t="str">
        <f>T("   Chine")</f>
        <v xml:space="preserve">   Chine</v>
      </c>
      <c r="C14802">
        <v>600146</v>
      </c>
      <c r="D14802">
        <v>2500</v>
      </c>
    </row>
    <row r="14803" spans="1:4" x14ac:dyDescent="0.25">
      <c r="A14803" t="str">
        <f>T("   FR")</f>
        <v xml:space="preserve">   FR</v>
      </c>
      <c r="B14803" t="str">
        <f>T("   France")</f>
        <v xml:space="preserve">   France</v>
      </c>
      <c r="C14803">
        <v>14479801</v>
      </c>
      <c r="D14803">
        <v>2763</v>
      </c>
    </row>
    <row r="14804" spans="1:4" x14ac:dyDescent="0.25">
      <c r="A14804" t="str">
        <f>T("   IN")</f>
        <v xml:space="preserve">   IN</v>
      </c>
      <c r="B14804" t="str">
        <f>T("   Inde")</f>
        <v xml:space="preserve">   Inde</v>
      </c>
      <c r="C14804">
        <v>10796446</v>
      </c>
      <c r="D14804">
        <v>483</v>
      </c>
    </row>
    <row r="14805" spans="1:4" x14ac:dyDescent="0.25">
      <c r="A14805" t="str">
        <f>T("902129")</f>
        <v>902129</v>
      </c>
      <c r="B14805" t="str">
        <f>T("Articles et appareils de prothèse dentaire (sauf dents artificielles)")</f>
        <v>Articles et appareils de prothèse dentaire (sauf dents artificielles)</v>
      </c>
    </row>
    <row r="14806" spans="1:4" x14ac:dyDescent="0.25">
      <c r="A14806" t="str">
        <f>T("   ZZZ_Monde")</f>
        <v xml:space="preserve">   ZZZ_Monde</v>
      </c>
      <c r="B14806" t="str">
        <f>T("   ZZZ_Monde")</f>
        <v xml:space="preserve">   ZZZ_Monde</v>
      </c>
      <c r="C14806">
        <v>2799776</v>
      </c>
      <c r="D14806">
        <v>628</v>
      </c>
    </row>
    <row r="14807" spans="1:4" x14ac:dyDescent="0.25">
      <c r="A14807" t="str">
        <f>T("   FR")</f>
        <v xml:space="preserve">   FR</v>
      </c>
      <c r="B14807" t="str">
        <f>T("   France")</f>
        <v xml:space="preserve">   France</v>
      </c>
      <c r="C14807">
        <v>98387</v>
      </c>
      <c r="D14807">
        <v>246</v>
      </c>
    </row>
    <row r="14808" spans="1:4" x14ac:dyDescent="0.25">
      <c r="A14808" t="str">
        <f>T("   IT")</f>
        <v xml:space="preserve">   IT</v>
      </c>
      <c r="B14808" t="str">
        <f>T("   Italie")</f>
        <v xml:space="preserve">   Italie</v>
      </c>
      <c r="C14808">
        <v>2701389</v>
      </c>
      <c r="D14808">
        <v>382</v>
      </c>
    </row>
    <row r="14809" spans="1:4" x14ac:dyDescent="0.25">
      <c r="A14809" t="str">
        <f>T("902190")</f>
        <v>902190</v>
      </c>
      <c r="B14809" t="str">
        <f>T("Appareils à tenir à la main, à porter sur la personne ou à implanter dans l'organisme, afin de compenser une déficience ou une infirmité (à l'excl. des articles et appareils de prothèse ainsi que des appareils complets pour faciliter l'audition aux sourds")</f>
        <v>Appareils à tenir à la main, à porter sur la personne ou à implanter dans l'organisme, afin de compenser une déficience ou une infirmité (à l'excl. des articles et appareils de prothèse ainsi que des appareils complets pour faciliter l'audition aux sourds</v>
      </c>
    </row>
    <row r="14810" spans="1:4" x14ac:dyDescent="0.25">
      <c r="A14810" t="str">
        <f>T("   ZZZ_Monde")</f>
        <v xml:space="preserve">   ZZZ_Monde</v>
      </c>
      <c r="B14810" t="str">
        <f>T("   ZZZ_Monde")</f>
        <v xml:space="preserve">   ZZZ_Monde</v>
      </c>
      <c r="C14810">
        <v>7255705</v>
      </c>
      <c r="D14810">
        <v>10098</v>
      </c>
    </row>
    <row r="14811" spans="1:4" x14ac:dyDescent="0.25">
      <c r="A14811" t="str">
        <f>T("   CN")</f>
        <v xml:space="preserve">   CN</v>
      </c>
      <c r="B14811" t="str">
        <f>T("   Chine")</f>
        <v xml:space="preserve">   Chine</v>
      </c>
      <c r="C14811">
        <v>5668709</v>
      </c>
      <c r="D14811">
        <v>3252</v>
      </c>
    </row>
    <row r="14812" spans="1:4" x14ac:dyDescent="0.25">
      <c r="A14812" t="str">
        <f>T("   FR")</f>
        <v xml:space="preserve">   FR</v>
      </c>
      <c r="B14812" t="str">
        <f>T("   France")</f>
        <v xml:space="preserve">   France</v>
      </c>
      <c r="C14812">
        <v>857996</v>
      </c>
      <c r="D14812">
        <v>746</v>
      </c>
    </row>
    <row r="14813" spans="1:4" x14ac:dyDescent="0.25">
      <c r="A14813" t="str">
        <f>T("   IT")</f>
        <v xml:space="preserve">   IT</v>
      </c>
      <c r="B14813" t="str">
        <f>T("   Italie")</f>
        <v xml:space="preserve">   Italie</v>
      </c>
      <c r="C14813">
        <v>500000</v>
      </c>
      <c r="D14813">
        <v>6000</v>
      </c>
    </row>
    <row r="14814" spans="1:4" x14ac:dyDescent="0.25">
      <c r="A14814" t="str">
        <f>T("   NG")</f>
        <v xml:space="preserve">   NG</v>
      </c>
      <c r="B14814" t="str">
        <f>T("   Nigéria")</f>
        <v xml:space="preserve">   Nigéria</v>
      </c>
      <c r="C14814">
        <v>229000</v>
      </c>
      <c r="D14814">
        <v>100</v>
      </c>
    </row>
    <row r="14815" spans="1:4" x14ac:dyDescent="0.25">
      <c r="A14815" t="str">
        <f>T("902214")</f>
        <v>902214</v>
      </c>
      <c r="B14815" t="str">
        <f>T("Appareils à rayons X pour usages médicaux, chirurgicaux ou vétérinaires (à l'excl. des appareils pour l'art dentaire et des appareils de tomographie pilotés par une machine automatique de traitement de l'information)")</f>
        <v>Appareils à rayons X pour usages médicaux, chirurgicaux ou vétérinaires (à l'excl. des appareils pour l'art dentaire et des appareils de tomographie pilotés par une machine automatique de traitement de l'information)</v>
      </c>
    </row>
    <row r="14816" spans="1:4" x14ac:dyDescent="0.25">
      <c r="A14816" t="str">
        <f>T("   ZZZ_Monde")</f>
        <v xml:space="preserve">   ZZZ_Monde</v>
      </c>
      <c r="B14816" t="str">
        <f>T("   ZZZ_Monde")</f>
        <v xml:space="preserve">   ZZZ_Monde</v>
      </c>
      <c r="C14816">
        <v>42412979</v>
      </c>
      <c r="D14816">
        <v>6228</v>
      </c>
    </row>
    <row r="14817" spans="1:4" x14ac:dyDescent="0.25">
      <c r="A14817" t="str">
        <f>T("   CN")</f>
        <v xml:space="preserve">   CN</v>
      </c>
      <c r="B14817" t="str">
        <f>T("   Chine")</f>
        <v xml:space="preserve">   Chine</v>
      </c>
      <c r="C14817">
        <v>35795135</v>
      </c>
      <c r="D14817">
        <v>3310</v>
      </c>
    </row>
    <row r="14818" spans="1:4" x14ac:dyDescent="0.25">
      <c r="A14818" t="str">
        <f>T("   FR")</f>
        <v xml:space="preserve">   FR</v>
      </c>
      <c r="B14818" t="str">
        <f>T("   France")</f>
        <v xml:space="preserve">   France</v>
      </c>
      <c r="C14818">
        <v>1156496</v>
      </c>
      <c r="D14818">
        <v>2285</v>
      </c>
    </row>
    <row r="14819" spans="1:4" x14ac:dyDescent="0.25">
      <c r="A14819" t="str">
        <f>T("   HK")</f>
        <v xml:space="preserve">   HK</v>
      </c>
      <c r="B14819" t="str">
        <f>T("   Hong-Kong")</f>
        <v xml:space="preserve">   Hong-Kong</v>
      </c>
      <c r="C14819">
        <v>745998</v>
      </c>
      <c r="D14819">
        <v>68</v>
      </c>
    </row>
    <row r="14820" spans="1:4" x14ac:dyDescent="0.25">
      <c r="A14820" t="str">
        <f>T("   KR")</f>
        <v xml:space="preserve">   KR</v>
      </c>
      <c r="B14820" t="str">
        <f>T("   Corée, République de")</f>
        <v xml:space="preserve">   Corée, République de</v>
      </c>
      <c r="C14820">
        <v>2291281</v>
      </c>
      <c r="D14820">
        <v>500</v>
      </c>
    </row>
    <row r="14821" spans="1:4" x14ac:dyDescent="0.25">
      <c r="A14821" t="str">
        <f>T("   US")</f>
        <v xml:space="preserve">   US</v>
      </c>
      <c r="B14821" t="str">
        <f>T("   Etats-Unis")</f>
        <v xml:space="preserve">   Etats-Unis</v>
      </c>
      <c r="C14821">
        <v>2424069</v>
      </c>
      <c r="D14821">
        <v>65</v>
      </c>
    </row>
    <row r="14822" spans="1:4" x14ac:dyDescent="0.25">
      <c r="A14822" t="str">
        <f>T("902219")</f>
        <v>902219</v>
      </c>
      <c r="B14822" t="str">
        <f>T("Appareils à rayons X (à usage autre que médical, chirurgical, dentaire ou vétérinaire)")</f>
        <v>Appareils à rayons X (à usage autre que médical, chirurgical, dentaire ou vétérinaire)</v>
      </c>
    </row>
    <row r="14823" spans="1:4" x14ac:dyDescent="0.25">
      <c r="A14823" t="str">
        <f>T("   ZZZ_Monde")</f>
        <v xml:space="preserve">   ZZZ_Monde</v>
      </c>
      <c r="B14823" t="str">
        <f>T("   ZZZ_Monde")</f>
        <v xml:space="preserve">   ZZZ_Monde</v>
      </c>
      <c r="C14823">
        <v>4431973</v>
      </c>
      <c r="D14823">
        <v>5015</v>
      </c>
    </row>
    <row r="14824" spans="1:4" x14ac:dyDescent="0.25">
      <c r="A14824" t="str">
        <f>T("   IT")</f>
        <v xml:space="preserve">   IT</v>
      </c>
      <c r="B14824" t="str">
        <f>T("   Italie")</f>
        <v xml:space="preserve">   Italie</v>
      </c>
      <c r="C14824">
        <v>357498</v>
      </c>
      <c r="D14824">
        <v>4445</v>
      </c>
    </row>
    <row r="14825" spans="1:4" x14ac:dyDescent="0.25">
      <c r="A14825" t="str">
        <f>T("   KR")</f>
        <v xml:space="preserve">   KR</v>
      </c>
      <c r="B14825" t="str">
        <f>T("   Corée, République de")</f>
        <v xml:space="preserve">   Corée, République de</v>
      </c>
      <c r="C14825">
        <v>4074475</v>
      </c>
      <c r="D14825">
        <v>570</v>
      </c>
    </row>
    <row r="14826" spans="1:4" x14ac:dyDescent="0.25">
      <c r="A14826" t="str">
        <f>T("902221")</f>
        <v>902221</v>
      </c>
      <c r="B14826" t="str">
        <f>T("Appareils utilisant les radiations alpha, bêta ou gamma, à usage médical, chirurgical, dentaire ou vétérinaire")</f>
        <v>Appareils utilisant les radiations alpha, bêta ou gamma, à usage médical, chirurgical, dentaire ou vétérinaire</v>
      </c>
    </row>
    <row r="14827" spans="1:4" x14ac:dyDescent="0.25">
      <c r="A14827" t="str">
        <f>T("   ZZZ_Monde")</f>
        <v xml:space="preserve">   ZZZ_Monde</v>
      </c>
      <c r="B14827" t="str">
        <f>T("   ZZZ_Monde")</f>
        <v xml:space="preserve">   ZZZ_Monde</v>
      </c>
      <c r="C14827">
        <v>4529276</v>
      </c>
      <c r="D14827">
        <v>780</v>
      </c>
    </row>
    <row r="14828" spans="1:4" x14ac:dyDescent="0.25">
      <c r="A14828" t="str">
        <f>T("   DE")</f>
        <v xml:space="preserve">   DE</v>
      </c>
      <c r="B14828" t="str">
        <f>T("   Allemagne")</f>
        <v xml:space="preserve">   Allemagne</v>
      </c>
      <c r="C14828">
        <v>4529276</v>
      </c>
      <c r="D14828">
        <v>780</v>
      </c>
    </row>
    <row r="14829" spans="1:4" x14ac:dyDescent="0.25">
      <c r="A14829" t="str">
        <f>T("902229")</f>
        <v>902229</v>
      </c>
      <c r="B14829" t="str">
        <f>T("Appareils utilisant les radiations alpha, bêta ou gamma (à usage autre que médical, chirurgical, dentaire ou vétérinaire)")</f>
        <v>Appareils utilisant les radiations alpha, bêta ou gamma (à usage autre que médical, chirurgical, dentaire ou vétérinaire)</v>
      </c>
    </row>
    <row r="14830" spans="1:4" x14ac:dyDescent="0.25">
      <c r="A14830" t="str">
        <f>T("   ZZZ_Monde")</f>
        <v xml:space="preserve">   ZZZ_Monde</v>
      </c>
      <c r="B14830" t="str">
        <f>T("   ZZZ_Monde")</f>
        <v xml:space="preserve">   ZZZ_Monde</v>
      </c>
      <c r="C14830">
        <v>17690585</v>
      </c>
      <c r="D14830">
        <v>48</v>
      </c>
    </row>
    <row r="14831" spans="1:4" x14ac:dyDescent="0.25">
      <c r="A14831" t="str">
        <f>T("   FR")</f>
        <v xml:space="preserve">   FR</v>
      </c>
      <c r="B14831" t="str">
        <f>T("   France")</f>
        <v xml:space="preserve">   France</v>
      </c>
      <c r="C14831">
        <v>17690585</v>
      </c>
      <c r="D14831">
        <v>48</v>
      </c>
    </row>
    <row r="14832" spans="1:4" x14ac:dyDescent="0.25">
      <c r="A14832" t="str">
        <f>T("902290")</f>
        <v>902290</v>
      </c>
      <c r="B14832" t="str">
        <f>T("Dispositifs générateurs de rayons X, autres que tubes à rayons X, générateurs de tension, pupitres de commande, écrans, tables, fauteuils et supports simil. d'examen ou de traitement, ainsi que tous les parties et accessoires des appareils du n° 9022, n.d")</f>
        <v>Dispositifs générateurs de rayons X, autres que tubes à rayons X, générateurs de tension, pupitres de commande, écrans, tables, fauteuils et supports simil. d'examen ou de traitement, ainsi que tous les parties et accessoires des appareils du n° 9022, n.d</v>
      </c>
    </row>
    <row r="14833" spans="1:4" x14ac:dyDescent="0.25">
      <c r="A14833" t="str">
        <f>T("   ZZZ_Monde")</f>
        <v xml:space="preserve">   ZZZ_Monde</v>
      </c>
      <c r="B14833" t="str">
        <f>T("   ZZZ_Monde")</f>
        <v xml:space="preserve">   ZZZ_Monde</v>
      </c>
      <c r="C14833">
        <v>15520065</v>
      </c>
      <c r="D14833">
        <v>4553</v>
      </c>
    </row>
    <row r="14834" spans="1:4" x14ac:dyDescent="0.25">
      <c r="A14834" t="str">
        <f>T("   BE")</f>
        <v xml:space="preserve">   BE</v>
      </c>
      <c r="B14834" t="str">
        <f>T("   Belgique")</f>
        <v xml:space="preserve">   Belgique</v>
      </c>
      <c r="C14834">
        <v>1454263</v>
      </c>
      <c r="D14834">
        <v>84</v>
      </c>
    </row>
    <row r="14835" spans="1:4" x14ac:dyDescent="0.25">
      <c r="A14835" t="str">
        <f>T("   FR")</f>
        <v xml:space="preserve">   FR</v>
      </c>
      <c r="B14835" t="str">
        <f>T("   France")</f>
        <v xml:space="preserve">   France</v>
      </c>
      <c r="C14835">
        <v>3313645</v>
      </c>
      <c r="D14835">
        <v>340</v>
      </c>
    </row>
    <row r="14836" spans="1:4" x14ac:dyDescent="0.25">
      <c r="A14836" t="str">
        <f>T("   GB")</f>
        <v xml:space="preserve">   GB</v>
      </c>
      <c r="B14836" t="str">
        <f>T("   Royaume-Uni")</f>
        <v xml:space="preserve">   Royaume-Uni</v>
      </c>
      <c r="C14836">
        <v>5620965</v>
      </c>
      <c r="D14836">
        <v>526</v>
      </c>
    </row>
    <row r="14837" spans="1:4" x14ac:dyDescent="0.25">
      <c r="A14837" t="str">
        <f>T("   IT")</f>
        <v xml:space="preserve">   IT</v>
      </c>
      <c r="B14837" t="str">
        <f>T("   Italie")</f>
        <v xml:space="preserve">   Italie</v>
      </c>
      <c r="C14837">
        <v>5000000</v>
      </c>
      <c r="D14837">
        <v>3600</v>
      </c>
    </row>
    <row r="14838" spans="1:4" x14ac:dyDescent="0.25">
      <c r="A14838" t="str">
        <f>T("   ZA")</f>
        <v xml:space="preserve">   ZA</v>
      </c>
      <c r="B14838" t="str">
        <f>T("   Afrique du Sud")</f>
        <v xml:space="preserve">   Afrique du Sud</v>
      </c>
      <c r="C14838">
        <v>131192</v>
      </c>
      <c r="D14838">
        <v>3</v>
      </c>
    </row>
    <row r="14839" spans="1:4" x14ac:dyDescent="0.25">
      <c r="A14839" t="str">
        <f>T("902300")</f>
        <v>902300</v>
      </c>
      <c r="B14839" t="str">
        <f>T("Instruments, appareils et modèles conçus pour la démonstration, p.ex. dans l'enseignement ou les expositions, non susceptibles d'autres emplois (à l'excl. des appareils au sol d'entraînement au vol du n° 8805, des spécimens pour collections du n° 9705 et")</f>
        <v>Instruments, appareils et modèles conçus pour la démonstration, p.ex. dans l'enseignement ou les expositions, non susceptibles d'autres emplois (à l'excl. des appareils au sol d'entraînement au vol du n° 8805, des spécimens pour collections du n° 9705 et</v>
      </c>
    </row>
    <row r="14840" spans="1:4" x14ac:dyDescent="0.25">
      <c r="A14840" t="str">
        <f>T("   ZZZ_Monde")</f>
        <v xml:space="preserve">   ZZZ_Monde</v>
      </c>
      <c r="B14840" t="str">
        <f>T("   ZZZ_Monde")</f>
        <v xml:space="preserve">   ZZZ_Monde</v>
      </c>
      <c r="C14840">
        <v>3869741</v>
      </c>
      <c r="D14840">
        <v>23752</v>
      </c>
    </row>
    <row r="14841" spans="1:4" x14ac:dyDescent="0.25">
      <c r="A14841" t="str">
        <f>T("   CN")</f>
        <v xml:space="preserve">   CN</v>
      </c>
      <c r="B14841" t="str">
        <f>T("   Chine")</f>
        <v xml:space="preserve">   Chine</v>
      </c>
      <c r="C14841">
        <v>3234402</v>
      </c>
      <c r="D14841">
        <v>23447</v>
      </c>
    </row>
    <row r="14842" spans="1:4" x14ac:dyDescent="0.25">
      <c r="A14842" t="str">
        <f>T("   FR")</f>
        <v xml:space="preserve">   FR</v>
      </c>
      <c r="B14842" t="str">
        <f>T("   France")</f>
        <v xml:space="preserve">   France</v>
      </c>
      <c r="C14842">
        <v>85931</v>
      </c>
      <c r="D14842">
        <v>5</v>
      </c>
    </row>
    <row r="14843" spans="1:4" x14ac:dyDescent="0.25">
      <c r="A14843" t="str">
        <f>T("   NG")</f>
        <v xml:space="preserve">   NG</v>
      </c>
      <c r="B14843" t="str">
        <f>T("   Nigéria")</f>
        <v xml:space="preserve">   Nigéria</v>
      </c>
      <c r="C14843">
        <v>549408</v>
      </c>
      <c r="D14843">
        <v>300</v>
      </c>
    </row>
    <row r="14844" spans="1:4" x14ac:dyDescent="0.25">
      <c r="A14844" t="str">
        <f>T("902410")</f>
        <v>902410</v>
      </c>
      <c r="B14844" t="str">
        <f>T("Machines et appareils d'essais des propriétés mécaniques des métaux")</f>
        <v>Machines et appareils d'essais des propriétés mécaniques des métaux</v>
      </c>
    </row>
    <row r="14845" spans="1:4" x14ac:dyDescent="0.25">
      <c r="A14845" t="str">
        <f>T("   ZZZ_Monde")</f>
        <v xml:space="preserve">   ZZZ_Monde</v>
      </c>
      <c r="B14845" t="str">
        <f>T("   ZZZ_Monde")</f>
        <v xml:space="preserve">   ZZZ_Monde</v>
      </c>
      <c r="C14845">
        <v>60256</v>
      </c>
      <c r="D14845">
        <v>0.25</v>
      </c>
    </row>
    <row r="14846" spans="1:4" x14ac:dyDescent="0.25">
      <c r="A14846" t="str">
        <f>T("   FR")</f>
        <v xml:space="preserve">   FR</v>
      </c>
      <c r="B14846" t="str">
        <f>T("   France")</f>
        <v xml:space="preserve">   France</v>
      </c>
      <c r="C14846">
        <v>60256</v>
      </c>
      <c r="D14846">
        <v>0.25</v>
      </c>
    </row>
    <row r="14847" spans="1:4" x14ac:dyDescent="0.25">
      <c r="A14847" t="str">
        <f>T("902480")</f>
        <v>902480</v>
      </c>
      <c r="B14847" t="str">
        <f>T("Machines et appareils d'essais des propriétés mécaniques des matériaux (autres que les métaux)")</f>
        <v>Machines et appareils d'essais des propriétés mécaniques des matériaux (autres que les métaux)</v>
      </c>
    </row>
    <row r="14848" spans="1:4" x14ac:dyDescent="0.25">
      <c r="A14848" t="str">
        <f>T("   ZZZ_Monde")</f>
        <v xml:space="preserve">   ZZZ_Monde</v>
      </c>
      <c r="B14848" t="str">
        <f>T("   ZZZ_Monde")</f>
        <v xml:space="preserve">   ZZZ_Monde</v>
      </c>
      <c r="C14848">
        <v>48515118</v>
      </c>
      <c r="D14848">
        <v>2886</v>
      </c>
    </row>
    <row r="14849" spans="1:4" x14ac:dyDescent="0.25">
      <c r="A14849" t="str">
        <f>T("   BE")</f>
        <v xml:space="preserve">   BE</v>
      </c>
      <c r="B14849" t="str">
        <f>T("   Belgique")</f>
        <v xml:space="preserve">   Belgique</v>
      </c>
      <c r="C14849">
        <v>36515123</v>
      </c>
      <c r="D14849">
        <v>2693</v>
      </c>
    </row>
    <row r="14850" spans="1:4" x14ac:dyDescent="0.25">
      <c r="A14850" t="str">
        <f>T("   FR")</f>
        <v xml:space="preserve">   FR</v>
      </c>
      <c r="B14850" t="str">
        <f>T("   France")</f>
        <v xml:space="preserve">   France</v>
      </c>
      <c r="C14850">
        <v>4313926</v>
      </c>
      <c r="D14850">
        <v>112</v>
      </c>
    </row>
    <row r="14851" spans="1:4" x14ac:dyDescent="0.25">
      <c r="A14851" t="str">
        <f>T("   GB")</f>
        <v xml:space="preserve">   GB</v>
      </c>
      <c r="B14851" t="str">
        <f>T("   Royaume-Uni")</f>
        <v xml:space="preserve">   Royaume-Uni</v>
      </c>
      <c r="C14851">
        <v>6902475</v>
      </c>
      <c r="D14851">
        <v>78</v>
      </c>
    </row>
    <row r="14852" spans="1:4" x14ac:dyDescent="0.25">
      <c r="A14852" t="str">
        <f>T("   UM")</f>
        <v xml:space="preserve">   UM</v>
      </c>
      <c r="B14852" t="str">
        <f>T("   îles mineures éloignées(Etats-Unis)")</f>
        <v xml:space="preserve">   îles mineures éloignées(Etats-Unis)</v>
      </c>
      <c r="C14852">
        <v>783594</v>
      </c>
      <c r="D14852">
        <v>3</v>
      </c>
    </row>
    <row r="14853" spans="1:4" x14ac:dyDescent="0.25">
      <c r="A14853" t="str">
        <f>T("902490")</f>
        <v>902490</v>
      </c>
      <c r="B14853" t="str">
        <f>T("Parties et accessoires des machines et appareils d'essais des propriétés mécaniques des matériaux, n.d.a.")</f>
        <v>Parties et accessoires des machines et appareils d'essais des propriétés mécaniques des matériaux, n.d.a.</v>
      </c>
    </row>
    <row r="14854" spans="1:4" x14ac:dyDescent="0.25">
      <c r="A14854" t="str">
        <f>T("   ZZZ_Monde")</f>
        <v xml:space="preserve">   ZZZ_Monde</v>
      </c>
      <c r="B14854" t="str">
        <f>T("   ZZZ_Monde")</f>
        <v xml:space="preserve">   ZZZ_Monde</v>
      </c>
      <c r="C14854">
        <v>295907</v>
      </c>
      <c r="D14854">
        <v>1</v>
      </c>
    </row>
    <row r="14855" spans="1:4" x14ac:dyDescent="0.25">
      <c r="A14855" t="str">
        <f>T("   FR")</f>
        <v xml:space="preserve">   FR</v>
      </c>
      <c r="B14855" t="str">
        <f>T("   France")</f>
        <v xml:space="preserve">   France</v>
      </c>
      <c r="C14855">
        <v>295907</v>
      </c>
      <c r="D14855">
        <v>1</v>
      </c>
    </row>
    <row r="14856" spans="1:4" x14ac:dyDescent="0.25">
      <c r="A14856" t="str">
        <f>T("902511")</f>
        <v>902511</v>
      </c>
      <c r="B14856" t="str">
        <f>T("THERMOMÈTRES À LIQUIDE, À LECTURE DIRECTE, NON-COMBINÉS À D'AUTRES INSTRUMENTS")</f>
        <v>THERMOMÈTRES À LIQUIDE, À LECTURE DIRECTE, NON-COMBINÉS À D'AUTRES INSTRUMENTS</v>
      </c>
    </row>
    <row r="14857" spans="1:4" x14ac:dyDescent="0.25">
      <c r="A14857" t="str">
        <f>T("   ZZZ_Monde")</f>
        <v xml:space="preserve">   ZZZ_Monde</v>
      </c>
      <c r="B14857" t="str">
        <f>T("   ZZZ_Monde")</f>
        <v xml:space="preserve">   ZZZ_Monde</v>
      </c>
      <c r="C14857">
        <v>2305310</v>
      </c>
      <c r="D14857">
        <v>470</v>
      </c>
    </row>
    <row r="14858" spans="1:4" x14ac:dyDescent="0.25">
      <c r="A14858" t="str">
        <f>T("   BE")</f>
        <v xml:space="preserve">   BE</v>
      </c>
      <c r="B14858" t="str">
        <f>T("   Belgique")</f>
        <v xml:space="preserve">   Belgique</v>
      </c>
      <c r="C14858">
        <v>282548</v>
      </c>
      <c r="D14858">
        <v>8</v>
      </c>
    </row>
    <row r="14859" spans="1:4" x14ac:dyDescent="0.25">
      <c r="A14859" t="str">
        <f>T("   FR")</f>
        <v xml:space="preserve">   FR</v>
      </c>
      <c r="B14859" t="str">
        <f>T("   France")</f>
        <v xml:space="preserve">   France</v>
      </c>
      <c r="C14859">
        <v>2022762</v>
      </c>
      <c r="D14859">
        <v>462</v>
      </c>
    </row>
    <row r="14860" spans="1:4" x14ac:dyDescent="0.25">
      <c r="A14860" t="str">
        <f>T("902519")</f>
        <v>902519</v>
      </c>
      <c r="B14860" t="str">
        <f>T("THERMOMÈTRES ET PYROMÈTRES, NON-COMBINÉS À D'AUTRES INSTRUMENTS (À L'EXCL. DES THERMOMÈTRES À LIQUIDE, À LECTURE DIRECTE) [01/01/1988-31/12/1991: THERMOMÈTRES, NON COMBINES A D'AUTRES INSTRUMENTS, (NON REPR. SOUS 9025.11)]")</f>
        <v>THERMOMÈTRES ET PYROMÈTRES, NON-COMBINÉS À D'AUTRES INSTRUMENTS (À L'EXCL. DES THERMOMÈTRES À LIQUIDE, À LECTURE DIRECTE) [01/01/1988-31/12/1991: THERMOMÈTRES, NON COMBINES A D'AUTRES INSTRUMENTS, (NON REPR. SOUS 9025.11)]</v>
      </c>
    </row>
    <row r="14861" spans="1:4" x14ac:dyDescent="0.25">
      <c r="A14861" t="str">
        <f>T("   ZZZ_Monde")</f>
        <v xml:space="preserve">   ZZZ_Monde</v>
      </c>
      <c r="B14861" t="str">
        <f>T("   ZZZ_Monde")</f>
        <v xml:space="preserve">   ZZZ_Monde</v>
      </c>
      <c r="C14861">
        <v>10974971</v>
      </c>
      <c r="D14861">
        <v>1380</v>
      </c>
    </row>
    <row r="14862" spans="1:4" x14ac:dyDescent="0.25">
      <c r="A14862" t="str">
        <f>T("   BE")</f>
        <v xml:space="preserve">   BE</v>
      </c>
      <c r="B14862" t="str">
        <f>T("   Belgique")</f>
        <v xml:space="preserve">   Belgique</v>
      </c>
      <c r="C14862">
        <v>557205</v>
      </c>
      <c r="D14862">
        <v>2</v>
      </c>
    </row>
    <row r="14863" spans="1:4" x14ac:dyDescent="0.25">
      <c r="A14863" t="str">
        <f>T("   CI")</f>
        <v xml:space="preserve">   CI</v>
      </c>
      <c r="B14863" t="str">
        <f>T("   Côte d'Ivoire")</f>
        <v xml:space="preserve">   Côte d'Ivoire</v>
      </c>
      <c r="C14863">
        <v>254500</v>
      </c>
      <c r="D14863">
        <v>542</v>
      </c>
    </row>
    <row r="14864" spans="1:4" x14ac:dyDescent="0.25">
      <c r="A14864" t="str">
        <f>T("   DE")</f>
        <v xml:space="preserve">   DE</v>
      </c>
      <c r="B14864" t="str">
        <f>T("   Allemagne")</f>
        <v xml:space="preserve">   Allemagne</v>
      </c>
      <c r="C14864">
        <v>1622498</v>
      </c>
      <c r="D14864">
        <v>12</v>
      </c>
    </row>
    <row r="14865" spans="1:4" x14ac:dyDescent="0.25">
      <c r="A14865" t="str">
        <f>T("   ES")</f>
        <v xml:space="preserve">   ES</v>
      </c>
      <c r="B14865" t="str">
        <f>T("   Espagne")</f>
        <v xml:space="preserve">   Espagne</v>
      </c>
      <c r="C14865">
        <v>8528</v>
      </c>
      <c r="D14865">
        <v>15</v>
      </c>
    </row>
    <row r="14866" spans="1:4" x14ac:dyDescent="0.25">
      <c r="A14866" t="str">
        <f>T("   FR")</f>
        <v xml:space="preserve">   FR</v>
      </c>
      <c r="B14866" t="str">
        <f>T("   France")</f>
        <v xml:space="preserve">   France</v>
      </c>
      <c r="C14866">
        <v>8392222</v>
      </c>
      <c r="D14866">
        <v>616</v>
      </c>
    </row>
    <row r="14867" spans="1:4" x14ac:dyDescent="0.25">
      <c r="A14867" t="str">
        <f>T("   SN")</f>
        <v xml:space="preserve">   SN</v>
      </c>
      <c r="B14867" t="str">
        <f>T("   Sénégal")</f>
        <v xml:space="preserve">   Sénégal</v>
      </c>
      <c r="C14867">
        <v>140018</v>
      </c>
      <c r="D14867">
        <v>193</v>
      </c>
    </row>
    <row r="14868" spans="1:4" x14ac:dyDescent="0.25">
      <c r="A14868" t="str">
        <f>T("902580")</f>
        <v>902580</v>
      </c>
      <c r="B14868" t="str">
        <f>T("DENSIMÈTRES, ARÉOMÈTRES, PÈSE-LIQUIDES ET INSTRUMENTS FLOTTANTS SIMIL., BAROMÈTRES, HYGROMÈTRES ET PSYCHROMÈTRES, MÊME COMBINÉS ENTRE EUX OU COMBINÉS À DES THERMOMÈTRES [01/01/1988-31/12/1991: DENSIMÈTRES, ARÉOMÈTRES, PESE-LIQUIDES ET SIMILAIRES, PYROMETR")</f>
        <v>DENSIMÈTRES, ARÉOMÈTRES, PÈSE-LIQUIDES ET INSTRUMENTS FLOTTANTS SIMIL., BAROMÈTRES, HYGROMÈTRES ET PSYCHROMÈTRES, MÊME COMBINÉS ENTRE EUX OU COMBINÉS À DES THERMOMÈTRES [01/01/1988-31/12/1991: DENSIMÈTRES, ARÉOMÈTRES, PESE-LIQUIDES ET SIMILAIRES, PYROMETR</v>
      </c>
    </row>
    <row r="14869" spans="1:4" x14ac:dyDescent="0.25">
      <c r="A14869" t="str">
        <f>T("   ZZZ_Monde")</f>
        <v xml:space="preserve">   ZZZ_Monde</v>
      </c>
      <c r="B14869" t="str">
        <f>T("   ZZZ_Monde")</f>
        <v xml:space="preserve">   ZZZ_Monde</v>
      </c>
      <c r="C14869">
        <v>8461166</v>
      </c>
      <c r="D14869">
        <v>150.5</v>
      </c>
    </row>
    <row r="14870" spans="1:4" x14ac:dyDescent="0.25">
      <c r="A14870" t="str">
        <f>T("   DE")</f>
        <v xml:space="preserve">   DE</v>
      </c>
      <c r="B14870" t="str">
        <f>T("   Allemagne")</f>
        <v xml:space="preserve">   Allemagne</v>
      </c>
      <c r="C14870">
        <v>1748133</v>
      </c>
      <c r="D14870">
        <v>13</v>
      </c>
    </row>
    <row r="14871" spans="1:4" x14ac:dyDescent="0.25">
      <c r="A14871" t="str">
        <f>T("   FR")</f>
        <v xml:space="preserve">   FR</v>
      </c>
      <c r="B14871" t="str">
        <f>T("   France")</f>
        <v xml:space="preserve">   France</v>
      </c>
      <c r="C14871">
        <v>5274256</v>
      </c>
      <c r="D14871">
        <v>128</v>
      </c>
    </row>
    <row r="14872" spans="1:4" x14ac:dyDescent="0.25">
      <c r="A14872" t="str">
        <f>T("   NL")</f>
        <v xml:space="preserve">   NL</v>
      </c>
      <c r="B14872" t="str">
        <f>T("   Pays-bas")</f>
        <v xml:space="preserve">   Pays-bas</v>
      </c>
      <c r="C14872">
        <v>1176136</v>
      </c>
      <c r="D14872">
        <v>8.5</v>
      </c>
    </row>
    <row r="14873" spans="1:4" x14ac:dyDescent="0.25">
      <c r="A14873" t="str">
        <f>T("   SN")</f>
        <v xml:space="preserve">   SN</v>
      </c>
      <c r="B14873" t="str">
        <f>T("   Sénégal")</f>
        <v xml:space="preserve">   Sénégal</v>
      </c>
      <c r="C14873">
        <v>262641</v>
      </c>
      <c r="D14873">
        <v>1</v>
      </c>
    </row>
    <row r="14874" spans="1:4" x14ac:dyDescent="0.25">
      <c r="A14874" t="str">
        <f>T("902590")</f>
        <v>902590</v>
      </c>
      <c r="B14874" t="str">
        <f>T("Parties et accessoires des densimètres, aréomètres, pèse-liquides et instruments flottants simil., des thermomètres, pyromètres, baromètres, hygromètres et psychromètres, n.d.a.")</f>
        <v>Parties et accessoires des densimètres, aréomètres, pèse-liquides et instruments flottants simil., des thermomètres, pyromètres, baromètres, hygromètres et psychromètres, n.d.a.</v>
      </c>
    </row>
    <row r="14875" spans="1:4" x14ac:dyDescent="0.25">
      <c r="A14875" t="str">
        <f>T("   ZZZ_Monde")</f>
        <v xml:space="preserve">   ZZZ_Monde</v>
      </c>
      <c r="B14875" t="str">
        <f>T("   ZZZ_Monde")</f>
        <v xml:space="preserve">   ZZZ_Monde</v>
      </c>
      <c r="C14875">
        <v>1126883</v>
      </c>
      <c r="D14875">
        <v>13</v>
      </c>
    </row>
    <row r="14876" spans="1:4" x14ac:dyDescent="0.25">
      <c r="A14876" t="str">
        <f>T("   FR")</f>
        <v xml:space="preserve">   FR</v>
      </c>
      <c r="B14876" t="str">
        <f>T("   France")</f>
        <v xml:space="preserve">   France</v>
      </c>
      <c r="C14876">
        <v>1126883</v>
      </c>
      <c r="D14876">
        <v>13</v>
      </c>
    </row>
    <row r="14877" spans="1:4" x14ac:dyDescent="0.25">
      <c r="A14877" t="str">
        <f>T("902610")</f>
        <v>902610</v>
      </c>
      <c r="B14877" t="str">
        <f>T("Instruments et appareils pour la mesure ou le contrôle du débit ou du niveau des liquides (à l'excl. des compteurs et des instruments et appareils pour la régulation ou le contrôle automatiques)")</f>
        <v>Instruments et appareils pour la mesure ou le contrôle du débit ou du niveau des liquides (à l'excl. des compteurs et des instruments et appareils pour la régulation ou le contrôle automatiques)</v>
      </c>
    </row>
    <row r="14878" spans="1:4" x14ac:dyDescent="0.25">
      <c r="A14878" t="str">
        <f>T("   ZZZ_Monde")</f>
        <v xml:space="preserve">   ZZZ_Monde</v>
      </c>
      <c r="B14878" t="str">
        <f>T("   ZZZ_Monde")</f>
        <v xml:space="preserve">   ZZZ_Monde</v>
      </c>
      <c r="C14878">
        <v>94647308</v>
      </c>
      <c r="D14878">
        <v>3965.3</v>
      </c>
    </row>
    <row r="14879" spans="1:4" x14ac:dyDescent="0.25">
      <c r="A14879" t="str">
        <f>T("   BE")</f>
        <v xml:space="preserve">   BE</v>
      </c>
      <c r="B14879" t="str">
        <f>T("   Belgique")</f>
        <v xml:space="preserve">   Belgique</v>
      </c>
      <c r="C14879">
        <v>1479583</v>
      </c>
      <c r="D14879">
        <v>37.799999999999997</v>
      </c>
    </row>
    <row r="14880" spans="1:4" x14ac:dyDescent="0.25">
      <c r="A14880" t="str">
        <f>T("   CH")</f>
        <v xml:space="preserve">   CH</v>
      </c>
      <c r="B14880" t="str">
        <f>T("   Suisse")</f>
        <v xml:space="preserve">   Suisse</v>
      </c>
      <c r="C14880">
        <v>22659718</v>
      </c>
      <c r="D14880">
        <v>1969</v>
      </c>
    </row>
    <row r="14881" spans="1:4" x14ac:dyDescent="0.25">
      <c r="A14881" t="str">
        <f>T("   DE")</f>
        <v xml:space="preserve">   DE</v>
      </c>
      <c r="B14881" t="str">
        <f>T("   Allemagne")</f>
        <v xml:space="preserve">   Allemagne</v>
      </c>
      <c r="C14881">
        <v>20425141</v>
      </c>
      <c r="D14881">
        <v>405.5</v>
      </c>
    </row>
    <row r="14882" spans="1:4" x14ac:dyDescent="0.25">
      <c r="A14882" t="str">
        <f>T("   FR")</f>
        <v xml:space="preserve">   FR</v>
      </c>
      <c r="B14882" t="str">
        <f>T("   France")</f>
        <v xml:space="preserve">   France</v>
      </c>
      <c r="C14882">
        <v>46698522</v>
      </c>
      <c r="D14882">
        <v>699</v>
      </c>
    </row>
    <row r="14883" spans="1:4" x14ac:dyDescent="0.25">
      <c r="A14883" t="str">
        <f>T("   IT")</f>
        <v xml:space="preserve">   IT</v>
      </c>
      <c r="B14883" t="str">
        <f>T("   Italie")</f>
        <v xml:space="preserve">   Italie</v>
      </c>
      <c r="C14883">
        <v>384883</v>
      </c>
      <c r="D14883">
        <v>10</v>
      </c>
    </row>
    <row r="14884" spans="1:4" x14ac:dyDescent="0.25">
      <c r="A14884" t="str">
        <f>T("   RO")</f>
        <v xml:space="preserve">   RO</v>
      </c>
      <c r="B14884" t="str">
        <f>T("   Roumanie")</f>
        <v xml:space="preserve">   Roumanie</v>
      </c>
      <c r="C14884">
        <v>2814724</v>
      </c>
      <c r="D14884">
        <v>9</v>
      </c>
    </row>
    <row r="14885" spans="1:4" x14ac:dyDescent="0.25">
      <c r="A14885" t="str">
        <f>T("   TG")</f>
        <v xml:space="preserve">   TG</v>
      </c>
      <c r="B14885" t="str">
        <f>T("   Togo")</f>
        <v xml:space="preserve">   Togo</v>
      </c>
      <c r="C14885">
        <v>184737</v>
      </c>
      <c r="D14885">
        <v>835</v>
      </c>
    </row>
    <row r="14886" spans="1:4" x14ac:dyDescent="0.25">
      <c r="A14886" t="str">
        <f>T("902620")</f>
        <v>902620</v>
      </c>
      <c r="B14886" t="str">
        <f>T("Instruments et appareils pour la mesure ou le contrôle de la pression des liquides ou des gaz (à l'excl. des instruments et appareils pour la régulation ou le contrôle automatiques)")</f>
        <v>Instruments et appareils pour la mesure ou le contrôle de la pression des liquides ou des gaz (à l'excl. des instruments et appareils pour la régulation ou le contrôle automatiques)</v>
      </c>
    </row>
    <row r="14887" spans="1:4" x14ac:dyDescent="0.25">
      <c r="A14887" t="str">
        <f>T("   ZZZ_Monde")</f>
        <v xml:space="preserve">   ZZZ_Monde</v>
      </c>
      <c r="B14887" t="str">
        <f>T("   ZZZ_Monde")</f>
        <v xml:space="preserve">   ZZZ_Monde</v>
      </c>
      <c r="C14887">
        <v>43383215</v>
      </c>
      <c r="D14887">
        <v>992.13</v>
      </c>
    </row>
    <row r="14888" spans="1:4" x14ac:dyDescent="0.25">
      <c r="A14888" t="str">
        <f>T("   AT")</f>
        <v xml:space="preserve">   AT</v>
      </c>
      <c r="B14888" t="str">
        <f>T("   Autriche")</f>
        <v xml:space="preserve">   Autriche</v>
      </c>
      <c r="C14888">
        <v>140297</v>
      </c>
      <c r="D14888">
        <v>0.6</v>
      </c>
    </row>
    <row r="14889" spans="1:4" x14ac:dyDescent="0.25">
      <c r="A14889" t="str">
        <f>T("   AU")</f>
        <v xml:space="preserve">   AU</v>
      </c>
      <c r="B14889" t="str">
        <f>T("   Australie")</f>
        <v xml:space="preserve">   Australie</v>
      </c>
      <c r="C14889">
        <v>172517</v>
      </c>
      <c r="D14889">
        <v>0.4</v>
      </c>
    </row>
    <row r="14890" spans="1:4" x14ac:dyDescent="0.25">
      <c r="A14890" t="str">
        <f>T("   BE")</f>
        <v xml:space="preserve">   BE</v>
      </c>
      <c r="B14890" t="str">
        <f>T("   Belgique")</f>
        <v xml:space="preserve">   Belgique</v>
      </c>
      <c r="C14890">
        <v>7530796</v>
      </c>
      <c r="D14890">
        <v>81.38</v>
      </c>
    </row>
    <row r="14891" spans="1:4" x14ac:dyDescent="0.25">
      <c r="A14891" t="str">
        <f>T("   CN")</f>
        <v xml:space="preserve">   CN</v>
      </c>
      <c r="B14891" t="str">
        <f>T("   Chine")</f>
        <v xml:space="preserve">   Chine</v>
      </c>
      <c r="C14891">
        <v>111513</v>
      </c>
      <c r="D14891">
        <v>247</v>
      </c>
    </row>
    <row r="14892" spans="1:4" x14ac:dyDescent="0.25">
      <c r="A14892" t="str">
        <f>T("   DE")</f>
        <v xml:space="preserve">   DE</v>
      </c>
      <c r="B14892" t="str">
        <f>T("   Allemagne")</f>
        <v xml:space="preserve">   Allemagne</v>
      </c>
      <c r="C14892">
        <v>1601475</v>
      </c>
      <c r="D14892">
        <v>9</v>
      </c>
    </row>
    <row r="14893" spans="1:4" x14ac:dyDescent="0.25">
      <c r="A14893" t="str">
        <f>T("   FR")</f>
        <v xml:space="preserve">   FR</v>
      </c>
      <c r="B14893" t="str">
        <f>T("   France")</f>
        <v xml:space="preserve">   France</v>
      </c>
      <c r="C14893">
        <v>33529568</v>
      </c>
      <c r="D14893">
        <v>651</v>
      </c>
    </row>
    <row r="14894" spans="1:4" x14ac:dyDescent="0.25">
      <c r="A14894" t="str">
        <f>T("   IT")</f>
        <v xml:space="preserve">   IT</v>
      </c>
      <c r="B14894" t="str">
        <f>T("   Italie")</f>
        <v xml:space="preserve">   Italie</v>
      </c>
      <c r="C14894">
        <v>89867</v>
      </c>
      <c r="D14894">
        <v>0.5</v>
      </c>
    </row>
    <row r="14895" spans="1:4" x14ac:dyDescent="0.25">
      <c r="A14895" t="str">
        <f>T("   JP")</f>
        <v xml:space="preserve">   JP</v>
      </c>
      <c r="B14895" t="str">
        <f>T("   Japon")</f>
        <v xml:space="preserve">   Japon</v>
      </c>
      <c r="C14895">
        <v>21188</v>
      </c>
      <c r="D14895">
        <v>0.25</v>
      </c>
    </row>
    <row r="14896" spans="1:4" x14ac:dyDescent="0.25">
      <c r="A14896" t="str">
        <f>T("   NO")</f>
        <v xml:space="preserve">   NO</v>
      </c>
      <c r="B14896" t="str">
        <f>T("   Norvège")</f>
        <v xml:space="preserve">   Norvège</v>
      </c>
      <c r="C14896">
        <v>13251</v>
      </c>
      <c r="D14896">
        <v>1</v>
      </c>
    </row>
    <row r="14897" spans="1:4" x14ac:dyDescent="0.25">
      <c r="A14897" t="str">
        <f>T("   US")</f>
        <v xml:space="preserve">   US</v>
      </c>
      <c r="B14897" t="str">
        <f>T("   Etats-Unis")</f>
        <v xml:space="preserve">   Etats-Unis</v>
      </c>
      <c r="C14897">
        <v>172743</v>
      </c>
      <c r="D14897">
        <v>1</v>
      </c>
    </row>
    <row r="14898" spans="1:4" x14ac:dyDescent="0.25">
      <c r="A14898" t="str">
        <f>T("902680")</f>
        <v>902680</v>
      </c>
      <c r="B14898" t="str">
        <f>T("Instruments et appareils pour la mesure et le contrôle des caractéristiques variables des liquides ou des gaz, n.d.a.")</f>
        <v>Instruments et appareils pour la mesure et le contrôle des caractéristiques variables des liquides ou des gaz, n.d.a.</v>
      </c>
    </row>
    <row r="14899" spans="1:4" x14ac:dyDescent="0.25">
      <c r="A14899" t="str">
        <f>T("   ZZZ_Monde")</f>
        <v xml:space="preserve">   ZZZ_Monde</v>
      </c>
      <c r="B14899" t="str">
        <f>T("   ZZZ_Monde")</f>
        <v xml:space="preserve">   ZZZ_Monde</v>
      </c>
      <c r="C14899">
        <v>18302885</v>
      </c>
      <c r="D14899">
        <v>366</v>
      </c>
    </row>
    <row r="14900" spans="1:4" x14ac:dyDescent="0.25">
      <c r="A14900" t="str">
        <f>T("   DE")</f>
        <v xml:space="preserve">   DE</v>
      </c>
      <c r="B14900" t="str">
        <f>T("   Allemagne")</f>
        <v xml:space="preserve">   Allemagne</v>
      </c>
      <c r="C14900">
        <v>11417943</v>
      </c>
      <c r="D14900">
        <v>24</v>
      </c>
    </row>
    <row r="14901" spans="1:4" x14ac:dyDescent="0.25">
      <c r="A14901" t="str">
        <f>T("   FR")</f>
        <v xml:space="preserve">   FR</v>
      </c>
      <c r="B14901" t="str">
        <f>T("   France")</f>
        <v xml:space="preserve">   France</v>
      </c>
      <c r="C14901">
        <v>4594637</v>
      </c>
      <c r="D14901">
        <v>128</v>
      </c>
    </row>
    <row r="14902" spans="1:4" x14ac:dyDescent="0.25">
      <c r="A14902" t="str">
        <f>T("   NG")</f>
        <v xml:space="preserve">   NG</v>
      </c>
      <c r="B14902" t="str">
        <f>T("   Nigéria")</f>
        <v xml:space="preserve">   Nigéria</v>
      </c>
      <c r="C14902">
        <v>871210</v>
      </c>
      <c r="D14902">
        <v>7</v>
      </c>
    </row>
    <row r="14903" spans="1:4" x14ac:dyDescent="0.25">
      <c r="A14903" t="str">
        <f>T("   NO")</f>
        <v xml:space="preserve">   NO</v>
      </c>
      <c r="B14903" t="str">
        <f>T("   Norvège")</f>
        <v xml:space="preserve">   Norvège</v>
      </c>
      <c r="C14903">
        <v>167992</v>
      </c>
      <c r="D14903">
        <v>17</v>
      </c>
    </row>
    <row r="14904" spans="1:4" x14ac:dyDescent="0.25">
      <c r="A14904" t="str">
        <f>T("   SG")</f>
        <v xml:space="preserve">   SG</v>
      </c>
      <c r="B14904" t="str">
        <f>T("   Singapour")</f>
        <v xml:space="preserve">   Singapour</v>
      </c>
      <c r="C14904">
        <v>1251103</v>
      </c>
      <c r="D14904">
        <v>190</v>
      </c>
    </row>
    <row r="14905" spans="1:4" x14ac:dyDescent="0.25">
      <c r="A14905" t="str">
        <f>T("902690")</f>
        <v>902690</v>
      </c>
      <c r="B14905" t="str">
        <f>T("Parties et accessoires des instruments et appareils pour la mesure ou le contrôle du débit, du niveau, de la pression ou d'autres caractéristiques variables des liquides ou des gaz, n.d.a.")</f>
        <v>Parties et accessoires des instruments et appareils pour la mesure ou le contrôle du débit, du niveau, de la pression ou d'autres caractéristiques variables des liquides ou des gaz, n.d.a.</v>
      </c>
    </row>
    <row r="14906" spans="1:4" x14ac:dyDescent="0.25">
      <c r="A14906" t="str">
        <f>T("   ZZZ_Monde")</f>
        <v xml:space="preserve">   ZZZ_Monde</v>
      </c>
      <c r="B14906" t="str">
        <f>T("   ZZZ_Monde")</f>
        <v xml:space="preserve">   ZZZ_Monde</v>
      </c>
      <c r="C14906">
        <v>17240178</v>
      </c>
      <c r="D14906">
        <v>133</v>
      </c>
    </row>
    <row r="14907" spans="1:4" x14ac:dyDescent="0.25">
      <c r="A14907" t="str">
        <f>T("   BE")</f>
        <v xml:space="preserve">   BE</v>
      </c>
      <c r="B14907" t="str">
        <f>T("   Belgique")</f>
        <v xml:space="preserve">   Belgique</v>
      </c>
      <c r="C14907">
        <v>391721</v>
      </c>
      <c r="D14907">
        <v>2</v>
      </c>
    </row>
    <row r="14908" spans="1:4" x14ac:dyDescent="0.25">
      <c r="A14908" t="str">
        <f>T("   DE")</f>
        <v xml:space="preserve">   DE</v>
      </c>
      <c r="B14908" t="str">
        <f>T("   Allemagne")</f>
        <v xml:space="preserve">   Allemagne</v>
      </c>
      <c r="C14908">
        <v>3906335</v>
      </c>
      <c r="D14908">
        <v>61</v>
      </c>
    </row>
    <row r="14909" spans="1:4" x14ac:dyDescent="0.25">
      <c r="A14909" t="str">
        <f>T("   FR")</f>
        <v xml:space="preserve">   FR</v>
      </c>
      <c r="B14909" t="str">
        <f>T("   France")</f>
        <v xml:space="preserve">   France</v>
      </c>
      <c r="C14909">
        <v>12513196</v>
      </c>
      <c r="D14909">
        <v>58</v>
      </c>
    </row>
    <row r="14910" spans="1:4" x14ac:dyDescent="0.25">
      <c r="A14910" t="str">
        <f>T("   SE")</f>
        <v xml:space="preserve">   SE</v>
      </c>
      <c r="B14910" t="str">
        <f>T("   Suède")</f>
        <v xml:space="preserve">   Suède</v>
      </c>
      <c r="C14910">
        <v>428926</v>
      </c>
      <c r="D14910">
        <v>12</v>
      </c>
    </row>
    <row r="14911" spans="1:4" x14ac:dyDescent="0.25">
      <c r="A14911" t="str">
        <f>T("902710")</f>
        <v>902710</v>
      </c>
      <c r="B14911" t="str">
        <f>T("Analyseurs de gaz ou de fumées")</f>
        <v>Analyseurs de gaz ou de fumées</v>
      </c>
    </row>
    <row r="14912" spans="1:4" x14ac:dyDescent="0.25">
      <c r="A14912" t="str">
        <f>T("   ZZZ_Monde")</f>
        <v xml:space="preserve">   ZZZ_Monde</v>
      </c>
      <c r="B14912" t="str">
        <f>T("   ZZZ_Monde")</f>
        <v xml:space="preserve">   ZZZ_Monde</v>
      </c>
      <c r="C14912">
        <v>7436930</v>
      </c>
      <c r="D14912">
        <v>47</v>
      </c>
    </row>
    <row r="14913" spans="1:4" x14ac:dyDescent="0.25">
      <c r="A14913" t="str">
        <f>T("   FR")</f>
        <v xml:space="preserve">   FR</v>
      </c>
      <c r="B14913" t="str">
        <f>T("   France")</f>
        <v xml:space="preserve">   France</v>
      </c>
      <c r="C14913">
        <v>7436930</v>
      </c>
      <c r="D14913">
        <v>47</v>
      </c>
    </row>
    <row r="14914" spans="1:4" x14ac:dyDescent="0.25">
      <c r="A14914" t="str">
        <f>T("902730")</f>
        <v>902730</v>
      </c>
      <c r="B14914" t="str">
        <f>T("Spectromètres, spectrophotomètres et spectrographes utilisant les rayonnements optiques: UV, visibles, IR")</f>
        <v>Spectromètres, spectrophotomètres et spectrographes utilisant les rayonnements optiques: UV, visibles, IR</v>
      </c>
    </row>
    <row r="14915" spans="1:4" x14ac:dyDescent="0.25">
      <c r="A14915" t="str">
        <f>T("   ZZZ_Monde")</f>
        <v xml:space="preserve">   ZZZ_Monde</v>
      </c>
      <c r="B14915" t="str">
        <f>T("   ZZZ_Monde")</f>
        <v xml:space="preserve">   ZZZ_Monde</v>
      </c>
      <c r="C14915">
        <v>26387967</v>
      </c>
      <c r="D14915">
        <v>250.5</v>
      </c>
    </row>
    <row r="14916" spans="1:4" x14ac:dyDescent="0.25">
      <c r="A14916" t="str">
        <f>T("   CN")</f>
        <v xml:space="preserve">   CN</v>
      </c>
      <c r="B14916" t="str">
        <f>T("   Chine")</f>
        <v xml:space="preserve">   Chine</v>
      </c>
      <c r="C14916">
        <v>503318</v>
      </c>
      <c r="D14916">
        <v>52</v>
      </c>
    </row>
    <row r="14917" spans="1:4" x14ac:dyDescent="0.25">
      <c r="A14917" t="str">
        <f>T("   FR")</f>
        <v xml:space="preserve">   FR</v>
      </c>
      <c r="B14917" t="str">
        <f>T("   France")</f>
        <v xml:space="preserve">   France</v>
      </c>
      <c r="C14917">
        <v>24206153</v>
      </c>
      <c r="D14917">
        <v>100.5</v>
      </c>
    </row>
    <row r="14918" spans="1:4" x14ac:dyDescent="0.25">
      <c r="A14918" t="str">
        <f>T("   HK")</f>
        <v xml:space="preserve">   HK</v>
      </c>
      <c r="B14918" t="str">
        <f>T("   Hong-Kong")</f>
        <v xml:space="preserve">   Hong-Kong</v>
      </c>
      <c r="C14918">
        <v>1678496</v>
      </c>
      <c r="D14918">
        <v>98</v>
      </c>
    </row>
    <row r="14919" spans="1:4" x14ac:dyDescent="0.25">
      <c r="A14919" t="str">
        <f>T("902750")</f>
        <v>902750</v>
      </c>
      <c r="B14919" t="str">
        <f>T("Instruments et appareils utilisant les rayonnements optiques: UV, visibles, IR (à l'excl. des spectromètres, spectrophotomètres et spectrographes ainsi que des analyseurs de gaz ou de fumées)")</f>
        <v>Instruments et appareils utilisant les rayonnements optiques: UV, visibles, IR (à l'excl. des spectromètres, spectrophotomètres et spectrographes ainsi que des analyseurs de gaz ou de fumées)</v>
      </c>
    </row>
    <row r="14920" spans="1:4" x14ac:dyDescent="0.25">
      <c r="A14920" t="str">
        <f>T("   ZZZ_Monde")</f>
        <v xml:space="preserve">   ZZZ_Monde</v>
      </c>
      <c r="B14920" t="str">
        <f>T("   ZZZ_Monde")</f>
        <v xml:space="preserve">   ZZZ_Monde</v>
      </c>
      <c r="C14920">
        <v>7264488</v>
      </c>
      <c r="D14920">
        <v>327</v>
      </c>
    </row>
    <row r="14921" spans="1:4" x14ac:dyDescent="0.25">
      <c r="A14921" t="str">
        <f>T("   DE")</f>
        <v xml:space="preserve">   DE</v>
      </c>
      <c r="B14921" t="str">
        <f>T("   Allemagne")</f>
        <v xml:space="preserve">   Allemagne</v>
      </c>
      <c r="C14921">
        <v>2794022</v>
      </c>
      <c r="D14921">
        <v>2</v>
      </c>
    </row>
    <row r="14922" spans="1:4" x14ac:dyDescent="0.25">
      <c r="A14922" t="str">
        <f>T("   FR")</f>
        <v xml:space="preserve">   FR</v>
      </c>
      <c r="B14922" t="str">
        <f>T("   France")</f>
        <v xml:space="preserve">   France</v>
      </c>
      <c r="C14922">
        <v>4470466</v>
      </c>
      <c r="D14922">
        <v>325</v>
      </c>
    </row>
    <row r="14923" spans="1:4" x14ac:dyDescent="0.25">
      <c r="A14923" t="str">
        <f>T("902780")</f>
        <v>902780</v>
      </c>
      <c r="B14923" t="str">
        <f>T("Instruments et appareils pour analyses physiques ou chimiques, ou pour essais de viscosité, de porosité, de dilatation, de tension superficielle ou simil. ou pour mesures calorimétriques ou acoustiques ou photométriques, n.d.a.")</f>
        <v>Instruments et appareils pour analyses physiques ou chimiques, ou pour essais de viscosité, de porosité, de dilatation, de tension superficielle ou simil. ou pour mesures calorimétriques ou acoustiques ou photométriques, n.d.a.</v>
      </c>
    </row>
    <row r="14924" spans="1:4" x14ac:dyDescent="0.25">
      <c r="A14924" t="str">
        <f>T("   ZZZ_Monde")</f>
        <v xml:space="preserve">   ZZZ_Monde</v>
      </c>
      <c r="B14924" t="str">
        <f>T("   ZZZ_Monde")</f>
        <v xml:space="preserve">   ZZZ_Monde</v>
      </c>
      <c r="C14924">
        <v>119102543</v>
      </c>
      <c r="D14924">
        <v>2034.75</v>
      </c>
    </row>
    <row r="14925" spans="1:4" x14ac:dyDescent="0.25">
      <c r="A14925" t="str">
        <f>T("   CN")</f>
        <v xml:space="preserve">   CN</v>
      </c>
      <c r="B14925" t="str">
        <f>T("   Chine")</f>
        <v xml:space="preserve">   Chine</v>
      </c>
      <c r="C14925">
        <v>862830</v>
      </c>
      <c r="D14925">
        <v>62</v>
      </c>
    </row>
    <row r="14926" spans="1:4" x14ac:dyDescent="0.25">
      <c r="A14926" t="str">
        <f>T("   DE")</f>
        <v xml:space="preserve">   DE</v>
      </c>
      <c r="B14926" t="str">
        <f>T("   Allemagne")</f>
        <v xml:space="preserve">   Allemagne</v>
      </c>
      <c r="C14926">
        <v>31160893</v>
      </c>
      <c r="D14926">
        <v>48.75</v>
      </c>
    </row>
    <row r="14927" spans="1:4" x14ac:dyDescent="0.25">
      <c r="A14927" t="str">
        <f>T("   FR")</f>
        <v xml:space="preserve">   FR</v>
      </c>
      <c r="B14927" t="str">
        <f>T("   France")</f>
        <v xml:space="preserve">   France</v>
      </c>
      <c r="C14927">
        <v>46579195</v>
      </c>
      <c r="D14927">
        <v>640</v>
      </c>
    </row>
    <row r="14928" spans="1:4" x14ac:dyDescent="0.25">
      <c r="A14928" t="str">
        <f>T("   HK")</f>
        <v xml:space="preserve">   HK</v>
      </c>
      <c r="B14928" t="str">
        <f>T("   Hong-Kong")</f>
        <v xml:space="preserve">   Hong-Kong</v>
      </c>
      <c r="C14928">
        <v>6041523</v>
      </c>
      <c r="D14928">
        <v>487</v>
      </c>
    </row>
    <row r="14929" spans="1:4" x14ac:dyDescent="0.25">
      <c r="A14929" t="str">
        <f>T("   KR")</f>
        <v xml:space="preserve">   KR</v>
      </c>
      <c r="B14929" t="str">
        <f>T("   Corée, République de")</f>
        <v xml:space="preserve">   Corée, République de</v>
      </c>
      <c r="C14929">
        <v>2795785</v>
      </c>
      <c r="D14929">
        <v>310</v>
      </c>
    </row>
    <row r="14930" spans="1:4" x14ac:dyDescent="0.25">
      <c r="A14930" t="str">
        <f>T("   NL")</f>
        <v xml:space="preserve">   NL</v>
      </c>
      <c r="B14930" t="str">
        <f>T("   Pays-bas")</f>
        <v xml:space="preserve">   Pays-bas</v>
      </c>
      <c r="C14930">
        <v>29387566</v>
      </c>
      <c r="D14930">
        <v>484</v>
      </c>
    </row>
    <row r="14931" spans="1:4" x14ac:dyDescent="0.25">
      <c r="A14931" t="str">
        <f>T("   NO")</f>
        <v xml:space="preserve">   NO</v>
      </c>
      <c r="B14931" t="str">
        <f>T("   Norvège")</f>
        <v xml:space="preserve">   Norvège</v>
      </c>
      <c r="C14931">
        <v>2274751</v>
      </c>
      <c r="D14931">
        <v>3</v>
      </c>
    </row>
    <row r="14932" spans="1:4" x14ac:dyDescent="0.25">
      <c r="A14932" t="str">
        <f>T("902790")</f>
        <v>902790</v>
      </c>
      <c r="B14932" t="str">
        <f>T("Microtomes; parties et accessoires des instruments et appareils pour analyses physiques ou chimiques, p.ex. polarimètres, réfractomètres, spectromètres, des instruments et appareils pour essais de viscosité, de porosité, de dilatation, de tension superfic")</f>
        <v>Microtomes; parties et accessoires des instruments et appareils pour analyses physiques ou chimiques, p.ex. polarimètres, réfractomètres, spectromètres, des instruments et appareils pour essais de viscosité, de porosité, de dilatation, de tension superfic</v>
      </c>
    </row>
    <row r="14933" spans="1:4" x14ac:dyDescent="0.25">
      <c r="A14933" t="str">
        <f>T("   ZZZ_Monde")</f>
        <v xml:space="preserve">   ZZZ_Monde</v>
      </c>
      <c r="B14933" t="str">
        <f>T("   ZZZ_Monde")</f>
        <v xml:space="preserve">   ZZZ_Monde</v>
      </c>
      <c r="C14933">
        <v>30043308</v>
      </c>
      <c r="D14933">
        <v>229.5</v>
      </c>
    </row>
    <row r="14934" spans="1:4" x14ac:dyDescent="0.25">
      <c r="A14934" t="str">
        <f>T("   CH")</f>
        <v xml:space="preserve">   CH</v>
      </c>
      <c r="B14934" t="str">
        <f>T("   Suisse")</f>
        <v xml:space="preserve">   Suisse</v>
      </c>
      <c r="C14934">
        <v>799586</v>
      </c>
      <c r="D14934">
        <v>58</v>
      </c>
    </row>
    <row r="14935" spans="1:4" x14ac:dyDescent="0.25">
      <c r="A14935" t="str">
        <f>T("   DE")</f>
        <v xml:space="preserve">   DE</v>
      </c>
      <c r="B14935" t="str">
        <f>T("   Allemagne")</f>
        <v xml:space="preserve">   Allemagne</v>
      </c>
      <c r="C14935">
        <v>16016353</v>
      </c>
      <c r="D14935">
        <v>52.5</v>
      </c>
    </row>
    <row r="14936" spans="1:4" x14ac:dyDescent="0.25">
      <c r="A14936" t="str">
        <f>T("   FR")</f>
        <v xml:space="preserve">   FR</v>
      </c>
      <c r="B14936" t="str">
        <f>T("   France")</f>
        <v xml:space="preserve">   France</v>
      </c>
      <c r="C14936">
        <v>10669125</v>
      </c>
      <c r="D14936">
        <v>118</v>
      </c>
    </row>
    <row r="14937" spans="1:4" x14ac:dyDescent="0.25">
      <c r="A14937" t="str">
        <f>T("   HK")</f>
        <v xml:space="preserve">   HK</v>
      </c>
      <c r="B14937" t="str">
        <f>T("   Hong-Kong")</f>
        <v xml:space="preserve">   Hong-Kong</v>
      </c>
      <c r="C14937">
        <v>2558244</v>
      </c>
      <c r="D14937">
        <v>1</v>
      </c>
    </row>
    <row r="14938" spans="1:4" x14ac:dyDescent="0.25">
      <c r="A14938" t="str">
        <f>T("902810")</f>
        <v>902810</v>
      </c>
      <c r="B14938" t="str">
        <f>T("Compteurs de gaz, y.c. les compteurs pour leur étalonnage")</f>
        <v>Compteurs de gaz, y.c. les compteurs pour leur étalonnage</v>
      </c>
    </row>
    <row r="14939" spans="1:4" x14ac:dyDescent="0.25">
      <c r="A14939" t="str">
        <f>T("   ZZZ_Monde")</f>
        <v xml:space="preserve">   ZZZ_Monde</v>
      </c>
      <c r="B14939" t="str">
        <f>T("   ZZZ_Monde")</f>
        <v xml:space="preserve">   ZZZ_Monde</v>
      </c>
      <c r="C14939">
        <v>5714815</v>
      </c>
      <c r="D14939">
        <v>22</v>
      </c>
    </row>
    <row r="14940" spans="1:4" x14ac:dyDescent="0.25">
      <c r="A14940" t="str">
        <f>T("   DE")</f>
        <v xml:space="preserve">   DE</v>
      </c>
      <c r="B14940" t="str">
        <f>T("   Allemagne")</f>
        <v xml:space="preserve">   Allemagne</v>
      </c>
      <c r="C14940">
        <v>5714815</v>
      </c>
      <c r="D14940">
        <v>22</v>
      </c>
    </row>
    <row r="14941" spans="1:4" x14ac:dyDescent="0.25">
      <c r="A14941" t="str">
        <f>T("902820")</f>
        <v>902820</v>
      </c>
      <c r="B14941" t="str">
        <f>T("Compteurs de liquides, y.c. les compteurs pour leur étalonnage")</f>
        <v>Compteurs de liquides, y.c. les compteurs pour leur étalonnage</v>
      </c>
    </row>
    <row r="14942" spans="1:4" x14ac:dyDescent="0.25">
      <c r="A14942" t="str">
        <f>T("   ZZZ_Monde")</f>
        <v xml:space="preserve">   ZZZ_Monde</v>
      </c>
      <c r="B14942" t="str">
        <f>T("   ZZZ_Monde")</f>
        <v xml:space="preserve">   ZZZ_Monde</v>
      </c>
      <c r="C14942">
        <v>40202814</v>
      </c>
      <c r="D14942">
        <v>12279</v>
      </c>
    </row>
    <row r="14943" spans="1:4" x14ac:dyDescent="0.25">
      <c r="A14943" t="str">
        <f>T("   BE")</f>
        <v xml:space="preserve">   BE</v>
      </c>
      <c r="B14943" t="str">
        <f>T("   Belgique")</f>
        <v xml:space="preserve">   Belgique</v>
      </c>
      <c r="C14943">
        <v>7807236</v>
      </c>
      <c r="D14943">
        <v>2950</v>
      </c>
    </row>
    <row r="14944" spans="1:4" x14ac:dyDescent="0.25">
      <c r="A14944" t="str">
        <f>T("   CN")</f>
        <v xml:space="preserve">   CN</v>
      </c>
      <c r="B14944" t="str">
        <f>T("   Chine")</f>
        <v xml:space="preserve">   Chine</v>
      </c>
      <c r="C14944">
        <v>1769615</v>
      </c>
      <c r="D14944">
        <v>7291</v>
      </c>
    </row>
    <row r="14945" spans="1:4" x14ac:dyDescent="0.25">
      <c r="A14945" t="str">
        <f>T("   FR")</f>
        <v xml:space="preserve">   FR</v>
      </c>
      <c r="B14945" t="str">
        <f>T("   France")</f>
        <v xml:space="preserve">   France</v>
      </c>
      <c r="C14945">
        <v>30557970</v>
      </c>
      <c r="D14945">
        <v>1604</v>
      </c>
    </row>
    <row r="14946" spans="1:4" x14ac:dyDescent="0.25">
      <c r="A14946" t="str">
        <f>T("   TG")</f>
        <v xml:space="preserve">   TG</v>
      </c>
      <c r="B14946" t="str">
        <f>T("   Togo")</f>
        <v xml:space="preserve">   Togo</v>
      </c>
      <c r="C14946">
        <v>67993</v>
      </c>
      <c r="D14946">
        <v>434</v>
      </c>
    </row>
    <row r="14947" spans="1:4" x14ac:dyDescent="0.25">
      <c r="A14947" t="str">
        <f>T("902830")</f>
        <v>902830</v>
      </c>
      <c r="B14947" t="str">
        <f>T("Compteurs d'électricité, y.c. les compteurs pour leur étalonnage")</f>
        <v>Compteurs d'électricité, y.c. les compteurs pour leur étalonnage</v>
      </c>
    </row>
    <row r="14948" spans="1:4" x14ac:dyDescent="0.25">
      <c r="A14948" t="str">
        <f>T("   ZZZ_Monde")</f>
        <v xml:space="preserve">   ZZZ_Monde</v>
      </c>
      <c r="B14948" t="str">
        <f>T("   ZZZ_Monde")</f>
        <v xml:space="preserve">   ZZZ_Monde</v>
      </c>
      <c r="C14948">
        <v>676130668</v>
      </c>
      <c r="D14948">
        <v>121889.5</v>
      </c>
    </row>
    <row r="14949" spans="1:4" x14ac:dyDescent="0.25">
      <c r="A14949" t="str">
        <f>T("   CN")</f>
        <v xml:space="preserve">   CN</v>
      </c>
      <c r="B14949" t="str">
        <f>T("   Chine")</f>
        <v xml:space="preserve">   Chine</v>
      </c>
      <c r="C14949">
        <v>4080865</v>
      </c>
      <c r="D14949">
        <v>8253</v>
      </c>
    </row>
    <row r="14950" spans="1:4" x14ac:dyDescent="0.25">
      <c r="A14950" t="str">
        <f>T("   FR")</f>
        <v xml:space="preserve">   FR</v>
      </c>
      <c r="B14950" t="str">
        <f>T("   France")</f>
        <v xml:space="preserve">   France</v>
      </c>
      <c r="C14950">
        <v>229428511</v>
      </c>
      <c r="D14950">
        <v>442.5</v>
      </c>
    </row>
    <row r="14951" spans="1:4" x14ac:dyDescent="0.25">
      <c r="A14951" t="str">
        <f>T("   LB")</f>
        <v xml:space="preserve">   LB</v>
      </c>
      <c r="B14951" t="str">
        <f>T("   Liban")</f>
        <v xml:space="preserve">   Liban</v>
      </c>
      <c r="C14951">
        <v>8005</v>
      </c>
      <c r="D14951">
        <v>20</v>
      </c>
    </row>
    <row r="14952" spans="1:4" x14ac:dyDescent="0.25">
      <c r="A14952" t="str">
        <f>T("   TN")</f>
        <v xml:space="preserve">   TN</v>
      </c>
      <c r="B14952" t="str">
        <f>T("   Tunisie")</f>
        <v xml:space="preserve">   Tunisie</v>
      </c>
      <c r="C14952">
        <v>322730037</v>
      </c>
      <c r="D14952">
        <v>109174</v>
      </c>
    </row>
    <row r="14953" spans="1:4" x14ac:dyDescent="0.25">
      <c r="A14953" t="str">
        <f>T("   ZA")</f>
        <v xml:space="preserve">   ZA</v>
      </c>
      <c r="B14953" t="str">
        <f>T("   Afrique du Sud")</f>
        <v xml:space="preserve">   Afrique du Sud</v>
      </c>
      <c r="C14953">
        <v>119883250</v>
      </c>
      <c r="D14953">
        <v>4000</v>
      </c>
    </row>
    <row r="14954" spans="1:4" x14ac:dyDescent="0.25">
      <c r="A14954" t="str">
        <f>T("902890")</f>
        <v>902890</v>
      </c>
      <c r="B14954" t="str">
        <f>T("Parties et accessoires de compteurs de gaz, de liquides ou d'électricité, n.d.a.")</f>
        <v>Parties et accessoires de compteurs de gaz, de liquides ou d'électricité, n.d.a.</v>
      </c>
    </row>
    <row r="14955" spans="1:4" x14ac:dyDescent="0.25">
      <c r="A14955" t="str">
        <f>T("   ZZZ_Monde")</f>
        <v xml:space="preserve">   ZZZ_Monde</v>
      </c>
      <c r="B14955" t="str">
        <f>T("   ZZZ_Monde")</f>
        <v xml:space="preserve">   ZZZ_Monde</v>
      </c>
      <c r="C14955">
        <v>88229899</v>
      </c>
      <c r="D14955">
        <v>8379</v>
      </c>
    </row>
    <row r="14956" spans="1:4" x14ac:dyDescent="0.25">
      <c r="A14956" t="str">
        <f>T("   FR")</f>
        <v xml:space="preserve">   FR</v>
      </c>
      <c r="B14956" t="str">
        <f>T("   France")</f>
        <v xml:space="preserve">   France</v>
      </c>
      <c r="C14956">
        <v>88229899</v>
      </c>
      <c r="D14956">
        <v>8379</v>
      </c>
    </row>
    <row r="14957" spans="1:4" x14ac:dyDescent="0.25">
      <c r="A14957" t="str">
        <f>T("902910")</f>
        <v>902910</v>
      </c>
      <c r="B14957" t="str">
        <f>T("Compteurs de tours, compteurs de production, taximètres, totalisateurs de chemin parcouru, podomètres et compteurs simil. (à l'excl. des compteurs de gaz, de liquides et d'électricité)")</f>
        <v>Compteurs de tours, compteurs de production, taximètres, totalisateurs de chemin parcouru, podomètres et compteurs simil. (à l'excl. des compteurs de gaz, de liquides et d'électricité)</v>
      </c>
    </row>
    <row r="14958" spans="1:4" x14ac:dyDescent="0.25">
      <c r="A14958" t="str">
        <f>T("   ZZZ_Monde")</f>
        <v xml:space="preserve">   ZZZ_Monde</v>
      </c>
      <c r="B14958" t="str">
        <f>T("   ZZZ_Monde")</f>
        <v xml:space="preserve">   ZZZ_Monde</v>
      </c>
      <c r="C14958">
        <v>345692</v>
      </c>
      <c r="D14958">
        <v>20</v>
      </c>
    </row>
    <row r="14959" spans="1:4" x14ac:dyDescent="0.25">
      <c r="A14959" t="str">
        <f>T("   BE")</f>
        <v xml:space="preserve">   BE</v>
      </c>
      <c r="B14959" t="str">
        <f>T("   Belgique")</f>
        <v xml:space="preserve">   Belgique</v>
      </c>
      <c r="C14959">
        <v>217779</v>
      </c>
      <c r="D14959">
        <v>6</v>
      </c>
    </row>
    <row r="14960" spans="1:4" x14ac:dyDescent="0.25">
      <c r="A14960" t="str">
        <f>T("   FR")</f>
        <v xml:space="preserve">   FR</v>
      </c>
      <c r="B14960" t="str">
        <f>T("   France")</f>
        <v xml:space="preserve">   France</v>
      </c>
      <c r="C14960">
        <v>127913</v>
      </c>
      <c r="D14960">
        <v>14</v>
      </c>
    </row>
    <row r="14961" spans="1:4" x14ac:dyDescent="0.25">
      <c r="A14961" t="str">
        <f>T("902920")</f>
        <v>902920</v>
      </c>
      <c r="B14961" t="str">
        <f>T("Indicateurs de vitesse et tachymètres; stroboscopes")</f>
        <v>Indicateurs de vitesse et tachymètres; stroboscopes</v>
      </c>
    </row>
    <row r="14962" spans="1:4" x14ac:dyDescent="0.25">
      <c r="A14962" t="str">
        <f>T("   ZZZ_Monde")</f>
        <v xml:space="preserve">   ZZZ_Monde</v>
      </c>
      <c r="B14962" t="str">
        <f>T("   ZZZ_Monde")</f>
        <v xml:space="preserve">   ZZZ_Monde</v>
      </c>
      <c r="C14962">
        <v>2149985</v>
      </c>
      <c r="D14962">
        <v>689</v>
      </c>
    </row>
    <row r="14963" spans="1:4" x14ac:dyDescent="0.25">
      <c r="A14963" t="str">
        <f>T("   CI")</f>
        <v xml:space="preserve">   CI</v>
      </c>
      <c r="B14963" t="str">
        <f>T("   Côte d'Ivoire")</f>
        <v xml:space="preserve">   Côte d'Ivoire</v>
      </c>
      <c r="C14963">
        <v>1029500</v>
      </c>
      <c r="D14963">
        <v>640</v>
      </c>
    </row>
    <row r="14964" spans="1:4" x14ac:dyDescent="0.25">
      <c r="A14964" t="str">
        <f>T("   FR")</f>
        <v xml:space="preserve">   FR</v>
      </c>
      <c r="B14964" t="str">
        <f>T("   France")</f>
        <v xml:space="preserve">   France</v>
      </c>
      <c r="C14964">
        <v>1120485</v>
      </c>
      <c r="D14964">
        <v>49</v>
      </c>
    </row>
    <row r="14965" spans="1:4" x14ac:dyDescent="0.25">
      <c r="A14965" t="str">
        <f>T("902990")</f>
        <v>902990</v>
      </c>
      <c r="B14965" t="str">
        <f>T("Parties et accessoires de compteurs de tours, compteurs de production, taximètres, totalisateurs de chemin parcouru, podomètres et compteurs simil., d'indicateurs de vitesse et de tachymètres ainsi que de stroboscopes, n.d.a.")</f>
        <v>Parties et accessoires de compteurs de tours, compteurs de production, taximètres, totalisateurs de chemin parcouru, podomètres et compteurs simil., d'indicateurs de vitesse et de tachymètres ainsi que de stroboscopes, n.d.a.</v>
      </c>
    </row>
    <row r="14966" spans="1:4" x14ac:dyDescent="0.25">
      <c r="A14966" t="str">
        <f>T("   ZZZ_Monde")</f>
        <v xml:space="preserve">   ZZZ_Monde</v>
      </c>
      <c r="B14966" t="str">
        <f>T("   ZZZ_Monde")</f>
        <v xml:space="preserve">   ZZZ_Monde</v>
      </c>
      <c r="C14966">
        <v>225774</v>
      </c>
      <c r="D14966">
        <v>6</v>
      </c>
    </row>
    <row r="14967" spans="1:4" x14ac:dyDescent="0.25">
      <c r="A14967" t="str">
        <f>T("   LB")</f>
        <v xml:space="preserve">   LB</v>
      </c>
      <c r="B14967" t="str">
        <f>T("   Liban")</f>
        <v xml:space="preserve">   Liban</v>
      </c>
      <c r="C14967">
        <v>225774</v>
      </c>
      <c r="D14967">
        <v>6</v>
      </c>
    </row>
    <row r="14968" spans="1:4" x14ac:dyDescent="0.25">
      <c r="A14968" t="str">
        <f>T("903020")</f>
        <v>903020</v>
      </c>
      <c r="B14968" t="str">
        <f>T("OSCILLOSCOPES ET OSCILLOGRAPHES")</f>
        <v>OSCILLOSCOPES ET OSCILLOGRAPHES</v>
      </c>
    </row>
    <row r="14969" spans="1:4" x14ac:dyDescent="0.25">
      <c r="A14969" t="str">
        <f>T("   ZZZ_Monde")</f>
        <v xml:space="preserve">   ZZZ_Monde</v>
      </c>
      <c r="B14969" t="str">
        <f>T("   ZZZ_Monde")</f>
        <v xml:space="preserve">   ZZZ_Monde</v>
      </c>
      <c r="C14969">
        <v>788994</v>
      </c>
      <c r="D14969">
        <v>179.5</v>
      </c>
    </row>
    <row r="14970" spans="1:4" x14ac:dyDescent="0.25">
      <c r="A14970" t="str">
        <f>T("   FR")</f>
        <v xml:space="preserve">   FR</v>
      </c>
      <c r="B14970" t="str">
        <f>T("   France")</f>
        <v xml:space="preserve">   France</v>
      </c>
      <c r="C14970">
        <v>788994</v>
      </c>
      <c r="D14970">
        <v>179.5</v>
      </c>
    </row>
    <row r="14971" spans="1:4" x14ac:dyDescent="0.25">
      <c r="A14971" t="str">
        <f>T("903031")</f>
        <v>903031</v>
      </c>
      <c r="B14971" t="str">
        <f>T("Multimètres pour la mesure de la tension, de l'intensité, de la résistance ou de la puissance, sans dispositif enregistreur")</f>
        <v>Multimètres pour la mesure de la tension, de l'intensité, de la résistance ou de la puissance, sans dispositif enregistreur</v>
      </c>
    </row>
    <row r="14972" spans="1:4" x14ac:dyDescent="0.25">
      <c r="A14972" t="str">
        <f>T("   ZZZ_Monde")</f>
        <v xml:space="preserve">   ZZZ_Monde</v>
      </c>
      <c r="B14972" t="str">
        <f>T("   ZZZ_Monde")</f>
        <v xml:space="preserve">   ZZZ_Monde</v>
      </c>
      <c r="C14972">
        <v>5889172</v>
      </c>
      <c r="D14972">
        <v>125</v>
      </c>
    </row>
    <row r="14973" spans="1:4" x14ac:dyDescent="0.25">
      <c r="A14973" t="str">
        <f>T("   AE")</f>
        <v xml:space="preserve">   AE</v>
      </c>
      <c r="B14973" t="str">
        <f>T("   Emirats Arabes Unis")</f>
        <v xml:space="preserve">   Emirats Arabes Unis</v>
      </c>
      <c r="C14973">
        <v>22050</v>
      </c>
      <c r="D14973">
        <v>71</v>
      </c>
    </row>
    <row r="14974" spans="1:4" x14ac:dyDescent="0.25">
      <c r="A14974" t="str">
        <f>T("   FR")</f>
        <v xml:space="preserve">   FR</v>
      </c>
      <c r="B14974" t="str">
        <f>T("   France")</f>
        <v xml:space="preserve">   France</v>
      </c>
      <c r="C14974">
        <v>5867122</v>
      </c>
      <c r="D14974">
        <v>54</v>
      </c>
    </row>
    <row r="14975" spans="1:4" x14ac:dyDescent="0.25">
      <c r="A14975" t="str">
        <f>T("903039")</f>
        <v>903039</v>
      </c>
      <c r="B14975" t="str">
        <f>T("Instruments et appareils pour la mesure ou le contrôle de la tension, de l'intensité, de la résistance ou de la puissance, sans dispositif enregistreur (à l'excl. des multimètres ainsi que des oscilloscopes et oscillographes cathodiques)")</f>
        <v>Instruments et appareils pour la mesure ou le contrôle de la tension, de l'intensité, de la résistance ou de la puissance, sans dispositif enregistreur (à l'excl. des multimètres ainsi que des oscilloscopes et oscillographes cathodiques)</v>
      </c>
    </row>
    <row r="14976" spans="1:4" x14ac:dyDescent="0.25">
      <c r="A14976" t="str">
        <f>T("   ZZZ_Monde")</f>
        <v xml:space="preserve">   ZZZ_Monde</v>
      </c>
      <c r="B14976" t="str">
        <f>T("   ZZZ_Monde")</f>
        <v xml:space="preserve">   ZZZ_Monde</v>
      </c>
      <c r="C14976">
        <v>36573644</v>
      </c>
      <c r="D14976">
        <v>4687</v>
      </c>
    </row>
    <row r="14977" spans="1:4" x14ac:dyDescent="0.25">
      <c r="A14977" t="str">
        <f>T("   CN")</f>
        <v xml:space="preserve">   CN</v>
      </c>
      <c r="B14977" t="str">
        <f>T("   Chine")</f>
        <v xml:space="preserve">   Chine</v>
      </c>
      <c r="C14977">
        <v>913552</v>
      </c>
      <c r="D14977">
        <v>2832</v>
      </c>
    </row>
    <row r="14978" spans="1:4" x14ac:dyDescent="0.25">
      <c r="A14978" t="str">
        <f>T("   DE")</f>
        <v xml:space="preserve">   DE</v>
      </c>
      <c r="B14978" t="str">
        <f>T("   Allemagne")</f>
        <v xml:space="preserve">   Allemagne</v>
      </c>
      <c r="C14978">
        <v>927199</v>
      </c>
      <c r="D14978">
        <v>122</v>
      </c>
    </row>
    <row r="14979" spans="1:4" x14ac:dyDescent="0.25">
      <c r="A14979" t="str">
        <f>T("   FR")</f>
        <v xml:space="preserve">   FR</v>
      </c>
      <c r="B14979" t="str">
        <f>T("   France")</f>
        <v xml:space="preserve">   France</v>
      </c>
      <c r="C14979">
        <v>22895768</v>
      </c>
      <c r="D14979">
        <v>1664</v>
      </c>
    </row>
    <row r="14980" spans="1:4" x14ac:dyDescent="0.25">
      <c r="A14980" t="str">
        <f>T("   SN")</f>
        <v xml:space="preserve">   SN</v>
      </c>
      <c r="B14980" t="str">
        <f>T("   Sénégal")</f>
        <v xml:space="preserve">   Sénégal</v>
      </c>
      <c r="C14980">
        <v>247507</v>
      </c>
      <c r="D14980">
        <v>58</v>
      </c>
    </row>
    <row r="14981" spans="1:4" x14ac:dyDescent="0.25">
      <c r="A14981" t="str">
        <f>T("   ZA")</f>
        <v xml:space="preserve">   ZA</v>
      </c>
      <c r="B14981" t="str">
        <f>T("   Afrique du Sud")</f>
        <v xml:space="preserve">   Afrique du Sud</v>
      </c>
      <c r="C14981">
        <v>11589618</v>
      </c>
      <c r="D14981">
        <v>11</v>
      </c>
    </row>
    <row r="14982" spans="1:4" x14ac:dyDescent="0.25">
      <c r="A14982" t="str">
        <f>T("903040")</f>
        <v>903040</v>
      </c>
      <c r="B14982" t="str">
        <f>T("Instruments et appareils pour la mesure ou le contrôle de grandeurs électriques, spécialement conçus pour les techniques de la télécommunication, p.ex. hypsomètres, kerdomètres, distorsiomètres, psophomètres")</f>
        <v>Instruments et appareils pour la mesure ou le contrôle de grandeurs électriques, spécialement conçus pour les techniques de la télécommunication, p.ex. hypsomètres, kerdomètres, distorsiomètres, psophomètres</v>
      </c>
    </row>
    <row r="14983" spans="1:4" x14ac:dyDescent="0.25">
      <c r="A14983" t="str">
        <f>T("   ZZZ_Monde")</f>
        <v xml:space="preserve">   ZZZ_Monde</v>
      </c>
      <c r="B14983" t="str">
        <f>T("   ZZZ_Monde")</f>
        <v xml:space="preserve">   ZZZ_Monde</v>
      </c>
      <c r="C14983">
        <v>5257194</v>
      </c>
      <c r="D14983">
        <v>2442</v>
      </c>
    </row>
    <row r="14984" spans="1:4" x14ac:dyDescent="0.25">
      <c r="A14984" t="str">
        <f>T("   FR")</f>
        <v xml:space="preserve">   FR</v>
      </c>
      <c r="B14984" t="str">
        <f>T("   France")</f>
        <v xml:space="preserve">   France</v>
      </c>
      <c r="C14984">
        <v>5257194</v>
      </c>
      <c r="D14984">
        <v>2442</v>
      </c>
    </row>
    <row r="14985" spans="1:4" x14ac:dyDescent="0.25">
      <c r="A14985" t="str">
        <f>T("903089")</f>
        <v>903089</v>
      </c>
      <c r="B14985" t="str">
        <f>T("Instruments et appareils pour la mesure ou le contrôle de grandeurs électriques, sans dispositif enregistreur, n.d.a.")</f>
        <v>Instruments et appareils pour la mesure ou le contrôle de grandeurs électriques, sans dispositif enregistreur, n.d.a.</v>
      </c>
    </row>
    <row r="14986" spans="1:4" x14ac:dyDescent="0.25">
      <c r="A14986" t="str">
        <f>T("   ZZZ_Monde")</f>
        <v xml:space="preserve">   ZZZ_Monde</v>
      </c>
      <c r="B14986" t="str">
        <f>T("   ZZZ_Monde")</f>
        <v xml:space="preserve">   ZZZ_Monde</v>
      </c>
      <c r="C14986">
        <v>2110538</v>
      </c>
      <c r="D14986">
        <v>9.25</v>
      </c>
    </row>
    <row r="14987" spans="1:4" x14ac:dyDescent="0.25">
      <c r="A14987" t="str">
        <f>T("   FR")</f>
        <v xml:space="preserve">   FR</v>
      </c>
      <c r="B14987" t="str">
        <f>T("   France")</f>
        <v xml:space="preserve">   France</v>
      </c>
      <c r="C14987">
        <v>1814700</v>
      </c>
      <c r="D14987">
        <v>8.25</v>
      </c>
    </row>
    <row r="14988" spans="1:4" x14ac:dyDescent="0.25">
      <c r="A14988" t="str">
        <f>T("   HK")</f>
        <v xml:space="preserve">   HK</v>
      </c>
      <c r="B14988" t="str">
        <f>T("   Hong-Kong")</f>
        <v xml:space="preserve">   Hong-Kong</v>
      </c>
      <c r="C14988">
        <v>295838</v>
      </c>
      <c r="D14988">
        <v>1</v>
      </c>
    </row>
    <row r="14989" spans="1:4" x14ac:dyDescent="0.25">
      <c r="A14989" t="str">
        <f>T("903090")</f>
        <v>903090</v>
      </c>
      <c r="B14989" t="str">
        <f>T("Parties et accessoires des instruments et appareils pour la mesure ou le contrôle de grandeurs électriques ou pour la mesure ou la détection des radiations ionisantes, n.d.a.")</f>
        <v>Parties et accessoires des instruments et appareils pour la mesure ou le contrôle de grandeurs électriques ou pour la mesure ou la détection des radiations ionisantes, n.d.a.</v>
      </c>
    </row>
    <row r="14990" spans="1:4" x14ac:dyDescent="0.25">
      <c r="A14990" t="str">
        <f>T("   ZZZ_Monde")</f>
        <v xml:space="preserve">   ZZZ_Monde</v>
      </c>
      <c r="B14990" t="str">
        <f>T("   ZZZ_Monde")</f>
        <v xml:space="preserve">   ZZZ_Monde</v>
      </c>
      <c r="C14990">
        <v>1083385</v>
      </c>
      <c r="D14990">
        <v>1</v>
      </c>
    </row>
    <row r="14991" spans="1:4" x14ac:dyDescent="0.25">
      <c r="A14991" t="str">
        <f>T("   FR")</f>
        <v xml:space="preserve">   FR</v>
      </c>
      <c r="B14991" t="str">
        <f>T("   France")</f>
        <v xml:space="preserve">   France</v>
      </c>
      <c r="C14991">
        <v>1083385</v>
      </c>
      <c r="D14991">
        <v>1</v>
      </c>
    </row>
    <row r="14992" spans="1:4" x14ac:dyDescent="0.25">
      <c r="A14992" t="str">
        <f>T("903110")</f>
        <v>903110</v>
      </c>
      <c r="B14992" t="str">
        <f>T("Machines à équilibrer les pièces mécaniques")</f>
        <v>Machines à équilibrer les pièces mécaniques</v>
      </c>
    </row>
    <row r="14993" spans="1:4" x14ac:dyDescent="0.25">
      <c r="A14993" t="str">
        <f>T("   ZZZ_Monde")</f>
        <v xml:space="preserve">   ZZZ_Monde</v>
      </c>
      <c r="B14993" t="str">
        <f>T("   ZZZ_Monde")</f>
        <v xml:space="preserve">   ZZZ_Monde</v>
      </c>
      <c r="C14993">
        <v>1195566</v>
      </c>
      <c r="D14993">
        <v>134</v>
      </c>
    </row>
    <row r="14994" spans="1:4" x14ac:dyDescent="0.25">
      <c r="A14994" t="str">
        <f>T("   FR")</f>
        <v xml:space="preserve">   FR</v>
      </c>
      <c r="B14994" t="str">
        <f>T("   France")</f>
        <v xml:space="preserve">   France</v>
      </c>
      <c r="C14994">
        <v>1195566</v>
      </c>
      <c r="D14994">
        <v>134</v>
      </c>
    </row>
    <row r="14995" spans="1:4" x14ac:dyDescent="0.25">
      <c r="A14995" t="str">
        <f>T("903120")</f>
        <v>903120</v>
      </c>
      <c r="B14995" t="str">
        <f>T("Bancs d'essai pour moteurs, machines génératrices, pompes, etc.")</f>
        <v>Bancs d'essai pour moteurs, machines génératrices, pompes, etc.</v>
      </c>
    </row>
    <row r="14996" spans="1:4" x14ac:dyDescent="0.25">
      <c r="A14996" t="str">
        <f>T("   ZZZ_Monde")</f>
        <v xml:space="preserve">   ZZZ_Monde</v>
      </c>
      <c r="B14996" t="str">
        <f>T("   ZZZ_Monde")</f>
        <v xml:space="preserve">   ZZZ_Monde</v>
      </c>
      <c r="C14996">
        <v>12366765</v>
      </c>
      <c r="D14996">
        <v>5074</v>
      </c>
    </row>
    <row r="14997" spans="1:4" x14ac:dyDescent="0.25">
      <c r="A14997" t="str">
        <f>T("   FR")</f>
        <v xml:space="preserve">   FR</v>
      </c>
      <c r="B14997" t="str">
        <f>T("   France")</f>
        <v xml:space="preserve">   France</v>
      </c>
      <c r="C14997">
        <v>10769263</v>
      </c>
      <c r="D14997">
        <v>2074</v>
      </c>
    </row>
    <row r="14998" spans="1:4" x14ac:dyDescent="0.25">
      <c r="A14998" t="str">
        <f>T("   NG")</f>
        <v xml:space="preserve">   NG</v>
      </c>
      <c r="B14998" t="str">
        <f>T("   Nigéria")</f>
        <v xml:space="preserve">   Nigéria</v>
      </c>
      <c r="C14998">
        <v>1597502</v>
      </c>
      <c r="D14998">
        <v>3000</v>
      </c>
    </row>
    <row r="14999" spans="1:4" x14ac:dyDescent="0.25">
      <c r="A14999" t="str">
        <f>T("903180")</f>
        <v>903180</v>
      </c>
      <c r="B14999" t="str">
        <f>T("INSTRUMENTS, APPAREILS ET MACHINES DE MESURE OU DE CONTRÔLE, NON-OPTIQUES, N.D.A. DANS LE PRÉSENT CHAPITRE")</f>
        <v>INSTRUMENTS, APPAREILS ET MACHINES DE MESURE OU DE CONTRÔLE, NON-OPTIQUES, N.D.A. DANS LE PRÉSENT CHAPITRE</v>
      </c>
    </row>
    <row r="15000" spans="1:4" x14ac:dyDescent="0.25">
      <c r="A15000" t="str">
        <f>T("   ZZZ_Monde")</f>
        <v xml:space="preserve">   ZZZ_Monde</v>
      </c>
      <c r="B15000" t="str">
        <f>T("   ZZZ_Monde")</f>
        <v xml:space="preserve">   ZZZ_Monde</v>
      </c>
      <c r="C15000">
        <v>67388942</v>
      </c>
      <c r="D15000">
        <v>2963.5</v>
      </c>
    </row>
    <row r="15001" spans="1:4" x14ac:dyDescent="0.25">
      <c r="A15001" t="str">
        <f>T("   CH")</f>
        <v xml:space="preserve">   CH</v>
      </c>
      <c r="B15001" t="str">
        <f>T("   Suisse")</f>
        <v xml:space="preserve">   Suisse</v>
      </c>
      <c r="C15001">
        <v>5178941</v>
      </c>
      <c r="D15001">
        <v>82</v>
      </c>
    </row>
    <row r="15002" spans="1:4" x14ac:dyDescent="0.25">
      <c r="A15002" t="str">
        <f>T("   DE")</f>
        <v xml:space="preserve">   DE</v>
      </c>
      <c r="B15002" t="str">
        <f>T("   Allemagne")</f>
        <v xml:space="preserve">   Allemagne</v>
      </c>
      <c r="C15002">
        <v>11510132</v>
      </c>
      <c r="D15002">
        <v>48</v>
      </c>
    </row>
    <row r="15003" spans="1:4" x14ac:dyDescent="0.25">
      <c r="A15003" t="str">
        <f>T("   FR")</f>
        <v xml:space="preserve">   FR</v>
      </c>
      <c r="B15003" t="str">
        <f>T("   France")</f>
        <v xml:space="preserve">   France</v>
      </c>
      <c r="C15003">
        <v>41965076</v>
      </c>
      <c r="D15003">
        <v>2569.5</v>
      </c>
    </row>
    <row r="15004" spans="1:4" x14ac:dyDescent="0.25">
      <c r="A15004" t="str">
        <f>T("   GE")</f>
        <v xml:space="preserve">   GE</v>
      </c>
      <c r="B15004" t="str">
        <f>T("   Géorgie")</f>
        <v xml:space="preserve">   Géorgie</v>
      </c>
      <c r="C15004">
        <v>3817687</v>
      </c>
      <c r="D15004">
        <v>8</v>
      </c>
    </row>
    <row r="15005" spans="1:4" x14ac:dyDescent="0.25">
      <c r="A15005" t="str">
        <f>T("   IE")</f>
        <v xml:space="preserve">   IE</v>
      </c>
      <c r="B15005" t="str">
        <f>T("   Irlande")</f>
        <v xml:space="preserve">   Irlande</v>
      </c>
      <c r="C15005">
        <v>4559532</v>
      </c>
      <c r="D15005">
        <v>106</v>
      </c>
    </row>
    <row r="15006" spans="1:4" x14ac:dyDescent="0.25">
      <c r="A15006" t="str">
        <f>T("   NG")</f>
        <v xml:space="preserve">   NG</v>
      </c>
      <c r="B15006" t="str">
        <f>T("   Nigéria")</f>
        <v xml:space="preserve">   Nigéria</v>
      </c>
      <c r="C15006">
        <v>105000</v>
      </c>
      <c r="D15006">
        <v>50</v>
      </c>
    </row>
    <row r="15007" spans="1:4" x14ac:dyDescent="0.25">
      <c r="A15007" t="str">
        <f>T("   NL")</f>
        <v xml:space="preserve">   NL</v>
      </c>
      <c r="B15007" t="str">
        <f>T("   Pays-bas")</f>
        <v xml:space="preserve">   Pays-bas</v>
      </c>
      <c r="C15007">
        <v>252574</v>
      </c>
      <c r="D15007">
        <v>100</v>
      </c>
    </row>
    <row r="15008" spans="1:4" x14ac:dyDescent="0.25">
      <c r="A15008" t="str">
        <f>T("903190")</f>
        <v>903190</v>
      </c>
      <c r="B15008" t="str">
        <f>T("Parties et accessoires des instruments, appareils et machines de mesure ou de contrôle, n.d.a.")</f>
        <v>Parties et accessoires des instruments, appareils et machines de mesure ou de contrôle, n.d.a.</v>
      </c>
    </row>
    <row r="15009" spans="1:4" x14ac:dyDescent="0.25">
      <c r="A15009" t="str">
        <f>T("   ZZZ_Monde")</f>
        <v xml:space="preserve">   ZZZ_Monde</v>
      </c>
      <c r="B15009" t="str">
        <f>T("   ZZZ_Monde")</f>
        <v xml:space="preserve">   ZZZ_Monde</v>
      </c>
      <c r="C15009">
        <v>23359557</v>
      </c>
      <c r="D15009">
        <v>20092.400000000001</v>
      </c>
    </row>
    <row r="15010" spans="1:4" x14ac:dyDescent="0.25">
      <c r="A15010" t="str">
        <f>T("   AT")</f>
        <v xml:space="preserve">   AT</v>
      </c>
      <c r="B15010" t="str">
        <f>T("   Autriche")</f>
        <v xml:space="preserve">   Autriche</v>
      </c>
      <c r="C15010">
        <v>1068559</v>
      </c>
      <c r="D15010">
        <v>9.4</v>
      </c>
    </row>
    <row r="15011" spans="1:4" x14ac:dyDescent="0.25">
      <c r="A15011" t="str">
        <f>T("   BE")</f>
        <v xml:space="preserve">   BE</v>
      </c>
      <c r="B15011" t="str">
        <f>T("   Belgique")</f>
        <v xml:space="preserve">   Belgique</v>
      </c>
      <c r="C15011">
        <v>3281914</v>
      </c>
      <c r="D15011">
        <v>11</v>
      </c>
    </row>
    <row r="15012" spans="1:4" x14ac:dyDescent="0.25">
      <c r="A15012" t="str">
        <f>T("   CH")</f>
        <v xml:space="preserve">   CH</v>
      </c>
      <c r="B15012" t="str">
        <f>T("   Suisse")</f>
        <v xml:space="preserve">   Suisse</v>
      </c>
      <c r="C15012">
        <v>912866</v>
      </c>
      <c r="D15012">
        <v>4</v>
      </c>
    </row>
    <row r="15013" spans="1:4" x14ac:dyDescent="0.25">
      <c r="A15013" t="str">
        <f>T("   DE")</f>
        <v xml:space="preserve">   DE</v>
      </c>
      <c r="B15013" t="str">
        <f>T("   Allemagne")</f>
        <v xml:space="preserve">   Allemagne</v>
      </c>
      <c r="C15013">
        <v>17026271</v>
      </c>
      <c r="D15013">
        <v>60</v>
      </c>
    </row>
    <row r="15014" spans="1:4" x14ac:dyDescent="0.25">
      <c r="A15014" t="str">
        <f>T("   FR")</f>
        <v xml:space="preserve">   FR</v>
      </c>
      <c r="B15014" t="str">
        <f>T("   France")</f>
        <v xml:space="preserve">   France</v>
      </c>
      <c r="C15014">
        <v>354947</v>
      </c>
      <c r="D15014">
        <v>8</v>
      </c>
    </row>
    <row r="15015" spans="1:4" x14ac:dyDescent="0.25">
      <c r="A15015" t="str">
        <f>T("   Z2")</f>
        <v xml:space="preserve">   Z2</v>
      </c>
      <c r="B15015" t="str">
        <f>T("   Pays non défini")</f>
        <v xml:space="preserve">   Pays non défini</v>
      </c>
      <c r="C15015">
        <v>715000</v>
      </c>
      <c r="D15015">
        <v>20000</v>
      </c>
    </row>
    <row r="15016" spans="1:4" x14ac:dyDescent="0.25">
      <c r="A15016" t="str">
        <f>T("903210")</f>
        <v>903210</v>
      </c>
      <c r="B15016" t="str">
        <f>T("Thermostats pour la régulation ou le contrôle automatiques")</f>
        <v>Thermostats pour la régulation ou le contrôle automatiques</v>
      </c>
    </row>
    <row r="15017" spans="1:4" x14ac:dyDescent="0.25">
      <c r="A15017" t="str">
        <f>T("   ZZZ_Monde")</f>
        <v xml:space="preserve">   ZZZ_Monde</v>
      </c>
      <c r="B15017" t="str">
        <f>T("   ZZZ_Monde")</f>
        <v xml:space="preserve">   ZZZ_Monde</v>
      </c>
      <c r="C15017">
        <v>8734824</v>
      </c>
      <c r="D15017">
        <v>406</v>
      </c>
    </row>
    <row r="15018" spans="1:4" x14ac:dyDescent="0.25">
      <c r="A15018" t="str">
        <f>T("   DE")</f>
        <v xml:space="preserve">   DE</v>
      </c>
      <c r="B15018" t="str">
        <f>T("   Allemagne")</f>
        <v xml:space="preserve">   Allemagne</v>
      </c>
      <c r="C15018">
        <v>373241</v>
      </c>
      <c r="D15018">
        <v>7</v>
      </c>
    </row>
    <row r="15019" spans="1:4" x14ac:dyDescent="0.25">
      <c r="A15019" t="str">
        <f>T("   FR")</f>
        <v xml:space="preserve">   FR</v>
      </c>
      <c r="B15019" t="str">
        <f>T("   France")</f>
        <v xml:space="preserve">   France</v>
      </c>
      <c r="C15019">
        <v>737288</v>
      </c>
      <c r="D15019">
        <v>32</v>
      </c>
    </row>
    <row r="15020" spans="1:4" x14ac:dyDescent="0.25">
      <c r="A15020" t="str">
        <f>T("   IE")</f>
        <v xml:space="preserve">   IE</v>
      </c>
      <c r="B15020" t="str">
        <f>T("   Irlande")</f>
        <v xml:space="preserve">   Irlande</v>
      </c>
      <c r="C15020">
        <v>7010822</v>
      </c>
      <c r="D15020">
        <v>81</v>
      </c>
    </row>
    <row r="15021" spans="1:4" x14ac:dyDescent="0.25">
      <c r="A15021" t="str">
        <f>T("   SG")</f>
        <v xml:space="preserve">   SG</v>
      </c>
      <c r="B15021" t="str">
        <f>T("   Singapour")</f>
        <v xml:space="preserve">   Singapour</v>
      </c>
      <c r="C15021">
        <v>613473</v>
      </c>
      <c r="D15021">
        <v>286</v>
      </c>
    </row>
    <row r="15022" spans="1:4" x14ac:dyDescent="0.25">
      <c r="A15022" t="str">
        <f>T("903220")</f>
        <v>903220</v>
      </c>
      <c r="B15022" t="str">
        <f>T("Manostats [pressostats] (sauf les articles de robinetterie du n° 8481)")</f>
        <v>Manostats [pressostats] (sauf les articles de robinetterie du n° 8481)</v>
      </c>
    </row>
    <row r="15023" spans="1:4" x14ac:dyDescent="0.25">
      <c r="A15023" t="str">
        <f>T("   ZZZ_Monde")</f>
        <v xml:space="preserve">   ZZZ_Monde</v>
      </c>
      <c r="B15023" t="str">
        <f>T("   ZZZ_Monde")</f>
        <v xml:space="preserve">   ZZZ_Monde</v>
      </c>
      <c r="C15023">
        <v>6659679</v>
      </c>
      <c r="D15023">
        <v>179</v>
      </c>
    </row>
    <row r="15024" spans="1:4" x14ac:dyDescent="0.25">
      <c r="A15024" t="str">
        <f>T("   FR")</f>
        <v xml:space="preserve">   FR</v>
      </c>
      <c r="B15024" t="str">
        <f>T("   France")</f>
        <v xml:space="preserve">   France</v>
      </c>
      <c r="C15024">
        <v>6659679</v>
      </c>
      <c r="D15024">
        <v>179</v>
      </c>
    </row>
    <row r="15025" spans="1:4" x14ac:dyDescent="0.25">
      <c r="A15025" t="str">
        <f>T("903281")</f>
        <v>903281</v>
      </c>
      <c r="B15025" t="str">
        <f>T("Instruments et appareils, hydrauliques et pneumatiques, pour la régulation ou le contrôle automatiques (à l'excl. des manostats [pressostats] et des articles de robinetterie du n° 8481)")</f>
        <v>Instruments et appareils, hydrauliques et pneumatiques, pour la régulation ou le contrôle automatiques (à l'excl. des manostats [pressostats] et des articles de robinetterie du n° 8481)</v>
      </c>
    </row>
    <row r="15026" spans="1:4" x14ac:dyDescent="0.25">
      <c r="A15026" t="str">
        <f>T("   ZZZ_Monde")</f>
        <v xml:space="preserve">   ZZZ_Monde</v>
      </c>
      <c r="B15026" t="str">
        <f>T("   ZZZ_Monde")</f>
        <v xml:space="preserve">   ZZZ_Monde</v>
      </c>
      <c r="C15026">
        <v>1040335</v>
      </c>
      <c r="D15026">
        <v>1</v>
      </c>
    </row>
    <row r="15027" spans="1:4" x14ac:dyDescent="0.25">
      <c r="A15027" t="str">
        <f>T("   FR")</f>
        <v xml:space="preserve">   FR</v>
      </c>
      <c r="B15027" t="str">
        <f>T("   France")</f>
        <v xml:space="preserve">   France</v>
      </c>
      <c r="C15027">
        <v>1040335</v>
      </c>
      <c r="D15027">
        <v>1</v>
      </c>
    </row>
    <row r="15028" spans="1:4" x14ac:dyDescent="0.25">
      <c r="A15028" t="str">
        <f>T("903289")</f>
        <v>903289</v>
      </c>
      <c r="B15028" t="str">
        <f>T("Instruments et appareils pour la régulation ou le contrôle automatiques (à l'excl. des instruments et appareils, hydrauliques ou pneumatiques, pour la régulation ou le contrôle automatiques, des manostats [pressostats], des thermostats et des articles de")</f>
        <v>Instruments et appareils pour la régulation ou le contrôle automatiques (à l'excl. des instruments et appareils, hydrauliques ou pneumatiques, pour la régulation ou le contrôle automatiques, des manostats [pressostats], des thermostats et des articles de</v>
      </c>
    </row>
    <row r="15029" spans="1:4" x14ac:dyDescent="0.25">
      <c r="A15029" t="str">
        <f>T("   ZZZ_Monde")</f>
        <v xml:space="preserve">   ZZZ_Monde</v>
      </c>
      <c r="B15029" t="str">
        <f>T("   ZZZ_Monde")</f>
        <v xml:space="preserve">   ZZZ_Monde</v>
      </c>
      <c r="C15029">
        <v>124417622</v>
      </c>
      <c r="D15029">
        <v>86842.7</v>
      </c>
    </row>
    <row r="15030" spans="1:4" x14ac:dyDescent="0.25">
      <c r="A15030" t="str">
        <f>T("   AE")</f>
        <v xml:space="preserve">   AE</v>
      </c>
      <c r="B15030" t="str">
        <f>T("   Emirats Arabes Unis")</f>
        <v xml:space="preserve">   Emirats Arabes Unis</v>
      </c>
      <c r="C15030">
        <v>1661388</v>
      </c>
      <c r="D15030">
        <v>1282</v>
      </c>
    </row>
    <row r="15031" spans="1:4" x14ac:dyDescent="0.25">
      <c r="A15031" t="str">
        <f>T("   AT")</f>
        <v xml:space="preserve">   AT</v>
      </c>
      <c r="B15031" t="str">
        <f>T("   Autriche")</f>
        <v xml:space="preserve">   Autriche</v>
      </c>
      <c r="C15031">
        <v>166286</v>
      </c>
      <c r="D15031">
        <v>0.7</v>
      </c>
    </row>
    <row r="15032" spans="1:4" x14ac:dyDescent="0.25">
      <c r="A15032" t="str">
        <f>T("   BE")</f>
        <v xml:space="preserve">   BE</v>
      </c>
      <c r="B15032" t="str">
        <f>T("   Belgique")</f>
        <v xml:space="preserve">   Belgique</v>
      </c>
      <c r="C15032">
        <v>4155861</v>
      </c>
      <c r="D15032">
        <v>1607</v>
      </c>
    </row>
    <row r="15033" spans="1:4" x14ac:dyDescent="0.25">
      <c r="A15033" t="str">
        <f>T("   CH")</f>
        <v xml:space="preserve">   CH</v>
      </c>
      <c r="B15033" t="str">
        <f>T("   Suisse")</f>
        <v xml:space="preserve">   Suisse</v>
      </c>
      <c r="C15033">
        <v>8918251</v>
      </c>
      <c r="D15033">
        <v>293</v>
      </c>
    </row>
    <row r="15034" spans="1:4" x14ac:dyDescent="0.25">
      <c r="A15034" t="str">
        <f>T("   CI")</f>
        <v xml:space="preserve">   CI</v>
      </c>
      <c r="B15034" t="str">
        <f>T("   Côte d'Ivoire")</f>
        <v xml:space="preserve">   Côte d'Ivoire</v>
      </c>
      <c r="C15034">
        <v>3410336</v>
      </c>
      <c r="D15034">
        <v>130</v>
      </c>
    </row>
    <row r="15035" spans="1:4" x14ac:dyDescent="0.25">
      <c r="A15035" t="str">
        <f>T("   CN")</f>
        <v xml:space="preserve">   CN</v>
      </c>
      <c r="B15035" t="str">
        <f>T("   Chine")</f>
        <v xml:space="preserve">   Chine</v>
      </c>
      <c r="C15035">
        <v>17147905</v>
      </c>
      <c r="D15035">
        <v>45275</v>
      </c>
    </row>
    <row r="15036" spans="1:4" x14ac:dyDescent="0.25">
      <c r="A15036" t="str">
        <f>T("   DE")</f>
        <v xml:space="preserve">   DE</v>
      </c>
      <c r="B15036" t="str">
        <f>T("   Allemagne")</f>
        <v xml:space="preserve">   Allemagne</v>
      </c>
      <c r="C15036">
        <v>1475018</v>
      </c>
      <c r="D15036">
        <v>2</v>
      </c>
    </row>
    <row r="15037" spans="1:4" x14ac:dyDescent="0.25">
      <c r="A15037" t="str">
        <f>T("   DK")</f>
        <v xml:space="preserve">   DK</v>
      </c>
      <c r="B15037" t="str">
        <f>T("   Danemark")</f>
        <v xml:space="preserve">   Danemark</v>
      </c>
      <c r="C15037">
        <v>1181855</v>
      </c>
      <c r="D15037">
        <v>1</v>
      </c>
    </row>
    <row r="15038" spans="1:4" x14ac:dyDescent="0.25">
      <c r="A15038" t="str">
        <f>T("   FR")</f>
        <v xml:space="preserve">   FR</v>
      </c>
      <c r="B15038" t="str">
        <f>T("   France")</f>
        <v xml:space="preserve">   France</v>
      </c>
      <c r="C15038">
        <v>43900586</v>
      </c>
      <c r="D15038">
        <v>21415</v>
      </c>
    </row>
    <row r="15039" spans="1:4" x14ac:dyDescent="0.25">
      <c r="A15039" t="str">
        <f>T("   GB")</f>
        <v xml:space="preserve">   GB</v>
      </c>
      <c r="B15039" t="str">
        <f>T("   Royaume-Uni")</f>
        <v xml:space="preserve">   Royaume-Uni</v>
      </c>
      <c r="C15039">
        <v>24730547</v>
      </c>
      <c r="D15039">
        <v>13085</v>
      </c>
    </row>
    <row r="15040" spans="1:4" x14ac:dyDescent="0.25">
      <c r="A15040" t="str">
        <f>T("   GH")</f>
        <v xml:space="preserve">   GH</v>
      </c>
      <c r="B15040" t="str">
        <f>T("   Ghana")</f>
        <v xml:space="preserve">   Ghana</v>
      </c>
      <c r="C15040">
        <v>769357</v>
      </c>
      <c r="D15040">
        <v>937</v>
      </c>
    </row>
    <row r="15041" spans="1:4" x14ac:dyDescent="0.25">
      <c r="A15041" t="str">
        <f>T("   IT")</f>
        <v xml:space="preserve">   IT</v>
      </c>
      <c r="B15041" t="str">
        <f>T("   Italie")</f>
        <v xml:space="preserve">   Italie</v>
      </c>
      <c r="C15041">
        <v>8604228</v>
      </c>
      <c r="D15041">
        <v>1130</v>
      </c>
    </row>
    <row r="15042" spans="1:4" x14ac:dyDescent="0.25">
      <c r="A15042" t="str">
        <f>T("   NG")</f>
        <v xml:space="preserve">   NG</v>
      </c>
      <c r="B15042" t="str">
        <f>T("   Nigéria")</f>
        <v xml:space="preserve">   Nigéria</v>
      </c>
      <c r="C15042">
        <v>60000</v>
      </c>
      <c r="D15042">
        <v>50</v>
      </c>
    </row>
    <row r="15043" spans="1:4" x14ac:dyDescent="0.25">
      <c r="A15043" t="str">
        <f>T("   NO")</f>
        <v xml:space="preserve">   NO</v>
      </c>
      <c r="B15043" t="str">
        <f>T("   Norvège")</f>
        <v xml:space="preserve">   Norvège</v>
      </c>
      <c r="C15043">
        <v>590522</v>
      </c>
      <c r="D15043">
        <v>3</v>
      </c>
    </row>
    <row r="15044" spans="1:4" x14ac:dyDescent="0.25">
      <c r="A15044" t="str">
        <f>T("   PK")</f>
        <v xml:space="preserve">   PK</v>
      </c>
      <c r="B15044" t="str">
        <f>T("   Pakistan")</f>
        <v xml:space="preserve">   Pakistan</v>
      </c>
      <c r="C15044">
        <v>1337574</v>
      </c>
      <c r="D15044">
        <v>477</v>
      </c>
    </row>
    <row r="15045" spans="1:4" x14ac:dyDescent="0.25">
      <c r="A15045" t="str">
        <f>T("   TR")</f>
        <v xml:space="preserve">   TR</v>
      </c>
      <c r="B15045" t="str">
        <f>T("   Turquie")</f>
        <v xml:space="preserve">   Turquie</v>
      </c>
      <c r="C15045">
        <v>6307908</v>
      </c>
      <c r="D15045">
        <v>1155</v>
      </c>
    </row>
    <row r="15046" spans="1:4" x14ac:dyDescent="0.25">
      <c r="A15046" t="str">
        <f>T("903290")</f>
        <v>903290</v>
      </c>
      <c r="B15046" t="str">
        <f>T("Parties et accessoires des instruments et appareils pour la régulation ou le contrôle automatiques, n.d.a.")</f>
        <v>Parties et accessoires des instruments et appareils pour la régulation ou le contrôle automatiques, n.d.a.</v>
      </c>
    </row>
    <row r="15047" spans="1:4" x14ac:dyDescent="0.25">
      <c r="A15047" t="str">
        <f>T("   ZZZ_Monde")</f>
        <v xml:space="preserve">   ZZZ_Monde</v>
      </c>
      <c r="B15047" t="str">
        <f>T("   ZZZ_Monde")</f>
        <v xml:space="preserve">   ZZZ_Monde</v>
      </c>
      <c r="C15047">
        <v>8611593</v>
      </c>
      <c r="D15047">
        <v>325</v>
      </c>
    </row>
    <row r="15048" spans="1:4" x14ac:dyDescent="0.25">
      <c r="A15048" t="str">
        <f>T("   BE")</f>
        <v xml:space="preserve">   BE</v>
      </c>
      <c r="B15048" t="str">
        <f>T("   Belgique")</f>
        <v xml:space="preserve">   Belgique</v>
      </c>
      <c r="C15048">
        <v>4540824</v>
      </c>
      <c r="D15048">
        <v>8</v>
      </c>
    </row>
    <row r="15049" spans="1:4" x14ac:dyDescent="0.25">
      <c r="A15049" t="str">
        <f>T("   FR")</f>
        <v xml:space="preserve">   FR</v>
      </c>
      <c r="B15049" t="str">
        <f>T("   France")</f>
        <v xml:space="preserve">   France</v>
      </c>
      <c r="C15049">
        <v>370617</v>
      </c>
      <c r="D15049">
        <v>5</v>
      </c>
    </row>
    <row r="15050" spans="1:4" x14ac:dyDescent="0.25">
      <c r="A15050" t="str">
        <f>T("   ZA")</f>
        <v xml:space="preserve">   ZA</v>
      </c>
      <c r="B15050" t="str">
        <f>T("   Afrique du Sud")</f>
        <v xml:space="preserve">   Afrique du Sud</v>
      </c>
      <c r="C15050">
        <v>3700152</v>
      </c>
      <c r="D15050">
        <v>312</v>
      </c>
    </row>
    <row r="15051" spans="1:4" x14ac:dyDescent="0.25">
      <c r="A15051" t="str">
        <f>T("903300")</f>
        <v>903300</v>
      </c>
      <c r="B15051" t="str">
        <f>T("Parties et accessoires pour machines, appareils, instruments ou articles du chapitre 90, non dénommés ni compris dans le présent chapitre ou ailleurs")</f>
        <v>Parties et accessoires pour machines, appareils, instruments ou articles du chapitre 90, non dénommés ni compris dans le présent chapitre ou ailleurs</v>
      </c>
    </row>
    <row r="15052" spans="1:4" x14ac:dyDescent="0.25">
      <c r="A15052" t="str">
        <f>T("   ZZZ_Monde")</f>
        <v xml:space="preserve">   ZZZ_Monde</v>
      </c>
      <c r="B15052" t="str">
        <f>T("   ZZZ_Monde")</f>
        <v xml:space="preserve">   ZZZ_Monde</v>
      </c>
      <c r="C15052">
        <v>17583117</v>
      </c>
      <c r="D15052">
        <v>585</v>
      </c>
    </row>
    <row r="15053" spans="1:4" x14ac:dyDescent="0.25">
      <c r="A15053" t="str">
        <f>T("   BE")</f>
        <v xml:space="preserve">   BE</v>
      </c>
      <c r="B15053" t="str">
        <f>T("   Belgique")</f>
        <v xml:space="preserve">   Belgique</v>
      </c>
      <c r="C15053">
        <v>1717959</v>
      </c>
      <c r="D15053">
        <v>6</v>
      </c>
    </row>
    <row r="15054" spans="1:4" x14ac:dyDescent="0.25">
      <c r="A15054" t="str">
        <f>T("   DE")</f>
        <v xml:space="preserve">   DE</v>
      </c>
      <c r="B15054" t="str">
        <f>T("   Allemagne")</f>
        <v xml:space="preserve">   Allemagne</v>
      </c>
      <c r="C15054">
        <v>5031732</v>
      </c>
      <c r="D15054">
        <v>10</v>
      </c>
    </row>
    <row r="15055" spans="1:4" x14ac:dyDescent="0.25">
      <c r="A15055" t="str">
        <f>T("   FR")</f>
        <v xml:space="preserve">   FR</v>
      </c>
      <c r="B15055" t="str">
        <f>T("   France")</f>
        <v xml:space="preserve">   France</v>
      </c>
      <c r="C15055">
        <v>8370163</v>
      </c>
      <c r="D15055">
        <v>39</v>
      </c>
    </row>
    <row r="15056" spans="1:4" x14ac:dyDescent="0.25">
      <c r="A15056" t="str">
        <f>T("   SG")</f>
        <v xml:space="preserve">   SG</v>
      </c>
      <c r="B15056" t="str">
        <f>T("   Singapour")</f>
        <v xml:space="preserve">   Singapour</v>
      </c>
      <c r="C15056">
        <v>551795</v>
      </c>
      <c r="D15056">
        <v>258</v>
      </c>
    </row>
    <row r="15057" spans="1:4" x14ac:dyDescent="0.25">
      <c r="A15057" t="str">
        <f>T("   TR")</f>
        <v xml:space="preserve">   TR</v>
      </c>
      <c r="B15057" t="str">
        <f>T("   Turquie")</f>
        <v xml:space="preserve">   Turquie</v>
      </c>
      <c r="C15057">
        <v>1911468</v>
      </c>
      <c r="D15057">
        <v>272</v>
      </c>
    </row>
    <row r="15058" spans="1:4" x14ac:dyDescent="0.25">
      <c r="A15058" t="str">
        <f>T("910119")</f>
        <v>910119</v>
      </c>
      <c r="B15058" t="str">
        <f>T("Montres-bracelets, même incorporant un compteur de temps, fonctionnant électriquement, à affichage mécanique et optoélectronique, avec boîte en métaux précieux ou en plaqués ou doublés de métaux précieux (sauf celles dont le fond est en acier)")</f>
        <v>Montres-bracelets, même incorporant un compteur de temps, fonctionnant électriquement, à affichage mécanique et optoélectronique, avec boîte en métaux précieux ou en plaqués ou doublés de métaux précieux (sauf celles dont le fond est en acier)</v>
      </c>
    </row>
    <row r="15059" spans="1:4" x14ac:dyDescent="0.25">
      <c r="A15059" t="str">
        <f>T("   ZZZ_Monde")</f>
        <v xml:space="preserve">   ZZZ_Monde</v>
      </c>
      <c r="B15059" t="str">
        <f>T("   ZZZ_Monde")</f>
        <v xml:space="preserve">   ZZZ_Monde</v>
      </c>
      <c r="C15059">
        <v>1860478</v>
      </c>
      <c r="D15059">
        <v>4977</v>
      </c>
    </row>
    <row r="15060" spans="1:4" x14ac:dyDescent="0.25">
      <c r="A15060" t="str">
        <f>T("   CN")</f>
        <v xml:space="preserve">   CN</v>
      </c>
      <c r="B15060" t="str">
        <f>T("   Chine")</f>
        <v xml:space="preserve">   Chine</v>
      </c>
      <c r="C15060">
        <v>1193582</v>
      </c>
      <c r="D15060">
        <v>4960</v>
      </c>
    </row>
    <row r="15061" spans="1:4" x14ac:dyDescent="0.25">
      <c r="A15061" t="str">
        <f>T("   FR")</f>
        <v xml:space="preserve">   FR</v>
      </c>
      <c r="B15061" t="str">
        <f>T("   France")</f>
        <v xml:space="preserve">   France</v>
      </c>
      <c r="C15061">
        <v>321138</v>
      </c>
      <c r="D15061">
        <v>2</v>
      </c>
    </row>
    <row r="15062" spans="1:4" x14ac:dyDescent="0.25">
      <c r="A15062" t="str">
        <f>T("   TG")</f>
        <v xml:space="preserve">   TG</v>
      </c>
      <c r="B15062" t="str">
        <f>T("   Togo")</f>
        <v xml:space="preserve">   Togo</v>
      </c>
      <c r="C15062">
        <v>345758</v>
      </c>
      <c r="D15062">
        <v>15</v>
      </c>
    </row>
    <row r="15063" spans="1:4" x14ac:dyDescent="0.25">
      <c r="A15063" t="str">
        <f>T("910199")</f>
        <v>910199</v>
      </c>
      <c r="B15063" t="str">
        <f>T("Montres de poche et simil., à remontage automatique ou manuel, y.c. les compteurs de temps du même type, avec boîte en métaux précieux ou en plaqués ou doublés de métaux précieux (sauf celles dont le fond est en acier et montres-bracelets)")</f>
        <v>Montres de poche et simil., à remontage automatique ou manuel, y.c. les compteurs de temps du même type, avec boîte en métaux précieux ou en plaqués ou doublés de métaux précieux (sauf celles dont le fond est en acier et montres-bracelets)</v>
      </c>
    </row>
    <row r="15064" spans="1:4" x14ac:dyDescent="0.25">
      <c r="A15064" t="str">
        <f>T("   ZZZ_Monde")</f>
        <v xml:space="preserve">   ZZZ_Monde</v>
      </c>
      <c r="B15064" t="str">
        <f>T("   ZZZ_Monde")</f>
        <v xml:space="preserve">   ZZZ_Monde</v>
      </c>
      <c r="C15064">
        <v>1223848</v>
      </c>
      <c r="D15064">
        <v>965</v>
      </c>
    </row>
    <row r="15065" spans="1:4" x14ac:dyDescent="0.25">
      <c r="A15065" t="str">
        <f>T("   CN")</f>
        <v xml:space="preserve">   CN</v>
      </c>
      <c r="B15065" t="str">
        <f>T("   Chine")</f>
        <v xml:space="preserve">   Chine</v>
      </c>
      <c r="C15065">
        <v>1223848</v>
      </c>
      <c r="D15065">
        <v>965</v>
      </c>
    </row>
    <row r="15066" spans="1:4" x14ac:dyDescent="0.25">
      <c r="A15066" t="str">
        <f>T("910211")</f>
        <v>910211</v>
      </c>
      <c r="B15066" t="str">
        <f>T("Montres-bracelets, même incorporant un compteur de temps, fonctionnant électriquement, à affichage mécanique seulement (autres que celles en métaux précieux ou en plaqués ou doublés de métaux précieux)")</f>
        <v>Montres-bracelets, même incorporant un compteur de temps, fonctionnant électriquement, à affichage mécanique seulement (autres que celles en métaux précieux ou en plaqués ou doublés de métaux précieux)</v>
      </c>
    </row>
    <row r="15067" spans="1:4" x14ac:dyDescent="0.25">
      <c r="A15067" t="str">
        <f>T("   ZZZ_Monde")</f>
        <v xml:space="preserve">   ZZZ_Monde</v>
      </c>
      <c r="B15067" t="str">
        <f>T("   ZZZ_Monde")</f>
        <v xml:space="preserve">   ZZZ_Monde</v>
      </c>
      <c r="C15067">
        <v>324149</v>
      </c>
      <c r="D15067">
        <v>10</v>
      </c>
    </row>
    <row r="15068" spans="1:4" x14ac:dyDescent="0.25">
      <c r="A15068" t="str">
        <f>T("   TG")</f>
        <v xml:space="preserve">   TG</v>
      </c>
      <c r="B15068" t="str">
        <f>T("   Togo")</f>
        <v xml:space="preserve">   Togo</v>
      </c>
      <c r="C15068">
        <v>324149</v>
      </c>
      <c r="D15068">
        <v>10</v>
      </c>
    </row>
    <row r="15069" spans="1:4" x14ac:dyDescent="0.25">
      <c r="A15069" t="str">
        <f>T("910212")</f>
        <v>910212</v>
      </c>
      <c r="B15069" t="str">
        <f>T("Montres-bracelets, même incorporant un compteur de temps, fonctionnant électriquement, à affichage optoélectronique seulement (autres que celles en métaux précieux ou en plaqués ou doublés de métaux précieux)")</f>
        <v>Montres-bracelets, même incorporant un compteur de temps, fonctionnant électriquement, à affichage optoélectronique seulement (autres que celles en métaux précieux ou en plaqués ou doublés de métaux précieux)</v>
      </c>
    </row>
    <row r="15070" spans="1:4" x14ac:dyDescent="0.25">
      <c r="A15070" t="str">
        <f>T("   ZZZ_Monde")</f>
        <v xml:space="preserve">   ZZZ_Monde</v>
      </c>
      <c r="B15070" t="str">
        <f>T("   ZZZ_Monde")</f>
        <v xml:space="preserve">   ZZZ_Monde</v>
      </c>
      <c r="C15070">
        <v>1155000</v>
      </c>
      <c r="D15070">
        <v>1250</v>
      </c>
    </row>
    <row r="15071" spans="1:4" x14ac:dyDescent="0.25">
      <c r="A15071" t="str">
        <f>T("   NG")</f>
        <v xml:space="preserve">   NG</v>
      </c>
      <c r="B15071" t="str">
        <f>T("   Nigéria")</f>
        <v xml:space="preserve">   Nigéria</v>
      </c>
      <c r="C15071">
        <v>1155000</v>
      </c>
      <c r="D15071">
        <v>1250</v>
      </c>
    </row>
    <row r="15072" spans="1:4" x14ac:dyDescent="0.25">
      <c r="A15072" t="str">
        <f>T("910219")</f>
        <v>910219</v>
      </c>
      <c r="B15072" t="str">
        <f>T("Montres-bracelets, même incorporant un compteur de temps, fonctionnant électriquement, à affichage mécanique et optoélectronique (autres que celles en métaux précieux ou en plaqués ou doublés de métaux précieux)")</f>
        <v>Montres-bracelets, même incorporant un compteur de temps, fonctionnant électriquement, à affichage mécanique et optoélectronique (autres que celles en métaux précieux ou en plaqués ou doublés de métaux précieux)</v>
      </c>
    </row>
    <row r="15073" spans="1:4" x14ac:dyDescent="0.25">
      <c r="A15073" t="str">
        <f>T("   ZZZ_Monde")</f>
        <v xml:space="preserve">   ZZZ_Monde</v>
      </c>
      <c r="B15073" t="str">
        <f>T("   ZZZ_Monde")</f>
        <v xml:space="preserve">   ZZZ_Monde</v>
      </c>
      <c r="C15073">
        <v>2304460</v>
      </c>
      <c r="D15073">
        <v>9</v>
      </c>
    </row>
    <row r="15074" spans="1:4" x14ac:dyDescent="0.25">
      <c r="A15074" t="str">
        <f>T("   FR")</f>
        <v xml:space="preserve">   FR</v>
      </c>
      <c r="B15074" t="str">
        <f>T("   France")</f>
        <v xml:space="preserve">   France</v>
      </c>
      <c r="C15074">
        <v>2304460</v>
      </c>
      <c r="D15074">
        <v>9</v>
      </c>
    </row>
    <row r="15075" spans="1:4" x14ac:dyDescent="0.25">
      <c r="A15075" t="str">
        <f>T("910229")</f>
        <v>910229</v>
      </c>
      <c r="B15075" t="str">
        <f>T("Montres-bracelets, même incorporant un compteur de temps, à remontage exclusivement manuel (autres que celles en métaux précieux ou en plaqués ou doublés de métaux précieux)")</f>
        <v>Montres-bracelets, même incorporant un compteur de temps, à remontage exclusivement manuel (autres que celles en métaux précieux ou en plaqués ou doublés de métaux précieux)</v>
      </c>
    </row>
    <row r="15076" spans="1:4" x14ac:dyDescent="0.25">
      <c r="A15076" t="str">
        <f>T("   ZZZ_Monde")</f>
        <v xml:space="preserve">   ZZZ_Monde</v>
      </c>
      <c r="B15076" t="str">
        <f>T("   ZZZ_Monde")</f>
        <v xml:space="preserve">   ZZZ_Monde</v>
      </c>
      <c r="C15076">
        <v>163772</v>
      </c>
      <c r="D15076">
        <v>2585</v>
      </c>
    </row>
    <row r="15077" spans="1:4" x14ac:dyDescent="0.25">
      <c r="A15077" t="str">
        <f>T("   CN")</f>
        <v xml:space="preserve">   CN</v>
      </c>
      <c r="B15077" t="str">
        <f>T("   Chine")</f>
        <v xml:space="preserve">   Chine</v>
      </c>
      <c r="C15077">
        <v>163772</v>
      </c>
      <c r="D15077">
        <v>2585</v>
      </c>
    </row>
    <row r="15078" spans="1:4" x14ac:dyDescent="0.25">
      <c r="A15078" t="str">
        <f>T("910299")</f>
        <v>910299</v>
      </c>
      <c r="B15078" t="str">
        <f>T("Montres de poche et montres simil., à remontage manuel ou automatique, y.c. les compteurs de temps du même type (autres que celles en métaux précieux ou en plaqués ou doublés de métaux précieux)")</f>
        <v>Montres de poche et montres simil., à remontage manuel ou automatique, y.c. les compteurs de temps du même type (autres que celles en métaux précieux ou en plaqués ou doublés de métaux précieux)</v>
      </c>
    </row>
    <row r="15079" spans="1:4" x14ac:dyDescent="0.25">
      <c r="A15079" t="str">
        <f>T("   ZZZ_Monde")</f>
        <v xml:space="preserve">   ZZZ_Monde</v>
      </c>
      <c r="B15079" t="str">
        <f>T("   ZZZ_Monde")</f>
        <v xml:space="preserve">   ZZZ_Monde</v>
      </c>
      <c r="C15079">
        <v>63000</v>
      </c>
      <c r="D15079">
        <v>207</v>
      </c>
    </row>
    <row r="15080" spans="1:4" x14ac:dyDescent="0.25">
      <c r="A15080" t="str">
        <f>T("   CI")</f>
        <v xml:space="preserve">   CI</v>
      </c>
      <c r="B15080" t="str">
        <f>T("   Côte d'Ivoire")</f>
        <v xml:space="preserve">   Côte d'Ivoire</v>
      </c>
      <c r="C15080">
        <v>63000</v>
      </c>
      <c r="D15080">
        <v>207</v>
      </c>
    </row>
    <row r="15081" spans="1:4" x14ac:dyDescent="0.25">
      <c r="A15081" t="str">
        <f>T("910390")</f>
        <v>910390</v>
      </c>
      <c r="B15081" t="str">
        <f>T("Réveils et pendulettes, à mouvement de montre, ne fonctionnant pas électriquement (autres que montres-bracelets, montres de poche et montres simil. du n° 9101 ou 9102 ainsi que montres de tableaux de bord et montres simil. du n° 9104)")</f>
        <v>Réveils et pendulettes, à mouvement de montre, ne fonctionnant pas électriquement (autres que montres-bracelets, montres de poche et montres simil. du n° 9101 ou 9102 ainsi que montres de tableaux de bord et montres simil. du n° 9104)</v>
      </c>
    </row>
    <row r="15082" spans="1:4" x14ac:dyDescent="0.25">
      <c r="A15082" t="str">
        <f>T("   ZZZ_Monde")</f>
        <v xml:space="preserve">   ZZZ_Monde</v>
      </c>
      <c r="B15082" t="str">
        <f>T("   ZZZ_Monde")</f>
        <v xml:space="preserve">   ZZZ_Monde</v>
      </c>
      <c r="C15082">
        <v>162521</v>
      </c>
      <c r="D15082">
        <v>16</v>
      </c>
    </row>
    <row r="15083" spans="1:4" x14ac:dyDescent="0.25">
      <c r="A15083" t="str">
        <f>T("   CN")</f>
        <v xml:space="preserve">   CN</v>
      </c>
      <c r="B15083" t="str">
        <f>T("   Chine")</f>
        <v xml:space="preserve">   Chine</v>
      </c>
      <c r="C15083">
        <v>162521</v>
      </c>
      <c r="D15083">
        <v>16</v>
      </c>
    </row>
    <row r="15084" spans="1:4" x14ac:dyDescent="0.25">
      <c r="A15084" t="str">
        <f>T("910511")</f>
        <v>910511</v>
      </c>
      <c r="B15084" t="str">
        <f>T("Réveils fonctionnant électriquement")</f>
        <v>Réveils fonctionnant électriquement</v>
      </c>
    </row>
    <row r="15085" spans="1:4" x14ac:dyDescent="0.25">
      <c r="A15085" t="str">
        <f>T("   ZZZ_Monde")</f>
        <v xml:space="preserve">   ZZZ_Monde</v>
      </c>
      <c r="B15085" t="str">
        <f>T("   ZZZ_Monde")</f>
        <v xml:space="preserve">   ZZZ_Monde</v>
      </c>
      <c r="C15085">
        <v>3220811</v>
      </c>
      <c r="D15085">
        <v>3586</v>
      </c>
    </row>
    <row r="15086" spans="1:4" x14ac:dyDescent="0.25">
      <c r="A15086" t="str">
        <f>T("   CN")</f>
        <v xml:space="preserve">   CN</v>
      </c>
      <c r="B15086" t="str">
        <f>T("   Chine")</f>
        <v xml:space="preserve">   Chine</v>
      </c>
      <c r="C15086">
        <v>3220811</v>
      </c>
      <c r="D15086">
        <v>3586</v>
      </c>
    </row>
    <row r="15087" spans="1:4" x14ac:dyDescent="0.25">
      <c r="A15087" t="str">
        <f>T("910519")</f>
        <v>910519</v>
      </c>
      <c r="B15087" t="str">
        <f>T("RÉVEILS NE FONCTIONNANT PAS ÉLECTRIQUEMENT [01/01/1988-31/12/1994: RÉVEILS (AUTRES QUE FONCTIONNANT A PILE OU A ACCUMULATEUR OU SUR SECTEUR)]")</f>
        <v>RÉVEILS NE FONCTIONNANT PAS ÉLECTRIQUEMENT [01/01/1988-31/12/1994: RÉVEILS (AUTRES QUE FONCTIONNANT A PILE OU A ACCUMULATEUR OU SUR SECTEUR)]</v>
      </c>
    </row>
    <row r="15088" spans="1:4" x14ac:dyDescent="0.25">
      <c r="A15088" t="str">
        <f>T("   ZZZ_Monde")</f>
        <v xml:space="preserve">   ZZZ_Monde</v>
      </c>
      <c r="B15088" t="str">
        <f>T("   ZZZ_Monde")</f>
        <v xml:space="preserve">   ZZZ_Monde</v>
      </c>
      <c r="C15088">
        <v>787155</v>
      </c>
      <c r="D15088">
        <v>3953</v>
      </c>
    </row>
    <row r="15089" spans="1:4" x14ac:dyDescent="0.25">
      <c r="A15089" t="str">
        <f>T("   CN")</f>
        <v xml:space="preserve">   CN</v>
      </c>
      <c r="B15089" t="str">
        <f>T("   Chine")</f>
        <v xml:space="preserve">   Chine</v>
      </c>
      <c r="C15089">
        <v>787155</v>
      </c>
      <c r="D15089">
        <v>3953</v>
      </c>
    </row>
    <row r="15090" spans="1:4" x14ac:dyDescent="0.25">
      <c r="A15090" t="str">
        <f>T("910521")</f>
        <v>910521</v>
      </c>
      <c r="B15090" t="str">
        <f>T("PENDULES ET HORLOGES, MURALES, FONCTIONNANT ÉLECTRIQUEMENT [01/01/1988-31/12/1994: PENDULES ET HORLOGES MURALES, A PILE OU A ACCUMULATEUR OU FONCTIONNANT SUR SECTEUR]")</f>
        <v>PENDULES ET HORLOGES, MURALES, FONCTIONNANT ÉLECTRIQUEMENT [01/01/1988-31/12/1994: PENDULES ET HORLOGES MURALES, A PILE OU A ACCUMULATEUR OU FONCTIONNANT SUR SECTEUR]</v>
      </c>
    </row>
    <row r="15091" spans="1:4" x14ac:dyDescent="0.25">
      <c r="A15091" t="str">
        <f>T("   ZZZ_Monde")</f>
        <v xml:space="preserve">   ZZZ_Monde</v>
      </c>
      <c r="B15091" t="str">
        <f>T("   ZZZ_Monde")</f>
        <v xml:space="preserve">   ZZZ_Monde</v>
      </c>
      <c r="C15091">
        <v>4256646</v>
      </c>
      <c r="D15091">
        <v>9200</v>
      </c>
    </row>
    <row r="15092" spans="1:4" x14ac:dyDescent="0.25">
      <c r="A15092" t="str">
        <f>T("   CN")</f>
        <v xml:space="preserve">   CN</v>
      </c>
      <c r="B15092" t="str">
        <f>T("   Chine")</f>
        <v xml:space="preserve">   Chine</v>
      </c>
      <c r="C15092">
        <v>87721</v>
      </c>
      <c r="D15092">
        <v>2090</v>
      </c>
    </row>
    <row r="15093" spans="1:4" x14ac:dyDescent="0.25">
      <c r="A15093" t="str">
        <f>T("   NG")</f>
        <v xml:space="preserve">   NG</v>
      </c>
      <c r="B15093" t="str">
        <f>T("   Nigéria")</f>
        <v xml:space="preserve">   Nigéria</v>
      </c>
      <c r="C15093">
        <v>4168925</v>
      </c>
      <c r="D15093">
        <v>7110</v>
      </c>
    </row>
    <row r="15094" spans="1:4" x14ac:dyDescent="0.25">
      <c r="A15094" t="str">
        <f>T("910529")</f>
        <v>910529</v>
      </c>
      <c r="B15094" t="str">
        <f>T("Pendules et horloges murales ne fonctionnant pas électriquement")</f>
        <v>Pendules et horloges murales ne fonctionnant pas électriquement</v>
      </c>
    </row>
    <row r="15095" spans="1:4" x14ac:dyDescent="0.25">
      <c r="A15095" t="str">
        <f>T("   ZZZ_Monde")</f>
        <v xml:space="preserve">   ZZZ_Monde</v>
      </c>
      <c r="B15095" t="str">
        <f>T("   ZZZ_Monde")</f>
        <v xml:space="preserve">   ZZZ_Monde</v>
      </c>
      <c r="C15095">
        <v>2760601</v>
      </c>
      <c r="D15095">
        <v>4829</v>
      </c>
    </row>
    <row r="15096" spans="1:4" x14ac:dyDescent="0.25">
      <c r="A15096" t="str">
        <f>T("   AE")</f>
        <v xml:space="preserve">   AE</v>
      </c>
      <c r="B15096" t="str">
        <f>T("   Emirats Arabes Unis")</f>
        <v xml:space="preserve">   Emirats Arabes Unis</v>
      </c>
      <c r="C15096">
        <v>596312</v>
      </c>
      <c r="D15096">
        <v>1200</v>
      </c>
    </row>
    <row r="15097" spans="1:4" x14ac:dyDescent="0.25">
      <c r="A15097" t="str">
        <f>T("   CN")</f>
        <v xml:space="preserve">   CN</v>
      </c>
      <c r="B15097" t="str">
        <f>T("   Chine")</f>
        <v xml:space="preserve">   Chine</v>
      </c>
      <c r="C15097">
        <v>1331617</v>
      </c>
      <c r="D15097">
        <v>2306</v>
      </c>
    </row>
    <row r="15098" spans="1:4" x14ac:dyDescent="0.25">
      <c r="A15098" t="str">
        <f>T("   DE")</f>
        <v xml:space="preserve">   DE</v>
      </c>
      <c r="B15098" t="str">
        <f>T("   Allemagne")</f>
        <v xml:space="preserve">   Allemagne</v>
      </c>
      <c r="C15098">
        <v>293214</v>
      </c>
      <c r="D15098">
        <v>1022</v>
      </c>
    </row>
    <row r="15099" spans="1:4" x14ac:dyDescent="0.25">
      <c r="A15099" t="str">
        <f>T("   GH")</f>
        <v xml:space="preserve">   GH</v>
      </c>
      <c r="B15099" t="str">
        <f>T("   Ghana")</f>
        <v xml:space="preserve">   Ghana</v>
      </c>
      <c r="C15099">
        <v>539458</v>
      </c>
      <c r="D15099">
        <v>301</v>
      </c>
    </row>
    <row r="15100" spans="1:4" x14ac:dyDescent="0.25">
      <c r="A15100" t="str">
        <f>T("910591")</f>
        <v>910591</v>
      </c>
      <c r="B15100" t="str">
        <f>T("Appareils d'horlogerie fonctionnant électriquement (autres que montres-bracelets, montres de poche et montres simil. du n° 9101 ou 9102, et réveils ou pendulettes à mouvement de montre du n° 9103, montres de tableaux de bord et montres simil. du n° 9104 a")</f>
        <v>Appareils d'horlogerie fonctionnant électriquement (autres que montres-bracelets, montres de poche et montres simil. du n° 9101 ou 9102, et réveils ou pendulettes à mouvement de montre du n° 9103, montres de tableaux de bord et montres simil. du n° 9104 a</v>
      </c>
    </row>
    <row r="15101" spans="1:4" x14ac:dyDescent="0.25">
      <c r="A15101" t="str">
        <f>T("   ZZZ_Monde")</f>
        <v xml:space="preserve">   ZZZ_Monde</v>
      </c>
      <c r="B15101" t="str">
        <f>T("   ZZZ_Monde")</f>
        <v xml:space="preserve">   ZZZ_Monde</v>
      </c>
      <c r="C15101">
        <v>350282</v>
      </c>
      <c r="D15101">
        <v>34</v>
      </c>
    </row>
    <row r="15102" spans="1:4" x14ac:dyDescent="0.25">
      <c r="A15102" t="str">
        <f>T("   FR")</f>
        <v xml:space="preserve">   FR</v>
      </c>
      <c r="B15102" t="str">
        <f>T("   France")</f>
        <v xml:space="preserve">   France</v>
      </c>
      <c r="C15102">
        <v>350282</v>
      </c>
      <c r="D15102">
        <v>34</v>
      </c>
    </row>
    <row r="15103" spans="1:4" x14ac:dyDescent="0.25">
      <c r="A15103" t="str">
        <f>T("910599")</f>
        <v>910599</v>
      </c>
      <c r="B15103" t="str">
        <f>T("Appareils d'horlogerie ne fonctionnant pas électriquement (autres que montres-bracelets, montres de poche et montres simil. du n° 9101 ou 9102, réveils ou pendulettes à mouvement de montre du n° 9103, montres de tableaux de bord et montres simil. du n° 91")</f>
        <v>Appareils d'horlogerie ne fonctionnant pas électriquement (autres que montres-bracelets, montres de poche et montres simil. du n° 9101 ou 9102, réveils ou pendulettes à mouvement de montre du n° 9103, montres de tableaux de bord et montres simil. du n° 91</v>
      </c>
    </row>
    <row r="15104" spans="1:4" x14ac:dyDescent="0.25">
      <c r="A15104" t="str">
        <f>T("   ZZZ_Monde")</f>
        <v xml:space="preserve">   ZZZ_Monde</v>
      </c>
      <c r="B15104" t="str">
        <f>T("   ZZZ_Monde")</f>
        <v xml:space="preserve">   ZZZ_Monde</v>
      </c>
      <c r="C15104">
        <v>350282</v>
      </c>
      <c r="D15104">
        <v>121</v>
      </c>
    </row>
    <row r="15105" spans="1:4" x14ac:dyDescent="0.25">
      <c r="A15105" t="str">
        <f>T("   FR")</f>
        <v xml:space="preserve">   FR</v>
      </c>
      <c r="B15105" t="str">
        <f>T("   France")</f>
        <v xml:space="preserve">   France</v>
      </c>
      <c r="C15105">
        <v>266319</v>
      </c>
      <c r="D15105">
        <v>105</v>
      </c>
    </row>
    <row r="15106" spans="1:4" x14ac:dyDescent="0.25">
      <c r="A15106" t="str">
        <f>T("   PT")</f>
        <v xml:space="preserve">   PT</v>
      </c>
      <c r="B15106" t="str">
        <f>T("   Portugal")</f>
        <v xml:space="preserve">   Portugal</v>
      </c>
      <c r="C15106">
        <v>83963</v>
      </c>
      <c r="D15106">
        <v>16</v>
      </c>
    </row>
    <row r="15107" spans="1:4" x14ac:dyDescent="0.25">
      <c r="A15107" t="str">
        <f>T("910610")</f>
        <v>910610</v>
      </c>
      <c r="B15107" t="str">
        <f>T("HORLOGES DE POINTAGE; HORODATEURS ET HOROCOMPTEURS [01/01/1988-31/12/1994: HORLOGES DE POINTAGE; HORODATEURS ET HOROCOMPTEURS]")</f>
        <v>HORLOGES DE POINTAGE; HORODATEURS ET HOROCOMPTEURS [01/01/1988-31/12/1994: HORLOGES DE POINTAGE; HORODATEURS ET HOROCOMPTEURS]</v>
      </c>
    </row>
    <row r="15108" spans="1:4" x14ac:dyDescent="0.25">
      <c r="A15108" t="str">
        <f>T("   ZZZ_Monde")</f>
        <v xml:space="preserve">   ZZZ_Monde</v>
      </c>
      <c r="B15108" t="str">
        <f>T("   ZZZ_Monde")</f>
        <v xml:space="preserve">   ZZZ_Monde</v>
      </c>
      <c r="C15108">
        <v>827828</v>
      </c>
      <c r="D15108">
        <v>30</v>
      </c>
    </row>
    <row r="15109" spans="1:4" x14ac:dyDescent="0.25">
      <c r="A15109" t="str">
        <f>T("   FR")</f>
        <v xml:space="preserve">   FR</v>
      </c>
      <c r="B15109" t="str">
        <f>T("   France")</f>
        <v xml:space="preserve">   France</v>
      </c>
      <c r="C15109">
        <v>827828</v>
      </c>
      <c r="D15109">
        <v>30</v>
      </c>
    </row>
    <row r="15110" spans="1:4" x14ac:dyDescent="0.25">
      <c r="A15110" t="str">
        <f>T("910690")</f>
        <v>910690</v>
      </c>
      <c r="B15110" t="str">
        <f>T("APPAREILS DE CONTRÔLE DE TEMPS, À MOUVEMENT D'HORLOGERIE OU À MOTEUR SYNCHRONE (AUTRES QU'APPAREILS D'HORLOGERIE DU N° 9101 À 9105, HORLOGES DE POINTAGE, HORODATEURS ET HOROCOMPTEURS)")</f>
        <v>APPAREILS DE CONTRÔLE DE TEMPS, À MOUVEMENT D'HORLOGERIE OU À MOTEUR SYNCHRONE (AUTRES QU'APPAREILS D'HORLOGERIE DU N° 9101 À 9105, HORLOGES DE POINTAGE, HORODATEURS ET HOROCOMPTEURS)</v>
      </c>
    </row>
    <row r="15111" spans="1:4" x14ac:dyDescent="0.25">
      <c r="A15111" t="str">
        <f>T("   ZZZ_Monde")</f>
        <v xml:space="preserve">   ZZZ_Monde</v>
      </c>
      <c r="B15111" t="str">
        <f>T("   ZZZ_Monde")</f>
        <v xml:space="preserve">   ZZZ_Monde</v>
      </c>
      <c r="C15111">
        <v>56351</v>
      </c>
      <c r="D15111">
        <v>7</v>
      </c>
    </row>
    <row r="15112" spans="1:4" x14ac:dyDescent="0.25">
      <c r="A15112" t="str">
        <f>T("   DE")</f>
        <v xml:space="preserve">   DE</v>
      </c>
      <c r="B15112" t="str">
        <f>T("   Allemagne")</f>
        <v xml:space="preserve">   Allemagne</v>
      </c>
      <c r="C15112">
        <v>55643</v>
      </c>
      <c r="D15112">
        <v>6</v>
      </c>
    </row>
    <row r="15113" spans="1:4" x14ac:dyDescent="0.25">
      <c r="A15113" t="str">
        <f>T("   FR")</f>
        <v xml:space="preserve">   FR</v>
      </c>
      <c r="B15113" t="str">
        <f>T("   France")</f>
        <v xml:space="preserve">   France</v>
      </c>
      <c r="C15113">
        <v>708</v>
      </c>
      <c r="D15113">
        <v>1</v>
      </c>
    </row>
    <row r="15114" spans="1:4" x14ac:dyDescent="0.25">
      <c r="A15114" t="str">
        <f>T("910700")</f>
        <v>910700</v>
      </c>
      <c r="B15114" t="str">
        <f>T("Interrupteurs horaires et autres appareils permettant de déclencher un mécanisme à temps donné, munis d'un mouvement d'horlogerie ou d'un moteur synchrone")</f>
        <v>Interrupteurs horaires et autres appareils permettant de déclencher un mécanisme à temps donné, munis d'un mouvement d'horlogerie ou d'un moteur synchrone</v>
      </c>
    </row>
    <row r="15115" spans="1:4" x14ac:dyDescent="0.25">
      <c r="A15115" t="str">
        <f>T("   ZZZ_Monde")</f>
        <v xml:space="preserve">   ZZZ_Monde</v>
      </c>
      <c r="B15115" t="str">
        <f>T("   ZZZ_Monde")</f>
        <v xml:space="preserve">   ZZZ_Monde</v>
      </c>
      <c r="C15115">
        <v>1186632</v>
      </c>
      <c r="D15115">
        <v>61</v>
      </c>
    </row>
    <row r="15116" spans="1:4" x14ac:dyDescent="0.25">
      <c r="A15116" t="str">
        <f>T("   FR")</f>
        <v xml:space="preserve">   FR</v>
      </c>
      <c r="B15116" t="str">
        <f>T("   France")</f>
        <v xml:space="preserve">   France</v>
      </c>
      <c r="C15116">
        <v>1186632</v>
      </c>
      <c r="D15116">
        <v>61</v>
      </c>
    </row>
    <row r="15117" spans="1:4" x14ac:dyDescent="0.25">
      <c r="A15117" t="str">
        <f>T("911310")</f>
        <v>911310</v>
      </c>
      <c r="B15117" t="str">
        <f>T("Bracelets de montres et leurs parties, en métaux précieux ou en plaqués ou doublés de métaux précieux, n.d.a.")</f>
        <v>Bracelets de montres et leurs parties, en métaux précieux ou en plaqués ou doublés de métaux précieux, n.d.a.</v>
      </c>
    </row>
    <row r="15118" spans="1:4" x14ac:dyDescent="0.25">
      <c r="A15118" t="str">
        <f>T("   ZZZ_Monde")</f>
        <v xml:space="preserve">   ZZZ_Monde</v>
      </c>
      <c r="B15118" t="str">
        <f>T("   ZZZ_Monde")</f>
        <v xml:space="preserve">   ZZZ_Monde</v>
      </c>
      <c r="C15118">
        <v>8738</v>
      </c>
      <c r="D15118">
        <v>40</v>
      </c>
    </row>
    <row r="15119" spans="1:4" x14ac:dyDescent="0.25">
      <c r="A15119" t="str">
        <f>T("   TG")</f>
        <v xml:space="preserve">   TG</v>
      </c>
      <c r="B15119" t="str">
        <f>T("   Togo")</f>
        <v xml:space="preserve">   Togo</v>
      </c>
      <c r="C15119">
        <v>8738</v>
      </c>
      <c r="D15119">
        <v>40</v>
      </c>
    </row>
    <row r="15120" spans="1:4" x14ac:dyDescent="0.25">
      <c r="A15120" t="str">
        <f>T("920110")</f>
        <v>920110</v>
      </c>
      <c r="B15120" t="str">
        <f>T("Pianos droits")</f>
        <v>Pianos droits</v>
      </c>
    </row>
    <row r="15121" spans="1:4" x14ac:dyDescent="0.25">
      <c r="A15121" t="str">
        <f>T("   ZZZ_Monde")</f>
        <v xml:space="preserve">   ZZZ_Monde</v>
      </c>
      <c r="B15121" t="str">
        <f>T("   ZZZ_Monde")</f>
        <v xml:space="preserve">   ZZZ_Monde</v>
      </c>
      <c r="C15121">
        <v>80000</v>
      </c>
      <c r="D15121">
        <v>7</v>
      </c>
    </row>
    <row r="15122" spans="1:4" x14ac:dyDescent="0.25">
      <c r="A15122" t="str">
        <f>T("   FR")</f>
        <v xml:space="preserve">   FR</v>
      </c>
      <c r="B15122" t="str">
        <f>T("   France")</f>
        <v xml:space="preserve">   France</v>
      </c>
      <c r="C15122">
        <v>80000</v>
      </c>
      <c r="D15122">
        <v>7</v>
      </c>
    </row>
    <row r="15123" spans="1:4" x14ac:dyDescent="0.25">
      <c r="A15123" t="str">
        <f>T("920190")</f>
        <v>920190</v>
      </c>
      <c r="B15123" t="str">
        <f>T("Clavecins et autres instruments à cordes à clavier (autres que pianos)")</f>
        <v>Clavecins et autres instruments à cordes à clavier (autres que pianos)</v>
      </c>
    </row>
    <row r="15124" spans="1:4" x14ac:dyDescent="0.25">
      <c r="A15124" t="str">
        <f>T("   ZZZ_Monde")</f>
        <v xml:space="preserve">   ZZZ_Monde</v>
      </c>
      <c r="B15124" t="str">
        <f>T("   ZZZ_Monde")</f>
        <v xml:space="preserve">   ZZZ_Monde</v>
      </c>
      <c r="C15124">
        <v>414601</v>
      </c>
      <c r="D15124">
        <v>115</v>
      </c>
    </row>
    <row r="15125" spans="1:4" x14ac:dyDescent="0.25">
      <c r="A15125" t="str">
        <f>T("   NG")</f>
        <v xml:space="preserve">   NG</v>
      </c>
      <c r="B15125" t="str">
        <f>T("   Nigéria")</f>
        <v xml:space="preserve">   Nigéria</v>
      </c>
      <c r="C15125">
        <v>150000</v>
      </c>
      <c r="D15125">
        <v>100</v>
      </c>
    </row>
    <row r="15126" spans="1:4" x14ac:dyDescent="0.25">
      <c r="A15126" t="str">
        <f>T("   US")</f>
        <v xml:space="preserve">   US</v>
      </c>
      <c r="B15126" t="str">
        <f>T("   Etats-Unis")</f>
        <v xml:space="preserve">   Etats-Unis</v>
      </c>
      <c r="C15126">
        <v>264601</v>
      </c>
      <c r="D15126">
        <v>15</v>
      </c>
    </row>
    <row r="15127" spans="1:4" x14ac:dyDescent="0.25">
      <c r="A15127" t="str">
        <f>T("920210")</f>
        <v>920210</v>
      </c>
      <c r="B15127" t="str">
        <f>T("VIOLONS ET AUTRES INSTRUMENTS À CORDES FROTTÉES À L'AIDE D'UN ARCHET [01/01/1988-31/12/1988: INSTRUMENTS DE MUSIQUE A CORDES FROTTEES, A L'AIDE D'UN ARCHET, VIOLONS, PAR EXEMPLE]")</f>
        <v>VIOLONS ET AUTRES INSTRUMENTS À CORDES FROTTÉES À L'AIDE D'UN ARCHET [01/01/1988-31/12/1988: INSTRUMENTS DE MUSIQUE A CORDES FROTTEES, A L'AIDE D'UN ARCHET, VIOLONS, PAR EXEMPLE]</v>
      </c>
    </row>
    <row r="15128" spans="1:4" x14ac:dyDescent="0.25">
      <c r="A15128" t="str">
        <f>T("   ZZZ_Monde")</f>
        <v xml:space="preserve">   ZZZ_Monde</v>
      </c>
      <c r="B15128" t="str">
        <f>T("   ZZZ_Monde")</f>
        <v xml:space="preserve">   ZZZ_Monde</v>
      </c>
      <c r="C15128">
        <v>670309</v>
      </c>
      <c r="D15128">
        <v>1145</v>
      </c>
    </row>
    <row r="15129" spans="1:4" x14ac:dyDescent="0.25">
      <c r="A15129" t="str">
        <f>T("   CN")</f>
        <v xml:space="preserve">   CN</v>
      </c>
      <c r="B15129" t="str">
        <f>T("   Chine")</f>
        <v xml:space="preserve">   Chine</v>
      </c>
      <c r="C15129">
        <v>670309</v>
      </c>
      <c r="D15129">
        <v>1145</v>
      </c>
    </row>
    <row r="15130" spans="1:4" x14ac:dyDescent="0.25">
      <c r="A15130" t="str">
        <f>T("920290")</f>
        <v>920290</v>
      </c>
      <c r="B15130" t="str">
        <f>T("Guitares, harpes et autres instruments de musique à cordes (autres qu'à clavier et à cordes frottées)")</f>
        <v>Guitares, harpes et autres instruments de musique à cordes (autres qu'à clavier et à cordes frottées)</v>
      </c>
    </row>
    <row r="15131" spans="1:4" x14ac:dyDescent="0.25">
      <c r="A15131" t="str">
        <f>T("   ZZZ_Monde")</f>
        <v xml:space="preserve">   ZZZ_Monde</v>
      </c>
      <c r="B15131" t="str">
        <f>T("   ZZZ_Monde")</f>
        <v xml:space="preserve">   ZZZ_Monde</v>
      </c>
      <c r="C15131">
        <v>4261167</v>
      </c>
      <c r="D15131">
        <v>5069.33</v>
      </c>
    </row>
    <row r="15132" spans="1:4" x14ac:dyDescent="0.25">
      <c r="A15132" t="str">
        <f>T("   CN")</f>
        <v xml:space="preserve">   CN</v>
      </c>
      <c r="B15132" t="str">
        <f>T("   Chine")</f>
        <v xml:space="preserve">   Chine</v>
      </c>
      <c r="C15132">
        <v>4098509</v>
      </c>
      <c r="D15132">
        <v>5000</v>
      </c>
    </row>
    <row r="15133" spans="1:4" x14ac:dyDescent="0.25">
      <c r="A15133" t="str">
        <f>T("   FR")</f>
        <v xml:space="preserve">   FR</v>
      </c>
      <c r="B15133" t="str">
        <f>T("   France")</f>
        <v xml:space="preserve">   France</v>
      </c>
      <c r="C15133">
        <v>97062</v>
      </c>
      <c r="D15133">
        <v>24.33</v>
      </c>
    </row>
    <row r="15134" spans="1:4" x14ac:dyDescent="0.25">
      <c r="A15134" t="str">
        <f>T("   MG")</f>
        <v xml:space="preserve">   MG</v>
      </c>
      <c r="B15134" t="str">
        <f>T("   Madagascar")</f>
        <v xml:space="preserve">   Madagascar</v>
      </c>
      <c r="C15134">
        <v>65596</v>
      </c>
      <c r="D15134">
        <v>45</v>
      </c>
    </row>
    <row r="15135" spans="1:4" x14ac:dyDescent="0.25">
      <c r="A15135" t="str">
        <f>T("920600")</f>
        <v>920600</v>
      </c>
      <c r="B15135" t="str">
        <f>T("INSTRUMENTS DE MUSIQUE À PERCUSSION, P.EX. TAMBOURS, CAISSES, XYLOPHONES, CYMBALES, CASTAGNETTES, MARACAS [01/01/1988-31/12/1994: TAMBOURS, CAISSES, XYLOPHONES, CYMBALES, CASTAGNETTES, MARACAS ET AUTRES INSTRUMENTS DE MUSIQUE A PERCUSSION]")</f>
        <v>INSTRUMENTS DE MUSIQUE À PERCUSSION, P.EX. TAMBOURS, CAISSES, XYLOPHONES, CYMBALES, CASTAGNETTES, MARACAS [01/01/1988-31/12/1994: TAMBOURS, CAISSES, XYLOPHONES, CYMBALES, CASTAGNETTES, MARACAS ET AUTRES INSTRUMENTS DE MUSIQUE A PERCUSSION]</v>
      </c>
    </row>
    <row r="15136" spans="1:4" x14ac:dyDescent="0.25">
      <c r="A15136" t="str">
        <f>T("   ZZZ_Monde")</f>
        <v xml:space="preserve">   ZZZ_Monde</v>
      </c>
      <c r="B15136" t="str">
        <f>T("   ZZZ_Monde")</f>
        <v xml:space="preserve">   ZZZ_Monde</v>
      </c>
      <c r="C15136">
        <v>1301833</v>
      </c>
      <c r="D15136">
        <v>1645</v>
      </c>
    </row>
    <row r="15137" spans="1:4" x14ac:dyDescent="0.25">
      <c r="A15137" t="str">
        <f>T("   CN")</f>
        <v xml:space="preserve">   CN</v>
      </c>
      <c r="B15137" t="str">
        <f>T("   Chine")</f>
        <v xml:space="preserve">   Chine</v>
      </c>
      <c r="C15137">
        <v>722851</v>
      </c>
      <c r="D15137">
        <v>1335</v>
      </c>
    </row>
    <row r="15138" spans="1:4" x14ac:dyDescent="0.25">
      <c r="A15138" t="str">
        <f>T("   NG")</f>
        <v xml:space="preserve">   NG</v>
      </c>
      <c r="B15138" t="str">
        <f>T("   Nigéria")</f>
        <v xml:space="preserve">   Nigéria</v>
      </c>
      <c r="C15138">
        <v>568800</v>
      </c>
      <c r="D15138">
        <v>250</v>
      </c>
    </row>
    <row r="15139" spans="1:4" x14ac:dyDescent="0.25">
      <c r="A15139" t="str">
        <f>T("   TG")</f>
        <v xml:space="preserve">   TG</v>
      </c>
      <c r="B15139" t="str">
        <f>T("   Togo")</f>
        <v xml:space="preserve">   Togo</v>
      </c>
      <c r="C15139">
        <v>10182</v>
      </c>
      <c r="D15139">
        <v>60</v>
      </c>
    </row>
    <row r="15140" spans="1:4" x14ac:dyDescent="0.25">
      <c r="A15140" t="str">
        <f>T("920710")</f>
        <v>920710</v>
      </c>
      <c r="B15140" t="str">
        <f>T("Instruments à clavier électriques (sauf accordéons)")</f>
        <v>Instruments à clavier électriques (sauf accordéons)</v>
      </c>
    </row>
    <row r="15141" spans="1:4" x14ac:dyDescent="0.25">
      <c r="A15141" t="str">
        <f>T("   ZZZ_Monde")</f>
        <v xml:space="preserve">   ZZZ_Monde</v>
      </c>
      <c r="B15141" t="str">
        <f>T("   ZZZ_Monde")</f>
        <v xml:space="preserve">   ZZZ_Monde</v>
      </c>
      <c r="C15141">
        <v>855110</v>
      </c>
      <c r="D15141">
        <v>249</v>
      </c>
    </row>
    <row r="15142" spans="1:4" x14ac:dyDescent="0.25">
      <c r="A15142" t="str">
        <f>T("   CN")</f>
        <v xml:space="preserve">   CN</v>
      </c>
      <c r="B15142" t="str">
        <f>T("   Chine")</f>
        <v xml:space="preserve">   Chine</v>
      </c>
      <c r="C15142">
        <v>55826</v>
      </c>
      <c r="D15142">
        <v>100</v>
      </c>
    </row>
    <row r="15143" spans="1:4" x14ac:dyDescent="0.25">
      <c r="A15143" t="str">
        <f>T("   DE")</f>
        <v xml:space="preserve">   DE</v>
      </c>
      <c r="B15143" t="str">
        <f>T("   Allemagne")</f>
        <v xml:space="preserve">   Allemagne</v>
      </c>
      <c r="C15143">
        <v>799284</v>
      </c>
      <c r="D15143">
        <v>149</v>
      </c>
    </row>
    <row r="15144" spans="1:4" x14ac:dyDescent="0.25">
      <c r="A15144" t="str">
        <f>T("920790")</f>
        <v>920790</v>
      </c>
      <c r="B15144" t="str">
        <f>T("Accordéons électriques et autres instruments de musique électriques")</f>
        <v>Accordéons électriques et autres instruments de musique électriques</v>
      </c>
    </row>
    <row r="15145" spans="1:4" x14ac:dyDescent="0.25">
      <c r="A15145" t="str">
        <f>T("   ZZZ_Monde")</f>
        <v xml:space="preserve">   ZZZ_Monde</v>
      </c>
      <c r="B15145" t="str">
        <f>T("   ZZZ_Monde")</f>
        <v xml:space="preserve">   ZZZ_Monde</v>
      </c>
      <c r="C15145">
        <v>6463820</v>
      </c>
      <c r="D15145">
        <v>12244</v>
      </c>
    </row>
    <row r="15146" spans="1:4" x14ac:dyDescent="0.25">
      <c r="A15146" t="str">
        <f>T("   BE")</f>
        <v xml:space="preserve">   BE</v>
      </c>
      <c r="B15146" t="str">
        <f>T("   Belgique")</f>
        <v xml:space="preserve">   Belgique</v>
      </c>
      <c r="C15146">
        <v>200000</v>
      </c>
      <c r="D15146">
        <v>100</v>
      </c>
    </row>
    <row r="15147" spans="1:4" x14ac:dyDescent="0.25">
      <c r="A15147" t="str">
        <f>T("   CN")</f>
        <v xml:space="preserve">   CN</v>
      </c>
      <c r="B15147" t="str">
        <f>T("   Chine")</f>
        <v xml:space="preserve">   Chine</v>
      </c>
      <c r="C15147">
        <v>5191599</v>
      </c>
      <c r="D15147">
        <v>11693</v>
      </c>
    </row>
    <row r="15148" spans="1:4" x14ac:dyDescent="0.25">
      <c r="A15148" t="str">
        <f>T("   FR")</f>
        <v xml:space="preserve">   FR</v>
      </c>
      <c r="B15148" t="str">
        <f>T("   France")</f>
        <v xml:space="preserve">   France</v>
      </c>
      <c r="C15148">
        <v>199394</v>
      </c>
      <c r="D15148">
        <v>72</v>
      </c>
    </row>
    <row r="15149" spans="1:4" x14ac:dyDescent="0.25">
      <c r="A15149" t="str">
        <f>T("   HK")</f>
        <v xml:space="preserve">   HK</v>
      </c>
      <c r="B15149" t="str">
        <f>T("   Hong-Kong")</f>
        <v xml:space="preserve">   Hong-Kong</v>
      </c>
      <c r="C15149">
        <v>200000</v>
      </c>
      <c r="D15149">
        <v>100</v>
      </c>
    </row>
    <row r="15150" spans="1:4" x14ac:dyDescent="0.25">
      <c r="A15150" t="str">
        <f>T("   IN")</f>
        <v xml:space="preserve">   IN</v>
      </c>
      <c r="B15150" t="str">
        <f>T("   Inde")</f>
        <v xml:space="preserve">   Inde</v>
      </c>
      <c r="C15150">
        <v>59439</v>
      </c>
      <c r="D15150">
        <v>79</v>
      </c>
    </row>
    <row r="15151" spans="1:4" x14ac:dyDescent="0.25">
      <c r="A15151" t="str">
        <f>T("   IT")</f>
        <v xml:space="preserve">   IT</v>
      </c>
      <c r="B15151" t="str">
        <f>T("   Italie")</f>
        <v xml:space="preserve">   Italie</v>
      </c>
      <c r="C15151">
        <v>613388</v>
      </c>
      <c r="D15151">
        <v>200</v>
      </c>
    </row>
    <row r="15152" spans="1:4" x14ac:dyDescent="0.25">
      <c r="A15152" t="str">
        <f>T("920890")</f>
        <v>920890</v>
      </c>
      <c r="B15152" t="str">
        <f>T("Orchestrions, orgues de Barbarie, oiseaux chanteurs, scies musicales et autres instruments de musique non repris dans le présent chapitre; appeaux, sifflets, cornes d'appel et autres instruments d'appel ou de signalisation à bouche")</f>
        <v>Orchestrions, orgues de Barbarie, oiseaux chanteurs, scies musicales et autres instruments de musique non repris dans le présent chapitre; appeaux, sifflets, cornes d'appel et autres instruments d'appel ou de signalisation à bouche</v>
      </c>
    </row>
    <row r="15153" spans="1:4" x14ac:dyDescent="0.25">
      <c r="A15153" t="str">
        <f>T("   ZZZ_Monde")</f>
        <v xml:space="preserve">   ZZZ_Monde</v>
      </c>
      <c r="B15153" t="str">
        <f>T("   ZZZ_Monde")</f>
        <v xml:space="preserve">   ZZZ_Monde</v>
      </c>
      <c r="C15153">
        <v>1638427</v>
      </c>
      <c r="D15153">
        <v>768</v>
      </c>
    </row>
    <row r="15154" spans="1:4" x14ac:dyDescent="0.25">
      <c r="A15154" t="str">
        <f>T("   FR")</f>
        <v xml:space="preserve">   FR</v>
      </c>
      <c r="B15154" t="str">
        <f>T("   France")</f>
        <v xml:space="preserve">   France</v>
      </c>
      <c r="C15154">
        <v>1408871</v>
      </c>
      <c r="D15154">
        <v>25</v>
      </c>
    </row>
    <row r="15155" spans="1:4" x14ac:dyDescent="0.25">
      <c r="A15155" t="str">
        <f>T("   SA")</f>
        <v xml:space="preserve">   SA</v>
      </c>
      <c r="B15155" t="str">
        <f>T("   Arabie Saoudite")</f>
        <v xml:space="preserve">   Arabie Saoudite</v>
      </c>
      <c r="C15155">
        <v>229556</v>
      </c>
      <c r="D15155">
        <v>743</v>
      </c>
    </row>
    <row r="15156" spans="1:4" x14ac:dyDescent="0.25">
      <c r="A15156" t="str">
        <f>T("920999")</f>
        <v>920999</v>
      </c>
      <c r="B15156" t="s">
        <v>45</v>
      </c>
    </row>
    <row r="15157" spans="1:4" x14ac:dyDescent="0.25">
      <c r="A15157" t="str">
        <f>T("   ZZZ_Monde")</f>
        <v xml:space="preserve">   ZZZ_Monde</v>
      </c>
      <c r="B15157" t="str">
        <f>T("   ZZZ_Monde")</f>
        <v xml:space="preserve">   ZZZ_Monde</v>
      </c>
      <c r="C15157">
        <v>198930</v>
      </c>
      <c r="D15157">
        <v>360</v>
      </c>
    </row>
    <row r="15158" spans="1:4" x14ac:dyDescent="0.25">
      <c r="A15158" t="str">
        <f>T("   CN")</f>
        <v xml:space="preserve">   CN</v>
      </c>
      <c r="B15158" t="str">
        <f>T("   Chine")</f>
        <v xml:space="preserve">   Chine</v>
      </c>
      <c r="C15158">
        <v>198930</v>
      </c>
      <c r="D15158">
        <v>360</v>
      </c>
    </row>
    <row r="15159" spans="1:4" x14ac:dyDescent="0.25">
      <c r="A15159" t="str">
        <f>T("930120")</f>
        <v>930120</v>
      </c>
      <c r="B15159" t="str">
        <f>T("Tubes lance-missiles; lance-flammes; lance-grenades; lance-torpilles et lanceurs similaires")</f>
        <v>Tubes lance-missiles; lance-flammes; lance-grenades; lance-torpilles et lanceurs similaires</v>
      </c>
    </row>
    <row r="15160" spans="1:4" x14ac:dyDescent="0.25">
      <c r="A15160" t="str">
        <f>T("   ZZZ_Monde")</f>
        <v xml:space="preserve">   ZZZ_Monde</v>
      </c>
      <c r="B15160" t="str">
        <f>T("   ZZZ_Monde")</f>
        <v xml:space="preserve">   ZZZ_Monde</v>
      </c>
      <c r="C15160">
        <v>60394</v>
      </c>
      <c r="D15160">
        <v>2</v>
      </c>
    </row>
    <row r="15161" spans="1:4" x14ac:dyDescent="0.25">
      <c r="A15161" t="str">
        <f>T("   FR")</f>
        <v xml:space="preserve">   FR</v>
      </c>
      <c r="B15161" t="str">
        <f>T("   France")</f>
        <v xml:space="preserve">   France</v>
      </c>
      <c r="C15161">
        <v>60394</v>
      </c>
      <c r="D15161">
        <v>2</v>
      </c>
    </row>
    <row r="15162" spans="1:4" x14ac:dyDescent="0.25">
      <c r="A15162" t="str">
        <f>T("930190")</f>
        <v>930190</v>
      </c>
      <c r="B15162" t="str">
        <f>T("Armes de guerre, y.c. les pistolets-mitrailleurs (à l'excl. des pièces d'artillerie, des tubes lance-missiles, des lance-flammes, des lance-grenades, des lance-torpilles et lanceurs similaires, des  revolvers et pistolets du n° 9302 et d'armes blanches du")</f>
        <v>Armes de guerre, y.c. les pistolets-mitrailleurs (à l'excl. des pièces d'artillerie, des tubes lance-missiles, des lance-flammes, des lance-grenades, des lance-torpilles et lanceurs similaires, des  revolvers et pistolets du n° 9302 et d'armes blanches du</v>
      </c>
    </row>
    <row r="15163" spans="1:4" x14ac:dyDescent="0.25">
      <c r="A15163" t="str">
        <f>T("   ZZZ_Monde")</f>
        <v xml:space="preserve">   ZZZ_Monde</v>
      </c>
      <c r="B15163" t="str">
        <f>T("   ZZZ_Monde")</f>
        <v xml:space="preserve">   ZZZ_Monde</v>
      </c>
      <c r="C15163">
        <v>753250</v>
      </c>
      <c r="D15163">
        <v>2</v>
      </c>
    </row>
    <row r="15164" spans="1:4" x14ac:dyDescent="0.25">
      <c r="A15164" t="str">
        <f>T("   BF")</f>
        <v xml:space="preserve">   BF</v>
      </c>
      <c r="B15164" t="str">
        <f>T("   Burkina Faso")</f>
        <v xml:space="preserve">   Burkina Faso</v>
      </c>
      <c r="C15164">
        <v>753250</v>
      </c>
      <c r="D15164">
        <v>2</v>
      </c>
    </row>
    <row r="15165" spans="1:4" x14ac:dyDescent="0.25">
      <c r="A15165" t="str">
        <f>T("930200")</f>
        <v>930200</v>
      </c>
      <c r="B15165" t="str">
        <f>T("Revolvers et pistolets (autres que ceux du n° 9303 ou 9304 et pistolets-mitrailleurs de guerre)")</f>
        <v>Revolvers et pistolets (autres que ceux du n° 9303 ou 9304 et pistolets-mitrailleurs de guerre)</v>
      </c>
    </row>
    <row r="15166" spans="1:4" x14ac:dyDescent="0.25">
      <c r="A15166" t="str">
        <f>T("   ZZZ_Monde")</f>
        <v xml:space="preserve">   ZZZ_Monde</v>
      </c>
      <c r="B15166" t="str">
        <f>T("   ZZZ_Monde")</f>
        <v xml:space="preserve">   ZZZ_Monde</v>
      </c>
      <c r="C15166">
        <v>812250</v>
      </c>
      <c r="D15166">
        <v>4</v>
      </c>
    </row>
    <row r="15167" spans="1:4" x14ac:dyDescent="0.25">
      <c r="A15167" t="str">
        <f>T("   BF")</f>
        <v xml:space="preserve">   BF</v>
      </c>
      <c r="B15167" t="str">
        <f>T("   Burkina Faso")</f>
        <v xml:space="preserve">   Burkina Faso</v>
      </c>
      <c r="C15167">
        <v>812250</v>
      </c>
      <c r="D15167">
        <v>4</v>
      </c>
    </row>
    <row r="15168" spans="1:4" x14ac:dyDescent="0.25">
      <c r="A15168" t="str">
        <f>T("930599")</f>
        <v>930599</v>
      </c>
      <c r="B15168" t="str">
        <f>T("Parties et accessoires pour armes et engins simil. du n° 9303 ou 9304, n.d.a. (à l'excl. des fusils ou carabines du n° 9303)")</f>
        <v>Parties et accessoires pour armes et engins simil. du n° 9303 ou 9304, n.d.a. (à l'excl. des fusils ou carabines du n° 9303)</v>
      </c>
    </row>
    <row r="15169" spans="1:4" x14ac:dyDescent="0.25">
      <c r="A15169" t="str">
        <f>T("   ZZZ_Monde")</f>
        <v xml:space="preserve">   ZZZ_Monde</v>
      </c>
      <c r="B15169" t="str">
        <f>T("   ZZZ_Monde")</f>
        <v xml:space="preserve">   ZZZ_Monde</v>
      </c>
      <c r="C15169">
        <v>301064</v>
      </c>
      <c r="D15169">
        <v>145</v>
      </c>
    </row>
    <row r="15170" spans="1:4" x14ac:dyDescent="0.25">
      <c r="A15170" t="str">
        <f>T("   CN")</f>
        <v xml:space="preserve">   CN</v>
      </c>
      <c r="B15170" t="str">
        <f>T("   Chine")</f>
        <v xml:space="preserve">   Chine</v>
      </c>
      <c r="C15170">
        <v>301064</v>
      </c>
      <c r="D15170">
        <v>145</v>
      </c>
    </row>
    <row r="15171" spans="1:4" x14ac:dyDescent="0.25">
      <c r="A15171" t="str">
        <f>T("940110")</f>
        <v>940110</v>
      </c>
      <c r="B15171" t="str">
        <f>T("Sièges pour véhicules aériens")</f>
        <v>Sièges pour véhicules aériens</v>
      </c>
    </row>
    <row r="15172" spans="1:4" x14ac:dyDescent="0.25">
      <c r="A15172" t="str">
        <f>T("   ZZZ_Monde")</f>
        <v xml:space="preserve">   ZZZ_Monde</v>
      </c>
      <c r="B15172" t="str">
        <f>T("   ZZZ_Monde")</f>
        <v xml:space="preserve">   ZZZ_Monde</v>
      </c>
      <c r="C15172">
        <v>200000</v>
      </c>
      <c r="D15172">
        <v>30</v>
      </c>
    </row>
    <row r="15173" spans="1:4" x14ac:dyDescent="0.25">
      <c r="A15173" t="str">
        <f>T("   CN")</f>
        <v xml:space="preserve">   CN</v>
      </c>
      <c r="B15173" t="str">
        <f>T("   Chine")</f>
        <v xml:space="preserve">   Chine</v>
      </c>
      <c r="C15173">
        <v>200000</v>
      </c>
      <c r="D15173">
        <v>30</v>
      </c>
    </row>
    <row r="15174" spans="1:4" x14ac:dyDescent="0.25">
      <c r="A15174" t="str">
        <f>T("940120")</f>
        <v>940120</v>
      </c>
      <c r="B15174" t="str">
        <f>T("Sièges pour véhicules automobiles")</f>
        <v>Sièges pour véhicules automobiles</v>
      </c>
    </row>
    <row r="15175" spans="1:4" x14ac:dyDescent="0.25">
      <c r="A15175" t="str">
        <f>T("   ZZZ_Monde")</f>
        <v xml:space="preserve">   ZZZ_Monde</v>
      </c>
      <c r="B15175" t="str">
        <f>T("   ZZZ_Monde")</f>
        <v xml:space="preserve">   ZZZ_Monde</v>
      </c>
      <c r="C15175">
        <v>14292022</v>
      </c>
      <c r="D15175">
        <v>1413</v>
      </c>
    </row>
    <row r="15176" spans="1:4" x14ac:dyDescent="0.25">
      <c r="A15176" t="str">
        <f>T("   AE")</f>
        <v xml:space="preserve">   AE</v>
      </c>
      <c r="B15176" t="str">
        <f>T("   Emirats Arabes Unis")</f>
        <v xml:space="preserve">   Emirats Arabes Unis</v>
      </c>
      <c r="C15176">
        <v>52268</v>
      </c>
      <c r="D15176">
        <v>5</v>
      </c>
    </row>
    <row r="15177" spans="1:4" x14ac:dyDescent="0.25">
      <c r="A15177" t="str">
        <f>T("   FR")</f>
        <v xml:space="preserve">   FR</v>
      </c>
      <c r="B15177" t="str">
        <f>T("   France")</f>
        <v xml:space="preserve">   France</v>
      </c>
      <c r="C15177">
        <v>2103382</v>
      </c>
      <c r="D15177">
        <v>87</v>
      </c>
    </row>
    <row r="15178" spans="1:4" x14ac:dyDescent="0.25">
      <c r="A15178" t="str">
        <f>T("   IT")</f>
        <v xml:space="preserve">   IT</v>
      </c>
      <c r="B15178" t="str">
        <f>T("   Italie")</f>
        <v xml:space="preserve">   Italie</v>
      </c>
      <c r="C15178">
        <v>6329974</v>
      </c>
      <c r="D15178">
        <v>1048</v>
      </c>
    </row>
    <row r="15179" spans="1:4" x14ac:dyDescent="0.25">
      <c r="A15179" t="str">
        <f>T("   NL")</f>
        <v xml:space="preserve">   NL</v>
      </c>
      <c r="B15179" t="str">
        <f>T("   Pays-bas")</f>
        <v xml:space="preserve">   Pays-bas</v>
      </c>
      <c r="C15179">
        <v>1050671</v>
      </c>
      <c r="D15179">
        <v>55</v>
      </c>
    </row>
    <row r="15180" spans="1:4" x14ac:dyDescent="0.25">
      <c r="A15180" t="str">
        <f>T("   SE")</f>
        <v xml:space="preserve">   SE</v>
      </c>
      <c r="B15180" t="str">
        <f>T("   Suède")</f>
        <v xml:space="preserve">   Suède</v>
      </c>
      <c r="C15180">
        <v>4641757</v>
      </c>
      <c r="D15180">
        <v>198</v>
      </c>
    </row>
    <row r="15181" spans="1:4" x14ac:dyDescent="0.25">
      <c r="A15181" t="str">
        <f>T("   US")</f>
        <v xml:space="preserve">   US</v>
      </c>
      <c r="B15181" t="str">
        <f>T("   Etats-Unis")</f>
        <v xml:space="preserve">   Etats-Unis</v>
      </c>
      <c r="C15181">
        <v>113970</v>
      </c>
      <c r="D15181">
        <v>20</v>
      </c>
    </row>
    <row r="15182" spans="1:4" x14ac:dyDescent="0.25">
      <c r="A15182" t="str">
        <f>T("940130")</f>
        <v>940130</v>
      </c>
      <c r="B15182" t="str">
        <f>T("Sièges pivotants, ajustables en hauteur (à l'excl. de ceux pour la médecine, la chirurgie, l'art dentaire ou vétérinaire, ainsi que des fauteuils pour salons de coiffure)")</f>
        <v>Sièges pivotants, ajustables en hauteur (à l'excl. de ceux pour la médecine, la chirurgie, l'art dentaire ou vétérinaire, ainsi que des fauteuils pour salons de coiffure)</v>
      </c>
    </row>
    <row r="15183" spans="1:4" x14ac:dyDescent="0.25">
      <c r="A15183" t="str">
        <f>T("   ZZZ_Monde")</f>
        <v xml:space="preserve">   ZZZ_Monde</v>
      </c>
      <c r="B15183" t="str">
        <f>T("   ZZZ_Monde")</f>
        <v xml:space="preserve">   ZZZ_Monde</v>
      </c>
      <c r="C15183">
        <v>91587600</v>
      </c>
      <c r="D15183">
        <v>51991.68</v>
      </c>
    </row>
    <row r="15184" spans="1:4" x14ac:dyDescent="0.25">
      <c r="A15184" t="str">
        <f>T("   CN")</f>
        <v xml:space="preserve">   CN</v>
      </c>
      <c r="B15184" t="str">
        <f>T("   Chine")</f>
        <v xml:space="preserve">   Chine</v>
      </c>
      <c r="C15184">
        <v>27236857</v>
      </c>
      <c r="D15184">
        <v>24242</v>
      </c>
    </row>
    <row r="15185" spans="1:4" x14ac:dyDescent="0.25">
      <c r="A15185" t="str">
        <f>T("   FR")</f>
        <v xml:space="preserve">   FR</v>
      </c>
      <c r="B15185" t="str">
        <f>T("   France")</f>
        <v xml:space="preserve">   France</v>
      </c>
      <c r="C15185">
        <v>23076374</v>
      </c>
      <c r="D15185">
        <v>8977.68</v>
      </c>
    </row>
    <row r="15186" spans="1:4" x14ac:dyDescent="0.25">
      <c r="A15186" t="str">
        <f>T("   IT")</f>
        <v xml:space="preserve">   IT</v>
      </c>
      <c r="B15186" t="str">
        <f>T("   Italie")</f>
        <v xml:space="preserve">   Italie</v>
      </c>
      <c r="C15186">
        <v>33513214</v>
      </c>
      <c r="D15186">
        <v>16992</v>
      </c>
    </row>
    <row r="15187" spans="1:4" x14ac:dyDescent="0.25">
      <c r="A15187" t="str">
        <f>T("   NG")</f>
        <v xml:space="preserve">   NG</v>
      </c>
      <c r="B15187" t="str">
        <f>T("   Nigéria")</f>
        <v xml:space="preserve">   Nigéria</v>
      </c>
      <c r="C15187">
        <v>7761155</v>
      </c>
      <c r="D15187">
        <v>1780</v>
      </c>
    </row>
    <row r="15188" spans="1:4" x14ac:dyDescent="0.25">
      <c r="A15188" t="str">
        <f>T("940150")</f>
        <v>940150</v>
      </c>
      <c r="B15188" t="str">
        <f>T("Sièges en rotin, en osier, en bambou ou en matières simil.")</f>
        <v>Sièges en rotin, en osier, en bambou ou en matières simil.</v>
      </c>
    </row>
    <row r="15189" spans="1:4" x14ac:dyDescent="0.25">
      <c r="A15189" t="str">
        <f>T("   ZZZ_Monde")</f>
        <v xml:space="preserve">   ZZZ_Monde</v>
      </c>
      <c r="B15189" t="str">
        <f>T("   ZZZ_Monde")</f>
        <v xml:space="preserve">   ZZZ_Monde</v>
      </c>
      <c r="C15189">
        <v>3850859</v>
      </c>
      <c r="D15189">
        <v>2992</v>
      </c>
    </row>
    <row r="15190" spans="1:4" x14ac:dyDescent="0.25">
      <c r="A15190" t="str">
        <f>T("   CN")</f>
        <v xml:space="preserve">   CN</v>
      </c>
      <c r="B15190" t="str">
        <f>T("   Chine")</f>
        <v xml:space="preserve">   Chine</v>
      </c>
      <c r="C15190">
        <v>1606446</v>
      </c>
      <c r="D15190">
        <v>1492</v>
      </c>
    </row>
    <row r="15191" spans="1:4" x14ac:dyDescent="0.25">
      <c r="A15191" t="str">
        <f>T("   TH")</f>
        <v xml:space="preserve">   TH</v>
      </c>
      <c r="B15191" t="str">
        <f>T("   Thaïlande")</f>
        <v xml:space="preserve">   Thaïlande</v>
      </c>
      <c r="C15191">
        <v>2244413</v>
      </c>
      <c r="D15191">
        <v>1500</v>
      </c>
    </row>
    <row r="15192" spans="1:4" x14ac:dyDescent="0.25">
      <c r="A15192" t="str">
        <f>T("940161")</f>
        <v>940161</v>
      </c>
      <c r="B15192" t="str">
        <f>T("Sièges, avec bâti en bois, rembourrés (non transformables en lits)")</f>
        <v>Sièges, avec bâti en bois, rembourrés (non transformables en lits)</v>
      </c>
    </row>
    <row r="15193" spans="1:4" x14ac:dyDescent="0.25">
      <c r="A15193" t="str">
        <f>T("   ZZZ_Monde")</f>
        <v xml:space="preserve">   ZZZ_Monde</v>
      </c>
      <c r="B15193" t="str">
        <f>T("   ZZZ_Monde")</f>
        <v xml:space="preserve">   ZZZ_Monde</v>
      </c>
      <c r="C15193">
        <v>534537556</v>
      </c>
      <c r="D15193">
        <v>248846.3</v>
      </c>
    </row>
    <row r="15194" spans="1:4" x14ac:dyDescent="0.25">
      <c r="A15194" t="str">
        <f>T("   AE")</f>
        <v xml:space="preserve">   AE</v>
      </c>
      <c r="B15194" t="str">
        <f>T("   Emirats Arabes Unis")</f>
        <v xml:space="preserve">   Emirats Arabes Unis</v>
      </c>
      <c r="C15194">
        <v>5623853</v>
      </c>
      <c r="D15194">
        <v>14000</v>
      </c>
    </row>
    <row r="15195" spans="1:4" x14ac:dyDescent="0.25">
      <c r="A15195" t="str">
        <f>T("   CN")</f>
        <v xml:space="preserve">   CN</v>
      </c>
      <c r="B15195" t="str">
        <f>T("   Chine")</f>
        <v xml:space="preserve">   Chine</v>
      </c>
      <c r="C15195">
        <v>128800474</v>
      </c>
      <c r="D15195">
        <v>90900.3</v>
      </c>
    </row>
    <row r="15196" spans="1:4" x14ac:dyDescent="0.25">
      <c r="A15196" t="str">
        <f>T("   IT")</f>
        <v xml:space="preserve">   IT</v>
      </c>
      <c r="B15196" t="str">
        <f>T("   Italie")</f>
        <v xml:space="preserve">   Italie</v>
      </c>
      <c r="C15196">
        <v>7877424</v>
      </c>
      <c r="D15196">
        <v>1594</v>
      </c>
    </row>
    <row r="15197" spans="1:4" x14ac:dyDescent="0.25">
      <c r="A15197" t="str">
        <f>T("   MY")</f>
        <v xml:space="preserve">   MY</v>
      </c>
      <c r="B15197" t="str">
        <f>T("   Malaisie")</f>
        <v xml:space="preserve">   Malaisie</v>
      </c>
      <c r="C15197">
        <v>3566843</v>
      </c>
      <c r="D15197">
        <v>1128</v>
      </c>
    </row>
    <row r="15198" spans="1:4" x14ac:dyDescent="0.25">
      <c r="A15198" t="str">
        <f>T("   NG")</f>
        <v xml:space="preserve">   NG</v>
      </c>
      <c r="B15198" t="str">
        <f>T("   Nigéria")</f>
        <v xml:space="preserve">   Nigéria</v>
      </c>
      <c r="C15198">
        <v>388668962</v>
      </c>
      <c r="D15198">
        <v>141224</v>
      </c>
    </row>
    <row r="15199" spans="1:4" x14ac:dyDescent="0.25">
      <c r="A15199" t="str">
        <f>T("940169")</f>
        <v>940169</v>
      </c>
      <c r="B15199" t="str">
        <f>T("Sièges, avec bâti en bois, non rembourrés")</f>
        <v>Sièges, avec bâti en bois, non rembourrés</v>
      </c>
    </row>
    <row r="15200" spans="1:4" x14ac:dyDescent="0.25">
      <c r="A15200" t="str">
        <f>T("   ZZZ_Monde")</f>
        <v xml:space="preserve">   ZZZ_Monde</v>
      </c>
      <c r="B15200" t="str">
        <f>T("   ZZZ_Monde")</f>
        <v xml:space="preserve">   ZZZ_Monde</v>
      </c>
      <c r="C15200">
        <v>55915550</v>
      </c>
      <c r="D15200">
        <v>36721</v>
      </c>
    </row>
    <row r="15201" spans="1:4" x14ac:dyDescent="0.25">
      <c r="A15201" t="str">
        <f>T("   BE")</f>
        <v xml:space="preserve">   BE</v>
      </c>
      <c r="B15201" t="str">
        <f>T("   Belgique")</f>
        <v xml:space="preserve">   Belgique</v>
      </c>
      <c r="C15201">
        <v>666405</v>
      </c>
      <c r="D15201">
        <v>423</v>
      </c>
    </row>
    <row r="15202" spans="1:4" x14ac:dyDescent="0.25">
      <c r="A15202" t="str">
        <f>T("   CN")</f>
        <v xml:space="preserve">   CN</v>
      </c>
      <c r="B15202" t="str">
        <f>T("   Chine")</f>
        <v xml:space="preserve">   Chine</v>
      </c>
      <c r="C15202">
        <v>10898018</v>
      </c>
      <c r="D15202">
        <v>12816</v>
      </c>
    </row>
    <row r="15203" spans="1:4" x14ac:dyDescent="0.25">
      <c r="A15203" t="str">
        <f>T("   DE")</f>
        <v xml:space="preserve">   DE</v>
      </c>
      <c r="B15203" t="str">
        <f>T("   Allemagne")</f>
        <v xml:space="preserve">   Allemagne</v>
      </c>
      <c r="C15203">
        <v>3287242</v>
      </c>
      <c r="D15203">
        <v>2400</v>
      </c>
    </row>
    <row r="15204" spans="1:4" x14ac:dyDescent="0.25">
      <c r="A15204" t="str">
        <f>T("   ES")</f>
        <v xml:space="preserve">   ES</v>
      </c>
      <c r="B15204" t="str">
        <f>T("   Espagne")</f>
        <v xml:space="preserve">   Espagne</v>
      </c>
      <c r="C15204">
        <v>87899</v>
      </c>
      <c r="D15204">
        <v>500</v>
      </c>
    </row>
    <row r="15205" spans="1:4" x14ac:dyDescent="0.25">
      <c r="A15205" t="str">
        <f>T("   FR")</f>
        <v xml:space="preserve">   FR</v>
      </c>
      <c r="B15205" t="str">
        <f>T("   France")</f>
        <v xml:space="preserve">   France</v>
      </c>
      <c r="C15205">
        <v>3319977</v>
      </c>
      <c r="D15205">
        <v>5210</v>
      </c>
    </row>
    <row r="15206" spans="1:4" x14ac:dyDescent="0.25">
      <c r="A15206" t="str">
        <f>T("   HK")</f>
        <v xml:space="preserve">   HK</v>
      </c>
      <c r="B15206" t="str">
        <f>T("   Hong-Kong")</f>
        <v xml:space="preserve">   Hong-Kong</v>
      </c>
      <c r="C15206">
        <v>7779698</v>
      </c>
      <c r="D15206">
        <v>2723</v>
      </c>
    </row>
    <row r="15207" spans="1:4" x14ac:dyDescent="0.25">
      <c r="A15207" t="str">
        <f>T("   IT")</f>
        <v xml:space="preserve">   IT</v>
      </c>
      <c r="B15207" t="str">
        <f>T("   Italie")</f>
        <v xml:space="preserve">   Italie</v>
      </c>
      <c r="C15207">
        <v>15814803</v>
      </c>
      <c r="D15207">
        <v>8343</v>
      </c>
    </row>
    <row r="15208" spans="1:4" x14ac:dyDescent="0.25">
      <c r="A15208" t="str">
        <f>T("   MY")</f>
        <v xml:space="preserve">   MY</v>
      </c>
      <c r="B15208" t="str">
        <f>T("   Malaisie")</f>
        <v xml:space="preserve">   Malaisie</v>
      </c>
      <c r="C15208">
        <v>13657744</v>
      </c>
      <c r="D15208">
        <v>2956</v>
      </c>
    </row>
    <row r="15209" spans="1:4" x14ac:dyDescent="0.25">
      <c r="A15209" t="str">
        <f>T("   NG")</f>
        <v xml:space="preserve">   NG</v>
      </c>
      <c r="B15209" t="str">
        <f>T("   Nigéria")</f>
        <v xml:space="preserve">   Nigéria</v>
      </c>
      <c r="C15209">
        <v>187666</v>
      </c>
      <c r="D15209">
        <v>1050</v>
      </c>
    </row>
    <row r="15210" spans="1:4" x14ac:dyDescent="0.25">
      <c r="A15210" t="str">
        <f>T("   TG")</f>
        <v xml:space="preserve">   TG</v>
      </c>
      <c r="B15210" t="str">
        <f>T("   Togo")</f>
        <v xml:space="preserve">   Togo</v>
      </c>
      <c r="C15210">
        <v>216098</v>
      </c>
      <c r="D15210">
        <v>300</v>
      </c>
    </row>
    <row r="15211" spans="1:4" x14ac:dyDescent="0.25">
      <c r="A15211" t="str">
        <f>T("940171")</f>
        <v>940171</v>
      </c>
      <c r="B15211" t="str">
        <f>T("Sièges, avec bâti en métal, rembourrés (autres que pour véhicules aériens ou automobiles, autres que fauteuils pivotants ajustables en hauteur et autres que pour la médecine, l'art dentaire ou la chirurgie)")</f>
        <v>Sièges, avec bâti en métal, rembourrés (autres que pour véhicules aériens ou automobiles, autres que fauteuils pivotants ajustables en hauteur et autres que pour la médecine, l'art dentaire ou la chirurgie)</v>
      </c>
    </row>
    <row r="15212" spans="1:4" x14ac:dyDescent="0.25">
      <c r="A15212" t="str">
        <f>T("   ZZZ_Monde")</f>
        <v xml:space="preserve">   ZZZ_Monde</v>
      </c>
      <c r="B15212" t="str">
        <f>T("   ZZZ_Monde")</f>
        <v xml:space="preserve">   ZZZ_Monde</v>
      </c>
      <c r="C15212">
        <v>51034750</v>
      </c>
      <c r="D15212">
        <v>46557</v>
      </c>
    </row>
    <row r="15213" spans="1:4" x14ac:dyDescent="0.25">
      <c r="A15213" t="str">
        <f>T("   CM")</f>
        <v xml:space="preserve">   CM</v>
      </c>
      <c r="B15213" t="str">
        <f>T("   Cameroun")</f>
        <v xml:space="preserve">   Cameroun</v>
      </c>
      <c r="C15213">
        <v>1724230</v>
      </c>
      <c r="D15213">
        <v>1600</v>
      </c>
    </row>
    <row r="15214" spans="1:4" x14ac:dyDescent="0.25">
      <c r="A15214" t="str">
        <f>T("   CN")</f>
        <v xml:space="preserve">   CN</v>
      </c>
      <c r="B15214" t="str">
        <f>T("   Chine")</f>
        <v xml:space="preserve">   Chine</v>
      </c>
      <c r="C15214">
        <v>13305167</v>
      </c>
      <c r="D15214">
        <v>14335</v>
      </c>
    </row>
    <row r="15215" spans="1:4" x14ac:dyDescent="0.25">
      <c r="A15215" t="str">
        <f>T("   ES")</f>
        <v xml:space="preserve">   ES</v>
      </c>
      <c r="B15215" t="str">
        <f>T("   Espagne")</f>
        <v xml:space="preserve">   Espagne</v>
      </c>
      <c r="C15215">
        <v>17452472</v>
      </c>
      <c r="D15215">
        <v>2000</v>
      </c>
    </row>
    <row r="15216" spans="1:4" x14ac:dyDescent="0.25">
      <c r="A15216" t="str">
        <f>T("   IT")</f>
        <v xml:space="preserve">   IT</v>
      </c>
      <c r="B15216" t="str">
        <f>T("   Italie")</f>
        <v xml:space="preserve">   Italie</v>
      </c>
      <c r="C15216">
        <v>8552407</v>
      </c>
      <c r="D15216">
        <v>5744</v>
      </c>
    </row>
    <row r="15217" spans="1:4" x14ac:dyDescent="0.25">
      <c r="A15217" t="str">
        <f>T("   MY")</f>
        <v xml:space="preserve">   MY</v>
      </c>
      <c r="B15217" t="str">
        <f>T("   Malaisie")</f>
        <v xml:space="preserve">   Malaisie</v>
      </c>
      <c r="C15217">
        <v>8359727</v>
      </c>
      <c r="D15217">
        <v>2858</v>
      </c>
    </row>
    <row r="15218" spans="1:4" x14ac:dyDescent="0.25">
      <c r="A15218" t="str">
        <f>T("   TG")</f>
        <v xml:space="preserve">   TG</v>
      </c>
      <c r="B15218" t="str">
        <f>T("   Togo")</f>
        <v xml:space="preserve">   Togo</v>
      </c>
      <c r="C15218">
        <v>1640747</v>
      </c>
      <c r="D15218">
        <v>20020</v>
      </c>
    </row>
    <row r="15219" spans="1:4" x14ac:dyDescent="0.25">
      <c r="A15219" t="str">
        <f>T("940179")</f>
        <v>940179</v>
      </c>
      <c r="B15219" t="str">
        <f>T("Sièges, avec bâti en métal non rembourrés (autres que fauteuils pivotants ajustables en hauteur et autres que pour la médecine, l'art dentaire ou la chirurgie)")</f>
        <v>Sièges, avec bâti en métal non rembourrés (autres que fauteuils pivotants ajustables en hauteur et autres que pour la médecine, l'art dentaire ou la chirurgie)</v>
      </c>
    </row>
    <row r="15220" spans="1:4" x14ac:dyDescent="0.25">
      <c r="A15220" t="str">
        <f>T("   ZZZ_Monde")</f>
        <v xml:space="preserve">   ZZZ_Monde</v>
      </c>
      <c r="B15220" t="str">
        <f>T("   ZZZ_Monde")</f>
        <v xml:space="preserve">   ZZZ_Monde</v>
      </c>
      <c r="C15220">
        <v>34186472</v>
      </c>
      <c r="D15220">
        <v>33266</v>
      </c>
    </row>
    <row r="15221" spans="1:4" x14ac:dyDescent="0.25">
      <c r="A15221" t="str">
        <f>T("   CN")</f>
        <v xml:space="preserve">   CN</v>
      </c>
      <c r="B15221" t="str">
        <f>T("   Chine")</f>
        <v xml:space="preserve">   Chine</v>
      </c>
      <c r="C15221">
        <v>21290738</v>
      </c>
      <c r="D15221">
        <v>28442</v>
      </c>
    </row>
    <row r="15222" spans="1:4" x14ac:dyDescent="0.25">
      <c r="A15222" t="str">
        <f>T("   ES")</f>
        <v xml:space="preserve">   ES</v>
      </c>
      <c r="B15222" t="str">
        <f>T("   Espagne")</f>
        <v xml:space="preserve">   Espagne</v>
      </c>
      <c r="C15222">
        <v>2122031</v>
      </c>
      <c r="D15222">
        <v>1791</v>
      </c>
    </row>
    <row r="15223" spans="1:4" x14ac:dyDescent="0.25">
      <c r="A15223" t="str">
        <f>T("   FR")</f>
        <v xml:space="preserve">   FR</v>
      </c>
      <c r="B15223" t="str">
        <f>T("   France")</f>
        <v xml:space="preserve">   France</v>
      </c>
      <c r="C15223">
        <v>5557949</v>
      </c>
      <c r="D15223">
        <v>1307</v>
      </c>
    </row>
    <row r="15224" spans="1:4" x14ac:dyDescent="0.25">
      <c r="A15224" t="str">
        <f>T("   IT")</f>
        <v xml:space="preserve">   IT</v>
      </c>
      <c r="B15224" t="str">
        <f>T("   Italie")</f>
        <v xml:space="preserve">   Italie</v>
      </c>
      <c r="C15224">
        <v>5215754</v>
      </c>
      <c r="D15224">
        <v>1726</v>
      </c>
    </row>
    <row r="15225" spans="1:4" x14ac:dyDescent="0.25">
      <c r="A15225" t="str">
        <f>T("940180")</f>
        <v>940180</v>
      </c>
      <c r="B15225" t="str">
        <f>T("Sièges, n.d.a.")</f>
        <v>Sièges, n.d.a.</v>
      </c>
    </row>
    <row r="15226" spans="1:4" x14ac:dyDescent="0.25">
      <c r="A15226" t="str">
        <f>T("   ZZZ_Monde")</f>
        <v xml:space="preserve">   ZZZ_Monde</v>
      </c>
      <c r="B15226" t="str">
        <f>T("   ZZZ_Monde")</f>
        <v xml:space="preserve">   ZZZ_Monde</v>
      </c>
      <c r="C15226">
        <v>290489442</v>
      </c>
      <c r="D15226">
        <v>314195</v>
      </c>
    </row>
    <row r="15227" spans="1:4" x14ac:dyDescent="0.25">
      <c r="A15227" t="str">
        <f>T("   AE")</f>
        <v xml:space="preserve">   AE</v>
      </c>
      <c r="B15227" t="str">
        <f>T("   Emirats Arabes Unis")</f>
        <v xml:space="preserve">   Emirats Arabes Unis</v>
      </c>
      <c r="C15227">
        <v>2949004</v>
      </c>
      <c r="D15227">
        <v>3735</v>
      </c>
    </row>
    <row r="15228" spans="1:4" x14ac:dyDescent="0.25">
      <c r="A15228" t="str">
        <f>T("   AM")</f>
        <v xml:space="preserve">   AM</v>
      </c>
      <c r="B15228" t="str">
        <f>T("   Arménie")</f>
        <v xml:space="preserve">   Arménie</v>
      </c>
      <c r="C15228">
        <v>281522</v>
      </c>
      <c r="D15228">
        <v>120</v>
      </c>
    </row>
    <row r="15229" spans="1:4" x14ac:dyDescent="0.25">
      <c r="A15229" t="str">
        <f>T("   BE")</f>
        <v xml:space="preserve">   BE</v>
      </c>
      <c r="B15229" t="str">
        <f>T("   Belgique")</f>
        <v xml:space="preserve">   Belgique</v>
      </c>
      <c r="C15229">
        <v>309738</v>
      </c>
      <c r="D15229">
        <v>400</v>
      </c>
    </row>
    <row r="15230" spans="1:4" x14ac:dyDescent="0.25">
      <c r="A15230" t="str">
        <f>T("   CI")</f>
        <v xml:space="preserve">   CI</v>
      </c>
      <c r="B15230" t="str">
        <f>T("   Côte d'Ivoire")</f>
        <v xml:space="preserve">   Côte d'Ivoire</v>
      </c>
      <c r="C15230">
        <v>217800</v>
      </c>
      <c r="D15230">
        <v>747</v>
      </c>
    </row>
    <row r="15231" spans="1:4" x14ac:dyDescent="0.25">
      <c r="A15231" t="str">
        <f>T("   CN")</f>
        <v xml:space="preserve">   CN</v>
      </c>
      <c r="B15231" t="str">
        <f>T("   Chine")</f>
        <v xml:space="preserve">   Chine</v>
      </c>
      <c r="C15231">
        <v>131246520</v>
      </c>
      <c r="D15231">
        <v>187654</v>
      </c>
    </row>
    <row r="15232" spans="1:4" x14ac:dyDescent="0.25">
      <c r="A15232" t="str">
        <f>T("   DE")</f>
        <v xml:space="preserve">   DE</v>
      </c>
      <c r="B15232" t="str">
        <f>T("   Allemagne")</f>
        <v xml:space="preserve">   Allemagne</v>
      </c>
      <c r="C15232">
        <v>7243766</v>
      </c>
      <c r="D15232">
        <v>6700</v>
      </c>
    </row>
    <row r="15233" spans="1:4" x14ac:dyDescent="0.25">
      <c r="A15233" t="str">
        <f>T("   ES")</f>
        <v xml:space="preserve">   ES</v>
      </c>
      <c r="B15233" t="str">
        <f>T("   Espagne")</f>
        <v xml:space="preserve">   Espagne</v>
      </c>
      <c r="C15233">
        <v>81339</v>
      </c>
      <c r="D15233">
        <v>160</v>
      </c>
    </row>
    <row r="15234" spans="1:4" x14ac:dyDescent="0.25">
      <c r="A15234" t="str">
        <f>T("   FR")</f>
        <v xml:space="preserve">   FR</v>
      </c>
      <c r="B15234" t="str">
        <f>T("   France")</f>
        <v xml:space="preserve">   France</v>
      </c>
      <c r="C15234">
        <v>57606834</v>
      </c>
      <c r="D15234">
        <v>19342</v>
      </c>
    </row>
    <row r="15235" spans="1:4" x14ac:dyDescent="0.25">
      <c r="A15235" t="str">
        <f>T("   GH")</f>
        <v xml:space="preserve">   GH</v>
      </c>
      <c r="B15235" t="str">
        <f>T("   Ghana")</f>
        <v xml:space="preserve">   Ghana</v>
      </c>
      <c r="C15235">
        <v>665126</v>
      </c>
      <c r="D15235">
        <v>3494</v>
      </c>
    </row>
    <row r="15236" spans="1:4" x14ac:dyDescent="0.25">
      <c r="A15236" t="str">
        <f>T("   IT")</f>
        <v xml:space="preserve">   IT</v>
      </c>
      <c r="B15236" t="str">
        <f>T("   Italie")</f>
        <v xml:space="preserve">   Italie</v>
      </c>
      <c r="C15236">
        <v>41958340</v>
      </c>
      <c r="D15236">
        <v>26531</v>
      </c>
    </row>
    <row r="15237" spans="1:4" x14ac:dyDescent="0.25">
      <c r="A15237" t="str">
        <f>T("   MY")</f>
        <v xml:space="preserve">   MY</v>
      </c>
      <c r="B15237" t="str">
        <f>T("   Malaisie")</f>
        <v xml:space="preserve">   Malaisie</v>
      </c>
      <c r="C15237">
        <v>30707958</v>
      </c>
      <c r="D15237">
        <v>13323</v>
      </c>
    </row>
    <row r="15238" spans="1:4" x14ac:dyDescent="0.25">
      <c r="A15238" t="str">
        <f>T("   NG")</f>
        <v xml:space="preserve">   NG</v>
      </c>
      <c r="B15238" t="str">
        <f>T("   Nigéria")</f>
        <v xml:space="preserve">   Nigéria</v>
      </c>
      <c r="C15238">
        <v>9097000</v>
      </c>
      <c r="D15238">
        <v>18445</v>
      </c>
    </row>
    <row r="15239" spans="1:4" x14ac:dyDescent="0.25">
      <c r="A15239" t="str">
        <f>T("   NL")</f>
        <v xml:space="preserve">   NL</v>
      </c>
      <c r="B15239" t="str">
        <f>T("   Pays-bas")</f>
        <v xml:space="preserve">   Pays-bas</v>
      </c>
      <c r="C15239">
        <v>479992</v>
      </c>
      <c r="D15239">
        <v>25</v>
      </c>
    </row>
    <row r="15240" spans="1:4" x14ac:dyDescent="0.25">
      <c r="A15240" t="str">
        <f>T("   PA")</f>
        <v xml:space="preserve">   PA</v>
      </c>
      <c r="B15240" t="str">
        <f>T("   Panama")</f>
        <v xml:space="preserve">   Panama</v>
      </c>
      <c r="C15240">
        <v>267957</v>
      </c>
      <c r="D15240">
        <v>1102</v>
      </c>
    </row>
    <row r="15241" spans="1:4" x14ac:dyDescent="0.25">
      <c r="A15241" t="str">
        <f>T("   TG")</f>
        <v xml:space="preserve">   TG</v>
      </c>
      <c r="B15241" t="str">
        <f>T("   Togo")</f>
        <v xml:space="preserve">   Togo</v>
      </c>
      <c r="C15241">
        <v>5513643</v>
      </c>
      <c r="D15241">
        <v>30869</v>
      </c>
    </row>
    <row r="15242" spans="1:4" x14ac:dyDescent="0.25">
      <c r="A15242" t="str">
        <f>T("   TH")</f>
        <v xml:space="preserve">   TH</v>
      </c>
      <c r="B15242" t="str">
        <f>T("   Thaïlande")</f>
        <v xml:space="preserve">   Thaïlande</v>
      </c>
      <c r="C15242">
        <v>561103</v>
      </c>
      <c r="D15242">
        <v>800</v>
      </c>
    </row>
    <row r="15243" spans="1:4" x14ac:dyDescent="0.25">
      <c r="A15243" t="str">
        <f>T("   US")</f>
        <v xml:space="preserve">   US</v>
      </c>
      <c r="B15243" t="str">
        <f>T("   Etats-Unis")</f>
        <v xml:space="preserve">   Etats-Unis</v>
      </c>
      <c r="C15243">
        <v>1301800</v>
      </c>
      <c r="D15243">
        <v>748</v>
      </c>
    </row>
    <row r="15244" spans="1:4" x14ac:dyDescent="0.25">
      <c r="A15244" t="str">
        <f>T("940190")</f>
        <v>940190</v>
      </c>
      <c r="B15244" t="str">
        <f>T("Parties de sièges, n.d.a.")</f>
        <v>Parties de sièges, n.d.a.</v>
      </c>
    </row>
    <row r="15245" spans="1:4" x14ac:dyDescent="0.25">
      <c r="A15245" t="str">
        <f>T("   ZZZ_Monde")</f>
        <v xml:space="preserve">   ZZZ_Monde</v>
      </c>
      <c r="B15245" t="str">
        <f>T("   ZZZ_Monde")</f>
        <v xml:space="preserve">   ZZZ_Monde</v>
      </c>
      <c r="C15245">
        <v>13363561</v>
      </c>
      <c r="D15245">
        <v>6466.32</v>
      </c>
    </row>
    <row r="15246" spans="1:4" x14ac:dyDescent="0.25">
      <c r="A15246" t="str">
        <f>T("   FR")</f>
        <v xml:space="preserve">   FR</v>
      </c>
      <c r="B15246" t="str">
        <f>T("   France")</f>
        <v xml:space="preserve">   France</v>
      </c>
      <c r="C15246">
        <v>1237744</v>
      </c>
      <c r="D15246">
        <v>109.32</v>
      </c>
    </row>
    <row r="15247" spans="1:4" x14ac:dyDescent="0.25">
      <c r="A15247" t="str">
        <f>T("   IT")</f>
        <v xml:space="preserve">   IT</v>
      </c>
      <c r="B15247" t="str">
        <f>T("   Italie")</f>
        <v xml:space="preserve">   Italie</v>
      </c>
      <c r="C15247">
        <v>11895073</v>
      </c>
      <c r="D15247">
        <v>5907</v>
      </c>
    </row>
    <row r="15248" spans="1:4" x14ac:dyDescent="0.25">
      <c r="A15248" t="str">
        <f>T("   US")</f>
        <v xml:space="preserve">   US</v>
      </c>
      <c r="B15248" t="str">
        <f>T("   Etats-Unis")</f>
        <v xml:space="preserve">   Etats-Unis</v>
      </c>
      <c r="C15248">
        <v>230744</v>
      </c>
      <c r="D15248">
        <v>450</v>
      </c>
    </row>
    <row r="15249" spans="1:4" x14ac:dyDescent="0.25">
      <c r="A15249" t="str">
        <f>T("940210")</f>
        <v>940210</v>
      </c>
      <c r="B15249" t="str">
        <f>T("Fauteuils de dentistes, fauteuils pour salons de coiffure et fauteuils simil., avec dispositif à la fois d'orientation et d'élévation, et leurs parties, n.d.a.")</f>
        <v>Fauteuils de dentistes, fauteuils pour salons de coiffure et fauteuils simil., avec dispositif à la fois d'orientation et d'élévation, et leurs parties, n.d.a.</v>
      </c>
    </row>
    <row r="15250" spans="1:4" x14ac:dyDescent="0.25">
      <c r="A15250" t="str">
        <f>T("   ZZZ_Monde")</f>
        <v xml:space="preserve">   ZZZ_Monde</v>
      </c>
      <c r="B15250" t="str">
        <f>T("   ZZZ_Monde")</f>
        <v xml:space="preserve">   ZZZ_Monde</v>
      </c>
      <c r="C15250">
        <v>25675948</v>
      </c>
      <c r="D15250">
        <v>32967</v>
      </c>
    </row>
    <row r="15251" spans="1:4" x14ac:dyDescent="0.25">
      <c r="A15251" t="str">
        <f>T("   CN")</f>
        <v xml:space="preserve">   CN</v>
      </c>
      <c r="B15251" t="str">
        <f>T("   Chine")</f>
        <v xml:space="preserve">   Chine</v>
      </c>
      <c r="C15251">
        <v>198523</v>
      </c>
      <c r="D15251">
        <v>104</v>
      </c>
    </row>
    <row r="15252" spans="1:4" x14ac:dyDescent="0.25">
      <c r="A15252" t="str">
        <f>T("   DE")</f>
        <v xml:space="preserve">   DE</v>
      </c>
      <c r="B15252" t="str">
        <f>T("   Allemagne")</f>
        <v xml:space="preserve">   Allemagne</v>
      </c>
      <c r="C15252">
        <v>1311920</v>
      </c>
      <c r="D15252">
        <v>1828</v>
      </c>
    </row>
    <row r="15253" spans="1:4" x14ac:dyDescent="0.25">
      <c r="A15253" t="str">
        <f>T("   ES")</f>
        <v xml:space="preserve">   ES</v>
      </c>
      <c r="B15253" t="str">
        <f>T("   Espagne")</f>
        <v xml:space="preserve">   Espagne</v>
      </c>
      <c r="C15253">
        <v>2886224</v>
      </c>
      <c r="D15253">
        <v>2880</v>
      </c>
    </row>
    <row r="15254" spans="1:4" x14ac:dyDescent="0.25">
      <c r="A15254" t="str">
        <f>T("   FR")</f>
        <v xml:space="preserve">   FR</v>
      </c>
      <c r="B15254" t="str">
        <f>T("   France")</f>
        <v xml:space="preserve">   France</v>
      </c>
      <c r="C15254">
        <v>2949196</v>
      </c>
      <c r="D15254">
        <v>8995</v>
      </c>
    </row>
    <row r="15255" spans="1:4" x14ac:dyDescent="0.25">
      <c r="A15255" t="str">
        <f>T("   IT")</f>
        <v xml:space="preserve">   IT</v>
      </c>
      <c r="B15255" t="str">
        <f>T("   Italie")</f>
        <v xml:space="preserve">   Italie</v>
      </c>
      <c r="C15255">
        <v>16216809</v>
      </c>
      <c r="D15255">
        <v>16595</v>
      </c>
    </row>
    <row r="15256" spans="1:4" x14ac:dyDescent="0.25">
      <c r="A15256" t="str">
        <f>T("   KR")</f>
        <v xml:space="preserve">   KR</v>
      </c>
      <c r="B15256" t="str">
        <f>T("   Corée, République de")</f>
        <v xml:space="preserve">   Corée, République de</v>
      </c>
      <c r="C15256">
        <v>1438711</v>
      </c>
      <c r="D15256">
        <v>500</v>
      </c>
    </row>
    <row r="15257" spans="1:4" x14ac:dyDescent="0.25">
      <c r="A15257" t="str">
        <f>T("   TG")</f>
        <v xml:space="preserve">   TG</v>
      </c>
      <c r="B15257" t="str">
        <f>T("   Togo")</f>
        <v xml:space="preserve">   Togo</v>
      </c>
      <c r="C15257">
        <v>674565</v>
      </c>
      <c r="D15257">
        <v>2065</v>
      </c>
    </row>
    <row r="15258" spans="1:4" x14ac:dyDescent="0.25">
      <c r="A15258" t="str">
        <f>T("940290")</f>
        <v>940290</v>
      </c>
      <c r="B15258" t="str">
        <f>T("Tables d'opération, tables d'examen et autre mobilier pour la médecine, la chirurgie, l'art dentaire ou vétérinaire (sauf fauteuils de dentistes et autres sièges, tables d'examen radiographique, civières et brancards, y.c. chariots-brancards)")</f>
        <v>Tables d'opération, tables d'examen et autre mobilier pour la médecine, la chirurgie, l'art dentaire ou vétérinaire (sauf fauteuils de dentistes et autres sièges, tables d'examen radiographique, civières et brancards, y.c. chariots-brancards)</v>
      </c>
    </row>
    <row r="15259" spans="1:4" x14ac:dyDescent="0.25">
      <c r="A15259" t="str">
        <f>T("   ZZZ_Monde")</f>
        <v xml:space="preserve">   ZZZ_Monde</v>
      </c>
      <c r="B15259" t="str">
        <f>T("   ZZZ_Monde")</f>
        <v xml:space="preserve">   ZZZ_Monde</v>
      </c>
      <c r="C15259">
        <v>56195589</v>
      </c>
      <c r="D15259">
        <v>53865</v>
      </c>
    </row>
    <row r="15260" spans="1:4" x14ac:dyDescent="0.25">
      <c r="A15260" t="str">
        <f>T("   CN")</f>
        <v xml:space="preserve">   CN</v>
      </c>
      <c r="B15260" t="str">
        <f>T("   Chine")</f>
        <v xml:space="preserve">   Chine</v>
      </c>
      <c r="C15260">
        <v>7122729</v>
      </c>
      <c r="D15260">
        <v>9804</v>
      </c>
    </row>
    <row r="15261" spans="1:4" x14ac:dyDescent="0.25">
      <c r="A15261" t="str">
        <f>T("   DE")</f>
        <v xml:space="preserve">   DE</v>
      </c>
      <c r="B15261" t="str">
        <f>T("   Allemagne")</f>
        <v xml:space="preserve">   Allemagne</v>
      </c>
      <c r="C15261">
        <v>2607078</v>
      </c>
      <c r="D15261">
        <v>6500</v>
      </c>
    </row>
    <row r="15262" spans="1:4" x14ac:dyDescent="0.25">
      <c r="A15262" t="str">
        <f>T("   ES")</f>
        <v xml:space="preserve">   ES</v>
      </c>
      <c r="B15262" t="str">
        <f>T("   Espagne")</f>
        <v xml:space="preserve">   Espagne</v>
      </c>
      <c r="C15262">
        <v>1340710</v>
      </c>
      <c r="D15262">
        <v>1623</v>
      </c>
    </row>
    <row r="15263" spans="1:4" x14ac:dyDescent="0.25">
      <c r="A15263" t="str">
        <f>T("   FR")</f>
        <v xml:space="preserve">   FR</v>
      </c>
      <c r="B15263" t="str">
        <f>T("   France")</f>
        <v xml:space="preserve">   France</v>
      </c>
      <c r="C15263">
        <v>6819840</v>
      </c>
      <c r="D15263">
        <v>27262</v>
      </c>
    </row>
    <row r="15264" spans="1:4" x14ac:dyDescent="0.25">
      <c r="A15264" t="str">
        <f>T("   IT")</f>
        <v xml:space="preserve">   IT</v>
      </c>
      <c r="B15264" t="str">
        <f>T("   Italie")</f>
        <v xml:space="preserve">   Italie</v>
      </c>
      <c r="C15264">
        <v>37551214</v>
      </c>
      <c r="D15264">
        <v>5854</v>
      </c>
    </row>
    <row r="15265" spans="1:4" x14ac:dyDescent="0.25">
      <c r="A15265" t="str">
        <f>T("   US")</f>
        <v xml:space="preserve">   US</v>
      </c>
      <c r="B15265" t="str">
        <f>T("   Etats-Unis")</f>
        <v xml:space="preserve">   Etats-Unis</v>
      </c>
      <c r="C15265">
        <v>754018</v>
      </c>
      <c r="D15265">
        <v>2822</v>
      </c>
    </row>
    <row r="15266" spans="1:4" x14ac:dyDescent="0.25">
      <c r="A15266" t="str">
        <f>T("940310")</f>
        <v>940310</v>
      </c>
      <c r="B15266" t="str">
        <f>T("Meubles de bureau en métal (sauf sièges)")</f>
        <v>Meubles de bureau en métal (sauf sièges)</v>
      </c>
    </row>
    <row r="15267" spans="1:4" x14ac:dyDescent="0.25">
      <c r="A15267" t="str">
        <f>T("   ZZZ_Monde")</f>
        <v xml:space="preserve">   ZZZ_Monde</v>
      </c>
      <c r="B15267" t="str">
        <f>T("   ZZZ_Monde")</f>
        <v xml:space="preserve">   ZZZ_Monde</v>
      </c>
      <c r="C15267">
        <v>158059730</v>
      </c>
      <c r="D15267">
        <v>152884</v>
      </c>
    </row>
    <row r="15268" spans="1:4" x14ac:dyDescent="0.25">
      <c r="A15268" t="str">
        <f>T("   AE")</f>
        <v xml:space="preserve">   AE</v>
      </c>
      <c r="B15268" t="str">
        <f>T("   Emirats Arabes Unis")</f>
        <v xml:space="preserve">   Emirats Arabes Unis</v>
      </c>
      <c r="C15268">
        <v>394314</v>
      </c>
      <c r="D15268">
        <v>536</v>
      </c>
    </row>
    <row r="15269" spans="1:4" x14ac:dyDescent="0.25">
      <c r="A15269" t="str">
        <f>T("   BW")</f>
        <v xml:space="preserve">   BW</v>
      </c>
      <c r="B15269" t="str">
        <f>T("   Botswana")</f>
        <v xml:space="preserve">   Botswana</v>
      </c>
      <c r="C15269">
        <v>25000</v>
      </c>
      <c r="D15269">
        <v>3</v>
      </c>
    </row>
    <row r="15270" spans="1:4" x14ac:dyDescent="0.25">
      <c r="A15270" t="str">
        <f>T("   CN")</f>
        <v xml:space="preserve">   CN</v>
      </c>
      <c r="B15270" t="str">
        <f>T("   Chine")</f>
        <v xml:space="preserve">   Chine</v>
      </c>
      <c r="C15270">
        <v>282817</v>
      </c>
      <c r="D15270">
        <v>2250</v>
      </c>
    </row>
    <row r="15271" spans="1:4" x14ac:dyDescent="0.25">
      <c r="A15271" t="str">
        <f>T("   ES")</f>
        <v xml:space="preserve">   ES</v>
      </c>
      <c r="B15271" t="str">
        <f>T("   Espagne")</f>
        <v xml:space="preserve">   Espagne</v>
      </c>
      <c r="C15271">
        <v>43093568</v>
      </c>
      <c r="D15271">
        <v>32402</v>
      </c>
    </row>
    <row r="15272" spans="1:4" x14ac:dyDescent="0.25">
      <c r="A15272" t="str">
        <f>T("   FR")</f>
        <v xml:space="preserve">   FR</v>
      </c>
      <c r="B15272" t="str">
        <f>T("   France")</f>
        <v xml:space="preserve">   France</v>
      </c>
      <c r="C15272">
        <v>56622275</v>
      </c>
      <c r="D15272">
        <v>31235</v>
      </c>
    </row>
    <row r="15273" spans="1:4" x14ac:dyDescent="0.25">
      <c r="A15273" t="str">
        <f>T("   MY")</f>
        <v xml:space="preserve">   MY</v>
      </c>
      <c r="B15273" t="str">
        <f>T("   Malaisie")</f>
        <v xml:space="preserve">   Malaisie</v>
      </c>
      <c r="C15273">
        <v>31521225</v>
      </c>
      <c r="D15273">
        <v>49774</v>
      </c>
    </row>
    <row r="15274" spans="1:4" x14ac:dyDescent="0.25">
      <c r="A15274" t="str">
        <f>T("   NG")</f>
        <v xml:space="preserve">   NG</v>
      </c>
      <c r="B15274" t="str">
        <f>T("   Nigéria")</f>
        <v xml:space="preserve">   Nigéria</v>
      </c>
      <c r="C15274">
        <v>550000</v>
      </c>
      <c r="D15274">
        <v>1000</v>
      </c>
    </row>
    <row r="15275" spans="1:4" x14ac:dyDescent="0.25">
      <c r="A15275" t="str">
        <f>T("   SG")</f>
        <v xml:space="preserve">   SG</v>
      </c>
      <c r="B15275" t="str">
        <f>T("   Singapour")</f>
        <v xml:space="preserve">   Singapour</v>
      </c>
      <c r="C15275">
        <v>14480344</v>
      </c>
      <c r="D15275">
        <v>20830</v>
      </c>
    </row>
    <row r="15276" spans="1:4" x14ac:dyDescent="0.25">
      <c r="A15276" t="str">
        <f>T("   TG")</f>
        <v xml:space="preserve">   TG</v>
      </c>
      <c r="B15276" t="str">
        <f>T("   Togo")</f>
        <v xml:space="preserve">   Togo</v>
      </c>
      <c r="C15276">
        <v>216098</v>
      </c>
      <c r="D15276">
        <v>308</v>
      </c>
    </row>
    <row r="15277" spans="1:4" x14ac:dyDescent="0.25">
      <c r="A15277" t="str">
        <f>T("   TR")</f>
        <v xml:space="preserve">   TR</v>
      </c>
      <c r="B15277" t="str">
        <f>T("   Turquie")</f>
        <v xml:space="preserve">   Turquie</v>
      </c>
      <c r="C15277">
        <v>9013252</v>
      </c>
      <c r="D15277">
        <v>10010</v>
      </c>
    </row>
    <row r="15278" spans="1:4" x14ac:dyDescent="0.25">
      <c r="A15278" t="str">
        <f>T("   US")</f>
        <v xml:space="preserve">   US</v>
      </c>
      <c r="B15278" t="str">
        <f>T("   Etats-Unis")</f>
        <v xml:space="preserve">   Etats-Unis</v>
      </c>
      <c r="C15278">
        <v>1860837</v>
      </c>
      <c r="D15278">
        <v>4536</v>
      </c>
    </row>
    <row r="15279" spans="1:4" x14ac:dyDescent="0.25">
      <c r="A15279" t="str">
        <f>T("940320")</f>
        <v>940320</v>
      </c>
      <c r="B15279" t="str">
        <f>T("Meubles en métal, sauf meubles de bureau, sièges et mobilier pour la médecine, la chirurgie, l'art dentaire ou vétérinaire")</f>
        <v>Meubles en métal, sauf meubles de bureau, sièges et mobilier pour la médecine, la chirurgie, l'art dentaire ou vétérinaire</v>
      </c>
    </row>
    <row r="15280" spans="1:4" x14ac:dyDescent="0.25">
      <c r="A15280" t="str">
        <f>T("   ZZZ_Monde")</f>
        <v xml:space="preserve">   ZZZ_Monde</v>
      </c>
      <c r="B15280" t="str">
        <f>T("   ZZZ_Monde")</f>
        <v xml:space="preserve">   ZZZ_Monde</v>
      </c>
      <c r="C15280">
        <v>137664668</v>
      </c>
      <c r="D15280">
        <v>158554</v>
      </c>
    </row>
    <row r="15281" spans="1:4" x14ac:dyDescent="0.25">
      <c r="A15281" t="str">
        <f>T("   AE")</f>
        <v xml:space="preserve">   AE</v>
      </c>
      <c r="B15281" t="str">
        <f>T("   Emirats Arabes Unis")</f>
        <v xml:space="preserve">   Emirats Arabes Unis</v>
      </c>
      <c r="C15281">
        <v>13457958</v>
      </c>
      <c r="D15281">
        <v>24800</v>
      </c>
    </row>
    <row r="15282" spans="1:4" x14ac:dyDescent="0.25">
      <c r="A15282" t="str">
        <f>T("   CH")</f>
        <v xml:space="preserve">   CH</v>
      </c>
      <c r="B15282" t="str">
        <f>T("   Suisse")</f>
        <v xml:space="preserve">   Suisse</v>
      </c>
      <c r="C15282">
        <v>1168556</v>
      </c>
      <c r="D15282">
        <v>9039</v>
      </c>
    </row>
    <row r="15283" spans="1:4" x14ac:dyDescent="0.25">
      <c r="A15283" t="str">
        <f>T("   CN")</f>
        <v xml:space="preserve">   CN</v>
      </c>
      <c r="B15283" t="str">
        <f>T("   Chine")</f>
        <v xml:space="preserve">   Chine</v>
      </c>
      <c r="C15283">
        <v>51072996</v>
      </c>
      <c r="D15283">
        <v>78884</v>
      </c>
    </row>
    <row r="15284" spans="1:4" x14ac:dyDescent="0.25">
      <c r="A15284" t="str">
        <f>T("   ES")</f>
        <v xml:space="preserve">   ES</v>
      </c>
      <c r="B15284" t="str">
        <f>T("   Espagne")</f>
        <v xml:space="preserve">   Espagne</v>
      </c>
      <c r="C15284">
        <v>6560</v>
      </c>
      <c r="D15284">
        <v>25</v>
      </c>
    </row>
    <row r="15285" spans="1:4" x14ac:dyDescent="0.25">
      <c r="A15285" t="str">
        <f>T("   FR")</f>
        <v xml:space="preserve">   FR</v>
      </c>
      <c r="B15285" t="str">
        <f>T("   France")</f>
        <v xml:space="preserve">   France</v>
      </c>
      <c r="C15285">
        <v>43577092</v>
      </c>
      <c r="D15285">
        <v>8462</v>
      </c>
    </row>
    <row r="15286" spans="1:4" x14ac:dyDescent="0.25">
      <c r="A15286" t="str">
        <f>T("   HK")</f>
        <v xml:space="preserve">   HK</v>
      </c>
      <c r="B15286" t="str">
        <f>T("   Hong-Kong")</f>
        <v xml:space="preserve">   Hong-Kong</v>
      </c>
      <c r="C15286">
        <v>5402627</v>
      </c>
      <c r="D15286">
        <v>8505</v>
      </c>
    </row>
    <row r="15287" spans="1:4" x14ac:dyDescent="0.25">
      <c r="A15287" t="str">
        <f>T("   IN")</f>
        <v xml:space="preserve">   IN</v>
      </c>
      <c r="B15287" t="str">
        <f>T("   Inde")</f>
        <v xml:space="preserve">   Inde</v>
      </c>
      <c r="C15287">
        <v>1500000</v>
      </c>
      <c r="D15287">
        <v>2000</v>
      </c>
    </row>
    <row r="15288" spans="1:4" x14ac:dyDescent="0.25">
      <c r="A15288" t="str">
        <f>T("   IT")</f>
        <v xml:space="preserve">   IT</v>
      </c>
      <c r="B15288" t="str">
        <f>T("   Italie")</f>
        <v xml:space="preserve">   Italie</v>
      </c>
      <c r="C15288">
        <v>263050</v>
      </c>
      <c r="D15288">
        <v>915</v>
      </c>
    </row>
    <row r="15289" spans="1:4" x14ac:dyDescent="0.25">
      <c r="A15289" t="str">
        <f>T("   NG")</f>
        <v xml:space="preserve">   NG</v>
      </c>
      <c r="B15289" t="str">
        <f>T("   Nigéria")</f>
        <v xml:space="preserve">   Nigéria</v>
      </c>
      <c r="C15289">
        <v>1007750</v>
      </c>
      <c r="D15289">
        <v>1450</v>
      </c>
    </row>
    <row r="15290" spans="1:4" x14ac:dyDescent="0.25">
      <c r="A15290" t="str">
        <f>T("   PK")</f>
        <v xml:space="preserve">   PK</v>
      </c>
      <c r="B15290" t="str">
        <f>T("   Pakistan")</f>
        <v xml:space="preserve">   Pakistan</v>
      </c>
      <c r="C15290">
        <v>663746</v>
      </c>
      <c r="D15290">
        <v>239</v>
      </c>
    </row>
    <row r="15291" spans="1:4" x14ac:dyDescent="0.25">
      <c r="A15291" t="str">
        <f>T("   PT")</f>
        <v xml:space="preserve">   PT</v>
      </c>
      <c r="B15291" t="str">
        <f>T("   Portugal")</f>
        <v xml:space="preserve">   Portugal</v>
      </c>
      <c r="C15291">
        <v>38433</v>
      </c>
      <c r="D15291">
        <v>1200</v>
      </c>
    </row>
    <row r="15292" spans="1:4" x14ac:dyDescent="0.25">
      <c r="A15292" t="str">
        <f>T("   SA")</f>
        <v xml:space="preserve">   SA</v>
      </c>
      <c r="B15292" t="str">
        <f>T("   Arabie Saoudite")</f>
        <v xml:space="preserve">   Arabie Saoudite</v>
      </c>
      <c r="C15292">
        <v>5356801</v>
      </c>
      <c r="D15292">
        <v>7820</v>
      </c>
    </row>
    <row r="15293" spans="1:4" x14ac:dyDescent="0.25">
      <c r="A15293" t="str">
        <f>T("   TG")</f>
        <v xml:space="preserve">   TG</v>
      </c>
      <c r="B15293" t="str">
        <f>T("   Togo")</f>
        <v xml:space="preserve">   Togo</v>
      </c>
      <c r="C15293">
        <v>75638</v>
      </c>
      <c r="D15293">
        <v>490</v>
      </c>
    </row>
    <row r="15294" spans="1:4" x14ac:dyDescent="0.25">
      <c r="A15294" t="str">
        <f>T("   TR")</f>
        <v xml:space="preserve">   TR</v>
      </c>
      <c r="B15294" t="str">
        <f>T("   Turquie")</f>
        <v xml:space="preserve">   Turquie</v>
      </c>
      <c r="C15294">
        <v>10297261</v>
      </c>
      <c r="D15294">
        <v>13309</v>
      </c>
    </row>
    <row r="15295" spans="1:4" x14ac:dyDescent="0.25">
      <c r="A15295" t="str">
        <f>T("   US")</f>
        <v xml:space="preserve">   US</v>
      </c>
      <c r="B15295" t="str">
        <f>T("   Etats-Unis")</f>
        <v xml:space="preserve">   Etats-Unis</v>
      </c>
      <c r="C15295">
        <v>3776200</v>
      </c>
      <c r="D15295">
        <v>1416</v>
      </c>
    </row>
    <row r="15296" spans="1:4" x14ac:dyDescent="0.25">
      <c r="A15296" t="str">
        <f>T("940330")</f>
        <v>940330</v>
      </c>
      <c r="B15296" t="str">
        <f>T("Meubles de bureau en bois (sauf sièges)")</f>
        <v>Meubles de bureau en bois (sauf sièges)</v>
      </c>
    </row>
    <row r="15297" spans="1:4" x14ac:dyDescent="0.25">
      <c r="A15297" t="str">
        <f>T("   ZZZ_Monde")</f>
        <v xml:space="preserve">   ZZZ_Monde</v>
      </c>
      <c r="B15297" t="str">
        <f>T("   ZZZ_Monde")</f>
        <v xml:space="preserve">   ZZZ_Monde</v>
      </c>
      <c r="C15297">
        <v>227249446</v>
      </c>
      <c r="D15297">
        <v>322380</v>
      </c>
    </row>
    <row r="15298" spans="1:4" x14ac:dyDescent="0.25">
      <c r="A15298" t="str">
        <f>T("   AE")</f>
        <v xml:space="preserve">   AE</v>
      </c>
      <c r="B15298" t="str">
        <f>T("   Emirats Arabes Unis")</f>
        <v xml:space="preserve">   Emirats Arabes Unis</v>
      </c>
      <c r="C15298">
        <v>2099246</v>
      </c>
      <c r="D15298">
        <v>470</v>
      </c>
    </row>
    <row r="15299" spans="1:4" x14ac:dyDescent="0.25">
      <c r="A15299" t="str">
        <f>T("   AU")</f>
        <v xml:space="preserve">   AU</v>
      </c>
      <c r="B15299" t="str">
        <f>T("   Australie")</f>
        <v xml:space="preserve">   Australie</v>
      </c>
      <c r="C15299">
        <v>3073829</v>
      </c>
      <c r="D15299">
        <v>8625</v>
      </c>
    </row>
    <row r="15300" spans="1:4" x14ac:dyDescent="0.25">
      <c r="A15300" t="str">
        <f>T("   CA")</f>
        <v xml:space="preserve">   CA</v>
      </c>
      <c r="B15300" t="str">
        <f>T("   Canada")</f>
        <v xml:space="preserve">   Canada</v>
      </c>
      <c r="C15300">
        <v>30000</v>
      </c>
      <c r="D15300">
        <v>20</v>
      </c>
    </row>
    <row r="15301" spans="1:4" x14ac:dyDescent="0.25">
      <c r="A15301" t="str">
        <f>T("   CI")</f>
        <v xml:space="preserve">   CI</v>
      </c>
      <c r="B15301" t="str">
        <f>T("   Côte d'Ivoire")</f>
        <v xml:space="preserve">   Côte d'Ivoire</v>
      </c>
      <c r="C15301">
        <v>1000000</v>
      </c>
      <c r="D15301">
        <v>8220</v>
      </c>
    </row>
    <row r="15302" spans="1:4" x14ac:dyDescent="0.25">
      <c r="A15302" t="str">
        <f>T("   CN")</f>
        <v xml:space="preserve">   CN</v>
      </c>
      <c r="B15302" t="str">
        <f>T("   Chine")</f>
        <v xml:space="preserve">   Chine</v>
      </c>
      <c r="C15302">
        <v>57901667</v>
      </c>
      <c r="D15302">
        <v>127979</v>
      </c>
    </row>
    <row r="15303" spans="1:4" x14ac:dyDescent="0.25">
      <c r="A15303" t="str">
        <f>T("   DE")</f>
        <v xml:space="preserve">   DE</v>
      </c>
      <c r="B15303" t="str">
        <f>T("   Allemagne")</f>
        <v xml:space="preserve">   Allemagne</v>
      </c>
      <c r="C15303">
        <v>1062655</v>
      </c>
      <c r="D15303">
        <v>958</v>
      </c>
    </row>
    <row r="15304" spans="1:4" x14ac:dyDescent="0.25">
      <c r="A15304" t="str">
        <f>T("   ES")</f>
        <v xml:space="preserve">   ES</v>
      </c>
      <c r="B15304" t="str">
        <f>T("   Espagne")</f>
        <v xml:space="preserve">   Espagne</v>
      </c>
      <c r="C15304">
        <v>9342838</v>
      </c>
      <c r="D15304">
        <v>1000</v>
      </c>
    </row>
    <row r="15305" spans="1:4" x14ac:dyDescent="0.25">
      <c r="A15305" t="str">
        <f>T("   FR")</f>
        <v xml:space="preserve">   FR</v>
      </c>
      <c r="B15305" t="str">
        <f>T("   France")</f>
        <v xml:space="preserve">   France</v>
      </c>
      <c r="C15305">
        <v>92951049</v>
      </c>
      <c r="D15305">
        <v>94839</v>
      </c>
    </row>
    <row r="15306" spans="1:4" x14ac:dyDescent="0.25">
      <c r="A15306" t="str">
        <f>T("   GH")</f>
        <v xml:space="preserve">   GH</v>
      </c>
      <c r="B15306" t="str">
        <f>T("   Ghana")</f>
        <v xml:space="preserve">   Ghana</v>
      </c>
      <c r="C15306">
        <v>1000000</v>
      </c>
      <c r="D15306">
        <v>7520</v>
      </c>
    </row>
    <row r="15307" spans="1:4" x14ac:dyDescent="0.25">
      <c r="A15307" t="str">
        <f>T("   IT")</f>
        <v xml:space="preserve">   IT</v>
      </c>
      <c r="B15307" t="str">
        <f>T("   Italie")</f>
        <v xml:space="preserve">   Italie</v>
      </c>
      <c r="C15307">
        <v>15945679</v>
      </c>
      <c r="D15307">
        <v>9873</v>
      </c>
    </row>
    <row r="15308" spans="1:4" x14ac:dyDescent="0.25">
      <c r="A15308" t="str">
        <f>T("   JP")</f>
        <v xml:space="preserve">   JP</v>
      </c>
      <c r="B15308" t="str">
        <f>T("   Japon")</f>
        <v xml:space="preserve">   Japon</v>
      </c>
      <c r="C15308">
        <v>106571</v>
      </c>
      <c r="D15308">
        <v>50</v>
      </c>
    </row>
    <row r="15309" spans="1:4" x14ac:dyDescent="0.25">
      <c r="A15309" t="str">
        <f>T("   MY")</f>
        <v xml:space="preserve">   MY</v>
      </c>
      <c r="B15309" t="str">
        <f>T("   Malaisie")</f>
        <v xml:space="preserve">   Malaisie</v>
      </c>
      <c r="C15309">
        <v>10236670</v>
      </c>
      <c r="D15309">
        <v>23831</v>
      </c>
    </row>
    <row r="15310" spans="1:4" x14ac:dyDescent="0.25">
      <c r="A15310" t="str">
        <f>T("   NG")</f>
        <v xml:space="preserve">   NG</v>
      </c>
      <c r="B15310" t="str">
        <f>T("   Nigéria")</f>
        <v xml:space="preserve">   Nigéria</v>
      </c>
      <c r="C15310">
        <v>22627717</v>
      </c>
      <c r="D15310">
        <v>21875</v>
      </c>
    </row>
    <row r="15311" spans="1:4" x14ac:dyDescent="0.25">
      <c r="A15311" t="str">
        <f>T("   TG")</f>
        <v xml:space="preserve">   TG</v>
      </c>
      <c r="B15311" t="str">
        <f>T("   Togo")</f>
        <v xml:space="preserve">   Togo</v>
      </c>
      <c r="C15311">
        <v>6115618</v>
      </c>
      <c r="D15311">
        <v>8780</v>
      </c>
    </row>
    <row r="15312" spans="1:4" x14ac:dyDescent="0.25">
      <c r="A15312" t="str">
        <f>T("   US")</f>
        <v xml:space="preserve">   US</v>
      </c>
      <c r="B15312" t="str">
        <f>T("   Etats-Unis")</f>
        <v xml:space="preserve">   Etats-Unis</v>
      </c>
      <c r="C15312">
        <v>3755907</v>
      </c>
      <c r="D15312">
        <v>8340</v>
      </c>
    </row>
    <row r="15313" spans="1:4" x14ac:dyDescent="0.25">
      <c r="A15313" t="str">
        <f>T("940340")</f>
        <v>940340</v>
      </c>
      <c r="B15313" t="str">
        <f>T("Meubles de cuisine, en bois (sauf sièges)")</f>
        <v>Meubles de cuisine, en bois (sauf sièges)</v>
      </c>
    </row>
    <row r="15314" spans="1:4" x14ac:dyDescent="0.25">
      <c r="A15314" t="str">
        <f>T("   ZZZ_Monde")</f>
        <v xml:space="preserve">   ZZZ_Monde</v>
      </c>
      <c r="B15314" t="str">
        <f>T("   ZZZ_Monde")</f>
        <v xml:space="preserve">   ZZZ_Monde</v>
      </c>
      <c r="C15314">
        <v>165426381</v>
      </c>
      <c r="D15314">
        <v>242770</v>
      </c>
    </row>
    <row r="15315" spans="1:4" x14ac:dyDescent="0.25">
      <c r="A15315" t="str">
        <f>T("   BE")</f>
        <v xml:space="preserve">   BE</v>
      </c>
      <c r="B15315" t="str">
        <f>T("   Belgique")</f>
        <v xml:space="preserve">   Belgique</v>
      </c>
      <c r="C15315">
        <v>36308310</v>
      </c>
      <c r="D15315">
        <v>78000</v>
      </c>
    </row>
    <row r="15316" spans="1:4" x14ac:dyDescent="0.25">
      <c r="A15316" t="str">
        <f>T("   CH")</f>
        <v xml:space="preserve">   CH</v>
      </c>
      <c r="B15316" t="str">
        <f>T("   Suisse")</f>
        <v xml:space="preserve">   Suisse</v>
      </c>
      <c r="C15316">
        <v>179955</v>
      </c>
      <c r="D15316">
        <v>90</v>
      </c>
    </row>
    <row r="15317" spans="1:4" x14ac:dyDescent="0.25">
      <c r="A15317" t="str">
        <f>T("   CN")</f>
        <v xml:space="preserve">   CN</v>
      </c>
      <c r="B15317" t="str">
        <f>T("   Chine")</f>
        <v xml:space="preserve">   Chine</v>
      </c>
      <c r="C15317">
        <v>61818614</v>
      </c>
      <c r="D15317">
        <v>131118</v>
      </c>
    </row>
    <row r="15318" spans="1:4" x14ac:dyDescent="0.25">
      <c r="A15318" t="str">
        <f>T("   FR")</f>
        <v xml:space="preserve">   FR</v>
      </c>
      <c r="B15318" t="str">
        <f>T("   France")</f>
        <v xml:space="preserve">   France</v>
      </c>
      <c r="C15318">
        <v>43233118</v>
      </c>
      <c r="D15318">
        <v>5745</v>
      </c>
    </row>
    <row r="15319" spans="1:4" x14ac:dyDescent="0.25">
      <c r="A15319" t="str">
        <f>T("   IT")</f>
        <v xml:space="preserve">   IT</v>
      </c>
      <c r="B15319" t="str">
        <f>T("   Italie")</f>
        <v xml:space="preserve">   Italie</v>
      </c>
      <c r="C15319">
        <v>1193165</v>
      </c>
      <c r="D15319">
        <v>14</v>
      </c>
    </row>
    <row r="15320" spans="1:4" x14ac:dyDescent="0.25">
      <c r="A15320" t="str">
        <f>T("   MY")</f>
        <v xml:space="preserve">   MY</v>
      </c>
      <c r="B15320" t="str">
        <f>T("   Malaisie")</f>
        <v xml:space="preserve">   Malaisie</v>
      </c>
      <c r="C15320">
        <v>17365244</v>
      </c>
      <c r="D15320">
        <v>23873</v>
      </c>
    </row>
    <row r="15321" spans="1:4" x14ac:dyDescent="0.25">
      <c r="A15321" t="str">
        <f>T("   NG")</f>
        <v xml:space="preserve">   NG</v>
      </c>
      <c r="B15321" t="str">
        <f>T("   Nigéria")</f>
        <v xml:space="preserve">   Nigéria</v>
      </c>
      <c r="C15321">
        <v>5327975</v>
      </c>
      <c r="D15321">
        <v>3930</v>
      </c>
    </row>
    <row r="15322" spans="1:4" x14ac:dyDescent="0.25">
      <c r="A15322" t="str">
        <f>T("940350")</f>
        <v>940350</v>
      </c>
      <c r="B15322" t="str">
        <f>T("Meubles pour chambres à coucher, en bois (sauf sièges)")</f>
        <v>Meubles pour chambres à coucher, en bois (sauf sièges)</v>
      </c>
    </row>
    <row r="15323" spans="1:4" x14ac:dyDescent="0.25">
      <c r="A15323" t="str">
        <f>T("   ZZZ_Monde")</f>
        <v xml:space="preserve">   ZZZ_Monde</v>
      </c>
      <c r="B15323" t="str">
        <f>T("   ZZZ_Monde")</f>
        <v xml:space="preserve">   ZZZ_Monde</v>
      </c>
      <c r="C15323">
        <v>352589649</v>
      </c>
      <c r="D15323">
        <v>436294.34</v>
      </c>
    </row>
    <row r="15324" spans="1:4" x14ac:dyDescent="0.25">
      <c r="A15324" t="str">
        <f>T("   AE")</f>
        <v xml:space="preserve">   AE</v>
      </c>
      <c r="B15324" t="str">
        <f>T("   Emirats Arabes Unis")</f>
        <v xml:space="preserve">   Emirats Arabes Unis</v>
      </c>
      <c r="C15324">
        <v>3718676</v>
      </c>
      <c r="D15324">
        <v>8930</v>
      </c>
    </row>
    <row r="15325" spans="1:4" x14ac:dyDescent="0.25">
      <c r="A15325" t="str">
        <f>T("   BE")</f>
        <v xml:space="preserve">   BE</v>
      </c>
      <c r="B15325" t="str">
        <f>T("   Belgique")</f>
        <v xml:space="preserve">   Belgique</v>
      </c>
      <c r="C15325">
        <v>19711943</v>
      </c>
      <c r="D15325">
        <v>38089</v>
      </c>
    </row>
    <row r="15326" spans="1:4" x14ac:dyDescent="0.25">
      <c r="A15326" t="str">
        <f>T("   BR")</f>
        <v xml:space="preserve">   BR</v>
      </c>
      <c r="B15326" t="str">
        <f>T("   Brésil")</f>
        <v xml:space="preserve">   Brésil</v>
      </c>
      <c r="C15326">
        <v>5060000</v>
      </c>
      <c r="D15326">
        <v>3853</v>
      </c>
    </row>
    <row r="15327" spans="1:4" x14ac:dyDescent="0.25">
      <c r="A15327" t="str">
        <f>T("   CA")</f>
        <v xml:space="preserve">   CA</v>
      </c>
      <c r="B15327" t="str">
        <f>T("   Canada")</f>
        <v xml:space="preserve">   Canada</v>
      </c>
      <c r="C15327">
        <v>1500000</v>
      </c>
      <c r="D15327">
        <v>2100</v>
      </c>
    </row>
    <row r="15328" spans="1:4" x14ac:dyDescent="0.25">
      <c r="A15328" t="str">
        <f>T("   CD")</f>
        <v xml:space="preserve">   CD</v>
      </c>
      <c r="B15328" t="str">
        <f>T("   Congo, République Démocratique")</f>
        <v xml:space="preserve">   Congo, République Démocratique</v>
      </c>
      <c r="C15328">
        <v>3600000</v>
      </c>
      <c r="D15328">
        <v>2150</v>
      </c>
    </row>
    <row r="15329" spans="1:4" x14ac:dyDescent="0.25">
      <c r="A15329" t="str">
        <f>T("   CI")</f>
        <v xml:space="preserve">   CI</v>
      </c>
      <c r="B15329" t="str">
        <f>T("   Côte d'Ivoire")</f>
        <v xml:space="preserve">   Côte d'Ivoire</v>
      </c>
      <c r="C15329">
        <v>6400000</v>
      </c>
      <c r="D15329">
        <v>31900</v>
      </c>
    </row>
    <row r="15330" spans="1:4" x14ac:dyDescent="0.25">
      <c r="A15330" t="str">
        <f>T("   CM")</f>
        <v xml:space="preserve">   CM</v>
      </c>
      <c r="B15330" t="str">
        <f>T("   Cameroun")</f>
        <v xml:space="preserve">   Cameroun</v>
      </c>
      <c r="C15330">
        <v>10472930</v>
      </c>
      <c r="D15330">
        <v>6900</v>
      </c>
    </row>
    <row r="15331" spans="1:4" x14ac:dyDescent="0.25">
      <c r="A15331" t="str">
        <f>T("   CN")</f>
        <v xml:space="preserve">   CN</v>
      </c>
      <c r="B15331" t="str">
        <f>T("   Chine")</f>
        <v xml:space="preserve">   Chine</v>
      </c>
      <c r="C15331">
        <v>83624522</v>
      </c>
      <c r="D15331">
        <v>128655.34</v>
      </c>
    </row>
    <row r="15332" spans="1:4" x14ac:dyDescent="0.25">
      <c r="A15332" t="str">
        <f>T("   CU")</f>
        <v xml:space="preserve">   CU</v>
      </c>
      <c r="B15332" t="str">
        <f>T("   Cuba")</f>
        <v xml:space="preserve">   Cuba</v>
      </c>
      <c r="C15332">
        <v>1600000</v>
      </c>
      <c r="D15332">
        <v>1700</v>
      </c>
    </row>
    <row r="15333" spans="1:4" x14ac:dyDescent="0.25">
      <c r="A15333" t="str">
        <f>T("   DE")</f>
        <v xml:space="preserve">   DE</v>
      </c>
      <c r="B15333" t="str">
        <f>T("   Allemagne")</f>
        <v xml:space="preserve">   Allemagne</v>
      </c>
      <c r="C15333">
        <v>15872831</v>
      </c>
      <c r="D15333">
        <v>26728</v>
      </c>
    </row>
    <row r="15334" spans="1:4" x14ac:dyDescent="0.25">
      <c r="A15334" t="str">
        <f>T("   DJ")</f>
        <v xml:space="preserve">   DJ</v>
      </c>
      <c r="B15334" t="str">
        <f>T("   Djibouti")</f>
        <v xml:space="preserve">   Djibouti</v>
      </c>
      <c r="C15334">
        <v>1600000</v>
      </c>
      <c r="D15334">
        <v>2500</v>
      </c>
    </row>
    <row r="15335" spans="1:4" x14ac:dyDescent="0.25">
      <c r="A15335" t="str">
        <f>T("   DK")</f>
        <v xml:space="preserve">   DK</v>
      </c>
      <c r="B15335" t="str">
        <f>T("   Danemark")</f>
        <v xml:space="preserve">   Danemark</v>
      </c>
      <c r="C15335">
        <v>6500000</v>
      </c>
      <c r="D15335">
        <v>4350</v>
      </c>
    </row>
    <row r="15336" spans="1:4" x14ac:dyDescent="0.25">
      <c r="A15336" t="str">
        <f>T("   ET")</f>
        <v xml:space="preserve">   ET</v>
      </c>
      <c r="B15336" t="str">
        <f>T("   Ethiopie")</f>
        <v xml:space="preserve">   Ethiopie</v>
      </c>
      <c r="C15336">
        <v>5043112</v>
      </c>
      <c r="D15336">
        <v>7500</v>
      </c>
    </row>
    <row r="15337" spans="1:4" x14ac:dyDescent="0.25">
      <c r="A15337" t="str">
        <f>T("   FR")</f>
        <v xml:space="preserve">   FR</v>
      </c>
      <c r="B15337" t="str">
        <f>T("   France")</f>
        <v xml:space="preserve">   France</v>
      </c>
      <c r="C15337">
        <v>49846856</v>
      </c>
      <c r="D15337">
        <v>61886</v>
      </c>
    </row>
    <row r="15338" spans="1:4" x14ac:dyDescent="0.25">
      <c r="A15338" t="str">
        <f>T("   GA")</f>
        <v xml:space="preserve">   GA</v>
      </c>
      <c r="B15338" t="str">
        <f>T("   Gabon")</f>
        <v xml:space="preserve">   Gabon</v>
      </c>
      <c r="C15338">
        <v>4900000</v>
      </c>
      <c r="D15338">
        <v>5300</v>
      </c>
    </row>
    <row r="15339" spans="1:4" x14ac:dyDescent="0.25">
      <c r="A15339" t="str">
        <f>T("   GB")</f>
        <v xml:space="preserve">   GB</v>
      </c>
      <c r="B15339" t="str">
        <f>T("   Royaume-Uni")</f>
        <v xml:space="preserve">   Royaume-Uni</v>
      </c>
      <c r="C15339">
        <v>1516028</v>
      </c>
      <c r="D15339">
        <v>1925</v>
      </c>
    </row>
    <row r="15340" spans="1:4" x14ac:dyDescent="0.25">
      <c r="A15340" t="str">
        <f>T("   GN")</f>
        <v xml:space="preserve">   GN</v>
      </c>
      <c r="B15340" t="str">
        <f>T("   Guinée")</f>
        <v xml:space="preserve">   Guinée</v>
      </c>
      <c r="C15340">
        <v>1000000</v>
      </c>
      <c r="D15340">
        <v>1300</v>
      </c>
    </row>
    <row r="15341" spans="1:4" x14ac:dyDescent="0.25">
      <c r="A15341" t="str">
        <f>T("   HK")</f>
        <v xml:space="preserve">   HK</v>
      </c>
      <c r="B15341" t="str">
        <f>T("   Hong-Kong")</f>
        <v xml:space="preserve">   Hong-Kong</v>
      </c>
      <c r="C15341">
        <v>2000000</v>
      </c>
      <c r="D15341">
        <v>2550</v>
      </c>
    </row>
    <row r="15342" spans="1:4" x14ac:dyDescent="0.25">
      <c r="A15342" t="str">
        <f>T("   IT")</f>
        <v xml:space="preserve">   IT</v>
      </c>
      <c r="B15342" t="str">
        <f>T("   Italie")</f>
        <v xml:space="preserve">   Italie</v>
      </c>
      <c r="C15342">
        <v>44206235</v>
      </c>
      <c r="D15342">
        <v>22317</v>
      </c>
    </row>
    <row r="15343" spans="1:4" x14ac:dyDescent="0.25">
      <c r="A15343" t="str">
        <f>T("   JP")</f>
        <v xml:space="preserve">   JP</v>
      </c>
      <c r="B15343" t="str">
        <f>T("   Japon")</f>
        <v xml:space="preserve">   Japon</v>
      </c>
      <c r="C15343">
        <v>5850000</v>
      </c>
      <c r="D15343">
        <v>7845</v>
      </c>
    </row>
    <row r="15344" spans="1:4" x14ac:dyDescent="0.25">
      <c r="A15344" t="str">
        <f>T("   LB")</f>
        <v xml:space="preserve">   LB</v>
      </c>
      <c r="B15344" t="str">
        <f>T("   Liban")</f>
        <v xml:space="preserve">   Liban</v>
      </c>
      <c r="C15344">
        <v>70944</v>
      </c>
      <c r="D15344">
        <v>595</v>
      </c>
    </row>
    <row r="15345" spans="1:4" x14ac:dyDescent="0.25">
      <c r="A15345" t="str">
        <f>T("   MA")</f>
        <v xml:space="preserve">   MA</v>
      </c>
      <c r="B15345" t="str">
        <f>T("   Maroc")</f>
        <v xml:space="preserve">   Maroc</v>
      </c>
      <c r="C15345">
        <v>2550000</v>
      </c>
      <c r="D15345">
        <v>2650</v>
      </c>
    </row>
    <row r="15346" spans="1:4" x14ac:dyDescent="0.25">
      <c r="A15346" t="str">
        <f>T("   MQ")</f>
        <v xml:space="preserve">   MQ</v>
      </c>
      <c r="B15346" t="str">
        <f>T("   Martinique")</f>
        <v xml:space="preserve">   Martinique</v>
      </c>
      <c r="C15346">
        <v>1500000</v>
      </c>
      <c r="D15346">
        <v>1200</v>
      </c>
    </row>
    <row r="15347" spans="1:4" x14ac:dyDescent="0.25">
      <c r="A15347" t="str">
        <f>T("   NA")</f>
        <v xml:space="preserve">   NA</v>
      </c>
      <c r="B15347" t="str">
        <f>T("   Namibie")</f>
        <v xml:space="preserve">   Namibie</v>
      </c>
      <c r="C15347">
        <v>2000000</v>
      </c>
      <c r="D15347">
        <v>5000</v>
      </c>
    </row>
    <row r="15348" spans="1:4" x14ac:dyDescent="0.25">
      <c r="A15348" t="str">
        <f>T("   NG")</f>
        <v xml:space="preserve">   NG</v>
      </c>
      <c r="B15348" t="str">
        <f>T("   Nigéria")</f>
        <v xml:space="preserve">   Nigéria</v>
      </c>
      <c r="C15348">
        <v>41790694</v>
      </c>
      <c r="D15348">
        <v>26620</v>
      </c>
    </row>
    <row r="15349" spans="1:4" x14ac:dyDescent="0.25">
      <c r="A15349" t="str">
        <f>T("   NL")</f>
        <v xml:space="preserve">   NL</v>
      </c>
      <c r="B15349" t="str">
        <f>T("   Pays-bas")</f>
        <v xml:space="preserve">   Pays-bas</v>
      </c>
      <c r="C15349">
        <v>3700000</v>
      </c>
      <c r="D15349">
        <v>3480</v>
      </c>
    </row>
    <row r="15350" spans="1:4" x14ac:dyDescent="0.25">
      <c r="A15350" t="str">
        <f>T("   RU")</f>
        <v xml:space="preserve">   RU</v>
      </c>
      <c r="B15350" t="str">
        <f>T("   Russie, Fédération de")</f>
        <v xml:space="preserve">   Russie, Fédération de</v>
      </c>
      <c r="C15350">
        <v>1700000</v>
      </c>
      <c r="D15350">
        <v>1200</v>
      </c>
    </row>
    <row r="15351" spans="1:4" x14ac:dyDescent="0.25">
      <c r="A15351" t="str">
        <f>T("   RW")</f>
        <v xml:space="preserve">   RW</v>
      </c>
      <c r="B15351" t="str">
        <f>T("   Rwanda")</f>
        <v xml:space="preserve">   Rwanda</v>
      </c>
      <c r="C15351">
        <v>1800000</v>
      </c>
      <c r="D15351">
        <v>1600</v>
      </c>
    </row>
    <row r="15352" spans="1:4" x14ac:dyDescent="0.25">
      <c r="A15352" t="str">
        <f>T("   SA")</f>
        <v xml:space="preserve">   SA</v>
      </c>
      <c r="B15352" t="str">
        <f>T("   Arabie Saoudite")</f>
        <v xml:space="preserve">   Arabie Saoudite</v>
      </c>
      <c r="C15352">
        <v>900000</v>
      </c>
      <c r="D15352">
        <v>1040</v>
      </c>
    </row>
    <row r="15353" spans="1:4" x14ac:dyDescent="0.25">
      <c r="A15353" t="str">
        <f>T("   SN")</f>
        <v xml:space="preserve">   SN</v>
      </c>
      <c r="B15353" t="str">
        <f>T("   Sénégal")</f>
        <v xml:space="preserve">   Sénégal</v>
      </c>
      <c r="C15353">
        <v>4415011</v>
      </c>
      <c r="D15353">
        <v>3620</v>
      </c>
    </row>
    <row r="15354" spans="1:4" x14ac:dyDescent="0.25">
      <c r="A15354" t="str">
        <f>T("   TG")</f>
        <v xml:space="preserve">   TG</v>
      </c>
      <c r="B15354" t="str">
        <f>T("   Togo")</f>
        <v xml:space="preserve">   Togo</v>
      </c>
      <c r="C15354">
        <v>4497025</v>
      </c>
      <c r="D15354">
        <v>8544</v>
      </c>
    </row>
    <row r="15355" spans="1:4" x14ac:dyDescent="0.25">
      <c r="A15355" t="str">
        <f>T("   TH")</f>
        <v xml:space="preserve">   TH</v>
      </c>
      <c r="B15355" t="str">
        <f>T("   Thaïlande")</f>
        <v xml:space="preserve">   Thaïlande</v>
      </c>
      <c r="C15355">
        <v>2524962</v>
      </c>
      <c r="D15355">
        <v>1700</v>
      </c>
    </row>
    <row r="15356" spans="1:4" x14ac:dyDescent="0.25">
      <c r="A15356" t="str">
        <f>T("   US")</f>
        <v xml:space="preserve">   US</v>
      </c>
      <c r="B15356" t="str">
        <f>T("   Etats-Unis")</f>
        <v xml:space="preserve">   Etats-Unis</v>
      </c>
      <c r="C15356">
        <v>5750000</v>
      </c>
      <c r="D15356">
        <v>5717</v>
      </c>
    </row>
    <row r="15357" spans="1:4" x14ac:dyDescent="0.25">
      <c r="A15357" t="str">
        <f>T("   VN")</f>
        <v xml:space="preserve">   VN</v>
      </c>
      <c r="B15357" t="str">
        <f>T("   Vietnam")</f>
        <v xml:space="preserve">   Vietnam</v>
      </c>
      <c r="C15357">
        <v>2500000</v>
      </c>
      <c r="D15357">
        <v>2800</v>
      </c>
    </row>
    <row r="15358" spans="1:4" x14ac:dyDescent="0.25">
      <c r="A15358" t="str">
        <f>T("   ZA")</f>
        <v xml:space="preserve">   ZA</v>
      </c>
      <c r="B15358" t="str">
        <f>T("   Afrique du Sud")</f>
        <v xml:space="preserve">   Afrique du Sud</v>
      </c>
      <c r="C15358">
        <v>2867880</v>
      </c>
      <c r="D15358">
        <v>2050</v>
      </c>
    </row>
    <row r="15359" spans="1:4" x14ac:dyDescent="0.25">
      <c r="A15359" t="str">
        <f>T("940360")</f>
        <v>940360</v>
      </c>
      <c r="B15359" t="str">
        <f>T("Meubles en bois (autres que pour bureaux, cuisines ou chambres à coucher et autres que sièges)")</f>
        <v>Meubles en bois (autres que pour bureaux, cuisines ou chambres à coucher et autres que sièges)</v>
      </c>
    </row>
    <row r="15360" spans="1:4" x14ac:dyDescent="0.25">
      <c r="A15360" t="str">
        <f>T("   ZZZ_Monde")</f>
        <v xml:space="preserve">   ZZZ_Monde</v>
      </c>
      <c r="B15360" t="str">
        <f>T("   ZZZ_Monde")</f>
        <v xml:space="preserve">   ZZZ_Monde</v>
      </c>
      <c r="C15360">
        <v>544853572</v>
      </c>
      <c r="D15360">
        <v>795964.88</v>
      </c>
    </row>
    <row r="15361" spans="1:4" x14ac:dyDescent="0.25">
      <c r="A15361" t="str">
        <f>T("   AE")</f>
        <v xml:space="preserve">   AE</v>
      </c>
      <c r="B15361" t="str">
        <f>T("   Emirats Arabes Unis")</f>
        <v xml:space="preserve">   Emirats Arabes Unis</v>
      </c>
      <c r="C15361">
        <v>3812877</v>
      </c>
      <c r="D15361">
        <v>5467</v>
      </c>
    </row>
    <row r="15362" spans="1:4" x14ac:dyDescent="0.25">
      <c r="A15362" t="str">
        <f>T("   BE")</f>
        <v xml:space="preserve">   BE</v>
      </c>
      <c r="B15362" t="str">
        <f>T("   Belgique")</f>
        <v xml:space="preserve">   Belgique</v>
      </c>
      <c r="C15362">
        <v>17730860</v>
      </c>
      <c r="D15362">
        <v>27884</v>
      </c>
    </row>
    <row r="15363" spans="1:4" x14ac:dyDescent="0.25">
      <c r="A15363" t="str">
        <f>T("   CA")</f>
        <v xml:space="preserve">   CA</v>
      </c>
      <c r="B15363" t="str">
        <f>T("   Canada")</f>
        <v xml:space="preserve">   Canada</v>
      </c>
      <c r="C15363">
        <v>325000</v>
      </c>
      <c r="D15363">
        <v>5840</v>
      </c>
    </row>
    <row r="15364" spans="1:4" x14ac:dyDescent="0.25">
      <c r="A15364" t="str">
        <f>T("   CH")</f>
        <v xml:space="preserve">   CH</v>
      </c>
      <c r="B15364" t="str">
        <f>T("   Suisse")</f>
        <v xml:space="preserve">   Suisse</v>
      </c>
      <c r="C15364">
        <v>716500</v>
      </c>
      <c r="D15364">
        <v>4500</v>
      </c>
    </row>
    <row r="15365" spans="1:4" x14ac:dyDescent="0.25">
      <c r="A15365" t="str">
        <f>T("   CI")</f>
        <v xml:space="preserve">   CI</v>
      </c>
      <c r="B15365" t="str">
        <f>T("   Côte d'Ivoire")</f>
        <v xml:space="preserve">   Côte d'Ivoire</v>
      </c>
      <c r="C15365">
        <v>8200000</v>
      </c>
      <c r="D15365">
        <v>32830</v>
      </c>
    </row>
    <row r="15366" spans="1:4" x14ac:dyDescent="0.25">
      <c r="A15366" t="str">
        <f>T("   CM")</f>
        <v xml:space="preserve">   CM</v>
      </c>
      <c r="B15366" t="str">
        <f>T("   Cameroun")</f>
        <v xml:space="preserve">   Cameroun</v>
      </c>
      <c r="C15366">
        <v>1301300</v>
      </c>
      <c r="D15366">
        <v>1850</v>
      </c>
    </row>
    <row r="15367" spans="1:4" x14ac:dyDescent="0.25">
      <c r="A15367" t="str">
        <f>T("   CN")</f>
        <v xml:space="preserve">   CN</v>
      </c>
      <c r="B15367" t="str">
        <f>T("   Chine")</f>
        <v xml:space="preserve">   Chine</v>
      </c>
      <c r="C15367">
        <v>163651859</v>
      </c>
      <c r="D15367">
        <v>338375.33</v>
      </c>
    </row>
    <row r="15368" spans="1:4" x14ac:dyDescent="0.25">
      <c r="A15368" t="str">
        <f>T("   DE")</f>
        <v xml:space="preserve">   DE</v>
      </c>
      <c r="B15368" t="str">
        <f>T("   Allemagne")</f>
        <v xml:space="preserve">   Allemagne</v>
      </c>
      <c r="C15368">
        <v>18346707</v>
      </c>
      <c r="D15368">
        <v>17835</v>
      </c>
    </row>
    <row r="15369" spans="1:4" x14ac:dyDescent="0.25">
      <c r="A15369" t="str">
        <f>T("   DK")</f>
        <v xml:space="preserve">   DK</v>
      </c>
      <c r="B15369" t="str">
        <f>T("   Danemark")</f>
        <v xml:space="preserve">   Danemark</v>
      </c>
      <c r="C15369">
        <v>104860</v>
      </c>
      <c r="D15369">
        <v>175</v>
      </c>
    </row>
    <row r="15370" spans="1:4" x14ac:dyDescent="0.25">
      <c r="A15370" t="str">
        <f>T("   ES")</f>
        <v xml:space="preserve">   ES</v>
      </c>
      <c r="B15370" t="str">
        <f>T("   Espagne")</f>
        <v xml:space="preserve">   Espagne</v>
      </c>
      <c r="C15370">
        <v>908944</v>
      </c>
      <c r="D15370">
        <v>3419</v>
      </c>
    </row>
    <row r="15371" spans="1:4" x14ac:dyDescent="0.25">
      <c r="A15371" t="str">
        <f>T("   FR")</f>
        <v xml:space="preserve">   FR</v>
      </c>
      <c r="B15371" t="str">
        <f>T("   France")</f>
        <v xml:space="preserve">   France</v>
      </c>
      <c r="C15371">
        <v>189523680</v>
      </c>
      <c r="D15371">
        <v>141478.35</v>
      </c>
    </row>
    <row r="15372" spans="1:4" x14ac:dyDescent="0.25">
      <c r="A15372" t="str">
        <f>T("   GB")</f>
        <v xml:space="preserve">   GB</v>
      </c>
      <c r="B15372" t="str">
        <f>T("   Royaume-Uni")</f>
        <v xml:space="preserve">   Royaume-Uni</v>
      </c>
      <c r="C15372">
        <v>1475445</v>
      </c>
      <c r="D15372">
        <v>3000</v>
      </c>
    </row>
    <row r="15373" spans="1:4" x14ac:dyDescent="0.25">
      <c r="A15373" t="str">
        <f>T("   GH")</f>
        <v xml:space="preserve">   GH</v>
      </c>
      <c r="B15373" t="str">
        <f>T("   Ghana")</f>
        <v xml:space="preserve">   Ghana</v>
      </c>
      <c r="C15373">
        <v>5305734</v>
      </c>
      <c r="D15373">
        <v>17235</v>
      </c>
    </row>
    <row r="15374" spans="1:4" x14ac:dyDescent="0.25">
      <c r="A15374" t="str">
        <f>T("   IT")</f>
        <v xml:space="preserve">   IT</v>
      </c>
      <c r="B15374" t="str">
        <f>T("   Italie")</f>
        <v xml:space="preserve">   Italie</v>
      </c>
      <c r="C15374">
        <v>16560502</v>
      </c>
      <c r="D15374">
        <v>19627</v>
      </c>
    </row>
    <row r="15375" spans="1:4" x14ac:dyDescent="0.25">
      <c r="A15375" t="str">
        <f>T("   LB")</f>
        <v xml:space="preserve">   LB</v>
      </c>
      <c r="B15375" t="str">
        <f>T("   Liban")</f>
        <v xml:space="preserve">   Liban</v>
      </c>
      <c r="C15375">
        <v>2001941</v>
      </c>
      <c r="D15375">
        <v>2751</v>
      </c>
    </row>
    <row r="15376" spans="1:4" x14ac:dyDescent="0.25">
      <c r="A15376" t="str">
        <f>T("   NG")</f>
        <v xml:space="preserve">   NG</v>
      </c>
      <c r="B15376" t="str">
        <f>T("   Nigéria")</f>
        <v xml:space="preserve">   Nigéria</v>
      </c>
      <c r="C15376">
        <v>36306704</v>
      </c>
      <c r="D15376">
        <v>20485</v>
      </c>
    </row>
    <row r="15377" spans="1:4" x14ac:dyDescent="0.25">
      <c r="A15377" t="str">
        <f>T("   NL")</f>
        <v xml:space="preserve">   NL</v>
      </c>
      <c r="B15377" t="str">
        <f>T("   Pays-bas")</f>
        <v xml:space="preserve">   Pays-bas</v>
      </c>
      <c r="C15377">
        <v>2723432</v>
      </c>
      <c r="D15377">
        <v>8039.2</v>
      </c>
    </row>
    <row r="15378" spans="1:4" x14ac:dyDescent="0.25">
      <c r="A15378" t="str">
        <f>T("   SA")</f>
        <v xml:space="preserve">   SA</v>
      </c>
      <c r="B15378" t="str">
        <f>T("   Arabie Saoudite")</f>
        <v xml:space="preserve">   Arabie Saoudite</v>
      </c>
      <c r="C15378">
        <v>21491705</v>
      </c>
      <c r="D15378">
        <v>34996</v>
      </c>
    </row>
    <row r="15379" spans="1:4" x14ac:dyDescent="0.25">
      <c r="A15379" t="str">
        <f>T("   SG")</f>
        <v xml:space="preserve">   SG</v>
      </c>
      <c r="B15379" t="str">
        <f>T("   Singapour")</f>
        <v xml:space="preserve">   Singapour</v>
      </c>
      <c r="C15379">
        <v>43064</v>
      </c>
      <c r="D15379">
        <v>53</v>
      </c>
    </row>
    <row r="15380" spans="1:4" x14ac:dyDescent="0.25">
      <c r="A15380" t="str">
        <f>T("   SN")</f>
        <v xml:space="preserve">   SN</v>
      </c>
      <c r="B15380" t="str">
        <f>T("   Sénégal")</f>
        <v xml:space="preserve">   Sénégal</v>
      </c>
      <c r="C15380">
        <v>5300000</v>
      </c>
      <c r="D15380">
        <v>5930</v>
      </c>
    </row>
    <row r="15381" spans="1:4" x14ac:dyDescent="0.25">
      <c r="A15381" t="str">
        <f>T("   TG")</f>
        <v xml:space="preserve">   TG</v>
      </c>
      <c r="B15381" t="str">
        <f>T("   Togo")</f>
        <v xml:space="preserve">   Togo</v>
      </c>
      <c r="C15381">
        <v>17376305</v>
      </c>
      <c r="D15381">
        <v>73212</v>
      </c>
    </row>
    <row r="15382" spans="1:4" x14ac:dyDescent="0.25">
      <c r="A15382" t="str">
        <f>T("   TR")</f>
        <v xml:space="preserve">   TR</v>
      </c>
      <c r="B15382" t="str">
        <f>T("   Turquie")</f>
        <v xml:space="preserve">   Turquie</v>
      </c>
      <c r="C15382">
        <v>18219921</v>
      </c>
      <c r="D15382">
        <v>10019</v>
      </c>
    </row>
    <row r="15383" spans="1:4" x14ac:dyDescent="0.25">
      <c r="A15383" t="str">
        <f>T("   US")</f>
        <v xml:space="preserve">   US</v>
      </c>
      <c r="B15383" t="str">
        <f>T("   Etats-Unis")</f>
        <v xml:space="preserve">   Etats-Unis</v>
      </c>
      <c r="C15383">
        <v>8426232</v>
      </c>
      <c r="D15383">
        <v>14964</v>
      </c>
    </row>
    <row r="15384" spans="1:4" x14ac:dyDescent="0.25">
      <c r="A15384" t="str">
        <f>T("   ZA")</f>
        <v xml:space="preserve">   ZA</v>
      </c>
      <c r="B15384" t="str">
        <f>T("   Afrique du Sud")</f>
        <v xml:space="preserve">   Afrique du Sud</v>
      </c>
      <c r="C15384">
        <v>5000000</v>
      </c>
      <c r="D15384">
        <v>6000</v>
      </c>
    </row>
    <row r="15385" spans="1:4" x14ac:dyDescent="0.25">
      <c r="A15385" t="str">
        <f>T("940370")</f>
        <v>940370</v>
      </c>
      <c r="B15385" t="str">
        <f>T("Meubles en matières plastiques (autres que pour la médecine, l'art dentaire et vétérinaire, la chirurgie et autres que sièges)")</f>
        <v>Meubles en matières plastiques (autres que pour la médecine, l'art dentaire et vétérinaire, la chirurgie et autres que sièges)</v>
      </c>
    </row>
    <row r="15386" spans="1:4" x14ac:dyDescent="0.25">
      <c r="A15386" t="str">
        <f>T("   ZZZ_Monde")</f>
        <v xml:space="preserve">   ZZZ_Monde</v>
      </c>
      <c r="B15386" t="str">
        <f>T("   ZZZ_Monde")</f>
        <v xml:space="preserve">   ZZZ_Monde</v>
      </c>
      <c r="C15386">
        <v>148887305</v>
      </c>
      <c r="D15386">
        <v>286026</v>
      </c>
    </row>
    <row r="15387" spans="1:4" x14ac:dyDescent="0.25">
      <c r="A15387" t="str">
        <f>T("   AE")</f>
        <v xml:space="preserve">   AE</v>
      </c>
      <c r="B15387" t="str">
        <f>T("   Emirats Arabes Unis")</f>
        <v xml:space="preserve">   Emirats Arabes Unis</v>
      </c>
      <c r="C15387">
        <v>719025</v>
      </c>
      <c r="D15387">
        <v>1244</v>
      </c>
    </row>
    <row r="15388" spans="1:4" x14ac:dyDescent="0.25">
      <c r="A15388" t="str">
        <f>T("   BE")</f>
        <v xml:space="preserve">   BE</v>
      </c>
      <c r="B15388" t="str">
        <f>T("   Belgique")</f>
        <v xml:space="preserve">   Belgique</v>
      </c>
      <c r="C15388">
        <v>148247</v>
      </c>
      <c r="D15388">
        <v>4</v>
      </c>
    </row>
    <row r="15389" spans="1:4" x14ac:dyDescent="0.25">
      <c r="A15389" t="str">
        <f>T("   BR")</f>
        <v xml:space="preserve">   BR</v>
      </c>
      <c r="B15389" t="str">
        <f>T("   Brésil")</f>
        <v xml:space="preserve">   Brésil</v>
      </c>
      <c r="C15389">
        <v>421847</v>
      </c>
      <c r="D15389">
        <v>61</v>
      </c>
    </row>
    <row r="15390" spans="1:4" x14ac:dyDescent="0.25">
      <c r="A15390" t="str">
        <f>T("   CN")</f>
        <v xml:space="preserve">   CN</v>
      </c>
      <c r="B15390" t="str">
        <f>T("   Chine")</f>
        <v xml:space="preserve">   Chine</v>
      </c>
      <c r="C15390">
        <v>89498351</v>
      </c>
      <c r="D15390">
        <v>224208</v>
      </c>
    </row>
    <row r="15391" spans="1:4" x14ac:dyDescent="0.25">
      <c r="A15391" t="str">
        <f>T("   DE")</f>
        <v xml:space="preserve">   DE</v>
      </c>
      <c r="B15391" t="str">
        <f>T("   Allemagne")</f>
        <v xml:space="preserve">   Allemagne</v>
      </c>
      <c r="C15391">
        <v>100000</v>
      </c>
      <c r="D15391">
        <v>500</v>
      </c>
    </row>
    <row r="15392" spans="1:4" x14ac:dyDescent="0.25">
      <c r="A15392" t="str">
        <f>T("   ES")</f>
        <v xml:space="preserve">   ES</v>
      </c>
      <c r="B15392" t="str">
        <f>T("   Espagne")</f>
        <v xml:space="preserve">   Espagne</v>
      </c>
      <c r="C15392">
        <v>7283124</v>
      </c>
      <c r="D15392">
        <v>725</v>
      </c>
    </row>
    <row r="15393" spans="1:4" x14ac:dyDescent="0.25">
      <c r="A15393" t="str">
        <f>T("   FR")</f>
        <v xml:space="preserve">   FR</v>
      </c>
      <c r="B15393" t="str">
        <f>T("   France")</f>
        <v xml:space="preserve">   France</v>
      </c>
      <c r="C15393">
        <v>20162027</v>
      </c>
      <c r="D15393">
        <v>11360</v>
      </c>
    </row>
    <row r="15394" spans="1:4" x14ac:dyDescent="0.25">
      <c r="A15394" t="str">
        <f>T("   HK")</f>
        <v xml:space="preserve">   HK</v>
      </c>
      <c r="B15394" t="str">
        <f>T("   Hong-Kong")</f>
        <v xml:space="preserve">   Hong-Kong</v>
      </c>
      <c r="C15394">
        <v>8018141</v>
      </c>
      <c r="D15394">
        <v>6433</v>
      </c>
    </row>
    <row r="15395" spans="1:4" x14ac:dyDescent="0.25">
      <c r="A15395" t="str">
        <f>T("   NF")</f>
        <v xml:space="preserve">   NF</v>
      </c>
      <c r="B15395" t="str">
        <f>T("   Norfolk, île")</f>
        <v xml:space="preserve">   Norfolk, île</v>
      </c>
      <c r="C15395">
        <v>300000</v>
      </c>
      <c r="D15395">
        <v>300</v>
      </c>
    </row>
    <row r="15396" spans="1:4" x14ac:dyDescent="0.25">
      <c r="A15396" t="str">
        <f>T("   NG")</f>
        <v xml:space="preserve">   NG</v>
      </c>
      <c r="B15396" t="str">
        <f>T("   Nigéria")</f>
        <v xml:space="preserve">   Nigéria</v>
      </c>
      <c r="C15396">
        <v>16418083</v>
      </c>
      <c r="D15396">
        <v>32300</v>
      </c>
    </row>
    <row r="15397" spans="1:4" x14ac:dyDescent="0.25">
      <c r="A15397" t="str">
        <f>T("   PA")</f>
        <v xml:space="preserve">   PA</v>
      </c>
      <c r="B15397" t="str">
        <f>T("   Panama")</f>
        <v xml:space="preserve">   Panama</v>
      </c>
      <c r="C15397">
        <v>800994</v>
      </c>
      <c r="D15397">
        <v>1000</v>
      </c>
    </row>
    <row r="15398" spans="1:4" x14ac:dyDescent="0.25">
      <c r="A15398" t="str">
        <f>T("   SN")</f>
        <v xml:space="preserve">   SN</v>
      </c>
      <c r="B15398" t="str">
        <f>T("   Sénégal")</f>
        <v xml:space="preserve">   Sénégal</v>
      </c>
      <c r="C15398">
        <v>2500000</v>
      </c>
      <c r="D15398">
        <v>2070</v>
      </c>
    </row>
    <row r="15399" spans="1:4" x14ac:dyDescent="0.25">
      <c r="A15399" t="str">
        <f>T("   TG")</f>
        <v xml:space="preserve">   TG</v>
      </c>
      <c r="B15399" t="str">
        <f>T("   Togo")</f>
        <v xml:space="preserve">   Togo</v>
      </c>
      <c r="C15399">
        <v>2517466</v>
      </c>
      <c r="D15399">
        <v>5821</v>
      </c>
    </row>
    <row r="15400" spans="1:4" x14ac:dyDescent="0.25">
      <c r="A15400" t="str">
        <f>T("940380")</f>
        <v>940380</v>
      </c>
      <c r="B15400" t="str">
        <f>T("Meubles en rotin, osier, bambou ou autres matières (sauf métal, bois et matières plastiques)")</f>
        <v>Meubles en rotin, osier, bambou ou autres matières (sauf métal, bois et matières plastiques)</v>
      </c>
    </row>
    <row r="15401" spans="1:4" x14ac:dyDescent="0.25">
      <c r="A15401" t="str">
        <f>T("   ZZZ_Monde")</f>
        <v xml:space="preserve">   ZZZ_Monde</v>
      </c>
      <c r="B15401" t="str">
        <f>T("   ZZZ_Monde")</f>
        <v xml:space="preserve">   ZZZ_Monde</v>
      </c>
      <c r="C15401">
        <v>885516346</v>
      </c>
      <c r="D15401">
        <v>1771645.65</v>
      </c>
    </row>
    <row r="15402" spans="1:4" x14ac:dyDescent="0.25">
      <c r="A15402" t="str">
        <f>T("   AE")</f>
        <v xml:space="preserve">   AE</v>
      </c>
      <c r="B15402" t="str">
        <f>T("   Emirats Arabes Unis")</f>
        <v xml:space="preserve">   Emirats Arabes Unis</v>
      </c>
      <c r="C15402">
        <v>2705383</v>
      </c>
      <c r="D15402">
        <v>4787</v>
      </c>
    </row>
    <row r="15403" spans="1:4" x14ac:dyDescent="0.25">
      <c r="A15403" t="str">
        <f>T("   BE")</f>
        <v xml:space="preserve">   BE</v>
      </c>
      <c r="B15403" t="str">
        <f>T("   Belgique")</f>
        <v xml:space="preserve">   Belgique</v>
      </c>
      <c r="C15403">
        <v>25838547</v>
      </c>
      <c r="D15403">
        <v>46890</v>
      </c>
    </row>
    <row r="15404" spans="1:4" x14ac:dyDescent="0.25">
      <c r="A15404" t="str">
        <f>T("   BW")</f>
        <v xml:space="preserve">   BW</v>
      </c>
      <c r="B15404" t="str">
        <f>T("   Botswana")</f>
        <v xml:space="preserve">   Botswana</v>
      </c>
      <c r="C15404">
        <v>800000</v>
      </c>
      <c r="D15404">
        <v>11829</v>
      </c>
    </row>
    <row r="15405" spans="1:4" x14ac:dyDescent="0.25">
      <c r="A15405" t="str">
        <f>T("   CA")</f>
        <v xml:space="preserve">   CA</v>
      </c>
      <c r="B15405" t="str">
        <f>T("   Canada")</f>
        <v xml:space="preserve">   Canada</v>
      </c>
      <c r="C15405">
        <v>775000</v>
      </c>
      <c r="D15405">
        <v>4211</v>
      </c>
    </row>
    <row r="15406" spans="1:4" x14ac:dyDescent="0.25">
      <c r="A15406" t="str">
        <f>T("   CH")</f>
        <v xml:space="preserve">   CH</v>
      </c>
      <c r="B15406" t="str">
        <f>T("   Suisse")</f>
        <v xml:space="preserve">   Suisse</v>
      </c>
      <c r="C15406">
        <v>2500000</v>
      </c>
      <c r="D15406">
        <v>4500</v>
      </c>
    </row>
    <row r="15407" spans="1:4" x14ac:dyDescent="0.25">
      <c r="A15407" t="str">
        <f>T("   CI")</f>
        <v xml:space="preserve">   CI</v>
      </c>
      <c r="B15407" t="str">
        <f>T("   Côte d'Ivoire")</f>
        <v xml:space="preserve">   Côte d'Ivoire</v>
      </c>
      <c r="C15407">
        <v>131192</v>
      </c>
      <c r="D15407">
        <v>200</v>
      </c>
    </row>
    <row r="15408" spans="1:4" x14ac:dyDescent="0.25">
      <c r="A15408" t="str">
        <f>T("   CN")</f>
        <v xml:space="preserve">   CN</v>
      </c>
      <c r="B15408" t="str">
        <f>T("   Chine")</f>
        <v xml:space="preserve">   Chine</v>
      </c>
      <c r="C15408">
        <v>573913220</v>
      </c>
      <c r="D15408">
        <v>1336854.6499999999</v>
      </c>
    </row>
    <row r="15409" spans="1:4" x14ac:dyDescent="0.25">
      <c r="A15409" t="str">
        <f>T("   DE")</f>
        <v xml:space="preserve">   DE</v>
      </c>
      <c r="B15409" t="str">
        <f>T("   Allemagne")</f>
        <v xml:space="preserve">   Allemagne</v>
      </c>
      <c r="C15409">
        <v>23404686</v>
      </c>
      <c r="D15409">
        <v>32237</v>
      </c>
    </row>
    <row r="15410" spans="1:4" x14ac:dyDescent="0.25">
      <c r="A15410" t="str">
        <f>T("   ES")</f>
        <v xml:space="preserve">   ES</v>
      </c>
      <c r="B15410" t="str">
        <f>T("   Espagne")</f>
        <v xml:space="preserve">   Espagne</v>
      </c>
      <c r="C15410">
        <v>993209</v>
      </c>
      <c r="D15410">
        <v>5394</v>
      </c>
    </row>
    <row r="15411" spans="1:4" x14ac:dyDescent="0.25">
      <c r="A15411" t="str">
        <f>T("   FR")</f>
        <v xml:space="preserve">   FR</v>
      </c>
      <c r="B15411" t="str">
        <f>T("   France")</f>
        <v xml:space="preserve">   France</v>
      </c>
      <c r="C15411">
        <v>142227922</v>
      </c>
      <c r="D15411">
        <v>131692</v>
      </c>
    </row>
    <row r="15412" spans="1:4" x14ac:dyDescent="0.25">
      <c r="A15412" t="str">
        <f>T("   GA")</f>
        <v xml:space="preserve">   GA</v>
      </c>
      <c r="B15412" t="str">
        <f>T("   Gabon")</f>
        <v xml:space="preserve">   Gabon</v>
      </c>
      <c r="C15412">
        <v>3020500</v>
      </c>
      <c r="D15412">
        <v>4400</v>
      </c>
    </row>
    <row r="15413" spans="1:4" x14ac:dyDescent="0.25">
      <c r="A15413" t="str">
        <f>T("   GB")</f>
        <v xml:space="preserve">   GB</v>
      </c>
      <c r="B15413" t="str">
        <f>T("   Royaume-Uni")</f>
        <v xml:space="preserve">   Royaume-Uni</v>
      </c>
      <c r="C15413">
        <v>4576215</v>
      </c>
      <c r="D15413">
        <v>21878</v>
      </c>
    </row>
    <row r="15414" spans="1:4" x14ac:dyDescent="0.25">
      <c r="A15414" t="str">
        <f>T("   GH")</f>
        <v xml:space="preserve">   GH</v>
      </c>
      <c r="B15414" t="str">
        <f>T("   Ghana")</f>
        <v xml:space="preserve">   Ghana</v>
      </c>
      <c r="C15414">
        <v>1000000</v>
      </c>
      <c r="D15414">
        <v>4120</v>
      </c>
    </row>
    <row r="15415" spans="1:4" x14ac:dyDescent="0.25">
      <c r="A15415" t="str">
        <f>T("   HK")</f>
        <v xml:space="preserve">   HK</v>
      </c>
      <c r="B15415" t="str">
        <f>T("   Hong-Kong")</f>
        <v xml:space="preserve">   Hong-Kong</v>
      </c>
      <c r="C15415">
        <v>16859523</v>
      </c>
      <c r="D15415">
        <v>28477</v>
      </c>
    </row>
    <row r="15416" spans="1:4" x14ac:dyDescent="0.25">
      <c r="A15416" t="str">
        <f>T("   IR")</f>
        <v xml:space="preserve">   IR</v>
      </c>
      <c r="B15416" t="str">
        <f>T("   Iran, République Islqmique d'")</f>
        <v xml:space="preserve">   Iran, République Islqmique d'</v>
      </c>
      <c r="C15416">
        <v>1143318</v>
      </c>
      <c r="D15416">
        <v>1277</v>
      </c>
    </row>
    <row r="15417" spans="1:4" x14ac:dyDescent="0.25">
      <c r="A15417" t="str">
        <f>T("   IS")</f>
        <v xml:space="preserve">   IS</v>
      </c>
      <c r="B15417" t="str">
        <f>T("   Islande")</f>
        <v xml:space="preserve">   Islande</v>
      </c>
      <c r="C15417">
        <v>50000</v>
      </c>
      <c r="D15417">
        <v>1200</v>
      </c>
    </row>
    <row r="15418" spans="1:4" x14ac:dyDescent="0.25">
      <c r="A15418" t="str">
        <f>T("   IT")</f>
        <v xml:space="preserve">   IT</v>
      </c>
      <c r="B15418" t="str">
        <f>T("   Italie")</f>
        <v xml:space="preserve">   Italie</v>
      </c>
      <c r="C15418">
        <v>48240625</v>
      </c>
      <c r="D15418">
        <v>31916</v>
      </c>
    </row>
    <row r="15419" spans="1:4" x14ac:dyDescent="0.25">
      <c r="A15419" t="str">
        <f>T("   KW")</f>
        <v xml:space="preserve">   KW</v>
      </c>
      <c r="B15419" t="str">
        <f>T("   Koweit")</f>
        <v xml:space="preserve">   Koweit</v>
      </c>
      <c r="C15419">
        <v>319714</v>
      </c>
      <c r="D15419">
        <v>3400</v>
      </c>
    </row>
    <row r="15420" spans="1:4" x14ac:dyDescent="0.25">
      <c r="A15420" t="str">
        <f>T("   LB")</f>
        <v xml:space="preserve">   LB</v>
      </c>
      <c r="B15420" t="str">
        <f>T("   Liban")</f>
        <v xml:space="preserve">   Liban</v>
      </c>
      <c r="C15420">
        <v>2615333</v>
      </c>
      <c r="D15420">
        <v>4339</v>
      </c>
    </row>
    <row r="15421" spans="1:4" x14ac:dyDescent="0.25">
      <c r="A15421" t="str">
        <f>T("   MG")</f>
        <v xml:space="preserve">   MG</v>
      </c>
      <c r="B15421" t="str">
        <f>T("   Madagascar")</f>
        <v xml:space="preserve">   Madagascar</v>
      </c>
      <c r="C15421">
        <v>544447</v>
      </c>
      <c r="D15421">
        <v>1000</v>
      </c>
    </row>
    <row r="15422" spans="1:4" x14ac:dyDescent="0.25">
      <c r="A15422" t="str">
        <f>T("   MR")</f>
        <v xml:space="preserve">   MR</v>
      </c>
      <c r="B15422" t="str">
        <f>T("   Mauritanie")</f>
        <v xml:space="preserve">   Mauritanie</v>
      </c>
      <c r="C15422">
        <v>364714</v>
      </c>
      <c r="D15422">
        <v>367</v>
      </c>
    </row>
    <row r="15423" spans="1:4" x14ac:dyDescent="0.25">
      <c r="A15423" t="str">
        <f>T("   NL")</f>
        <v xml:space="preserve">   NL</v>
      </c>
      <c r="B15423" t="str">
        <f>T("   Pays-bas")</f>
        <v xml:space="preserve">   Pays-bas</v>
      </c>
      <c r="C15423">
        <v>2546022</v>
      </c>
      <c r="D15423">
        <v>3820</v>
      </c>
    </row>
    <row r="15424" spans="1:4" x14ac:dyDescent="0.25">
      <c r="A15424" t="str">
        <f>T("   NO")</f>
        <v xml:space="preserve">   NO</v>
      </c>
      <c r="B15424" t="str">
        <f>T("   Norvège")</f>
        <v xml:space="preserve">   Norvège</v>
      </c>
      <c r="C15424">
        <v>100000</v>
      </c>
      <c r="D15424">
        <v>2000</v>
      </c>
    </row>
    <row r="15425" spans="1:4" x14ac:dyDescent="0.25">
      <c r="A15425" t="str">
        <f>T("   PK")</f>
        <v xml:space="preserve">   PK</v>
      </c>
      <c r="B15425" t="str">
        <f>T("   Pakistan")</f>
        <v xml:space="preserve">   Pakistan</v>
      </c>
      <c r="C15425">
        <v>7566555</v>
      </c>
      <c r="D15425">
        <v>7000</v>
      </c>
    </row>
    <row r="15426" spans="1:4" x14ac:dyDescent="0.25">
      <c r="A15426" t="str">
        <f>T("   SA")</f>
        <v xml:space="preserve">   SA</v>
      </c>
      <c r="B15426" t="str">
        <f>T("   Arabie Saoudite")</f>
        <v xml:space="preserve">   Arabie Saoudite</v>
      </c>
      <c r="C15426">
        <v>225651</v>
      </c>
      <c r="D15426">
        <v>1018</v>
      </c>
    </row>
    <row r="15427" spans="1:4" x14ac:dyDescent="0.25">
      <c r="A15427" t="str">
        <f>T("   SG")</f>
        <v xml:space="preserve">   SG</v>
      </c>
      <c r="B15427" t="str">
        <f>T("   Singapour")</f>
        <v xml:space="preserve">   Singapour</v>
      </c>
      <c r="C15427">
        <v>470265</v>
      </c>
      <c r="D15427">
        <v>3452</v>
      </c>
    </row>
    <row r="15428" spans="1:4" x14ac:dyDescent="0.25">
      <c r="A15428" t="str">
        <f>T("   SN")</f>
        <v xml:space="preserve">   SN</v>
      </c>
      <c r="B15428" t="str">
        <f>T("   Sénégal")</f>
        <v xml:space="preserve">   Sénégal</v>
      </c>
      <c r="C15428">
        <v>3115709</v>
      </c>
      <c r="D15428">
        <v>5915</v>
      </c>
    </row>
    <row r="15429" spans="1:4" x14ac:dyDescent="0.25">
      <c r="A15429" t="str">
        <f>T("   TG")</f>
        <v xml:space="preserve">   TG</v>
      </c>
      <c r="B15429" t="str">
        <f>T("   Togo")</f>
        <v xml:space="preserve">   Togo</v>
      </c>
      <c r="C15429">
        <v>4000000</v>
      </c>
      <c r="D15429">
        <v>11040</v>
      </c>
    </row>
    <row r="15430" spans="1:4" x14ac:dyDescent="0.25">
      <c r="A15430" t="str">
        <f>T("   TH")</f>
        <v xml:space="preserve">   TH</v>
      </c>
      <c r="B15430" t="str">
        <f>T("   Thaïlande")</f>
        <v xml:space="preserve">   Thaïlande</v>
      </c>
      <c r="C15430">
        <v>1413977</v>
      </c>
      <c r="D15430">
        <v>1000</v>
      </c>
    </row>
    <row r="15431" spans="1:4" x14ac:dyDescent="0.25">
      <c r="A15431" t="str">
        <f>T("   US")</f>
        <v xml:space="preserve">   US</v>
      </c>
      <c r="B15431" t="str">
        <f>T("   Etats-Unis")</f>
        <v xml:space="preserve">   Etats-Unis</v>
      </c>
      <c r="C15431">
        <v>14054619</v>
      </c>
      <c r="D15431">
        <v>55432</v>
      </c>
    </row>
    <row r="15432" spans="1:4" x14ac:dyDescent="0.25">
      <c r="A15432" t="str">
        <f>T("940390")</f>
        <v>940390</v>
      </c>
      <c r="B15432" t="str">
        <f>T("PARTIES DE MEUBLES, N.D.A. (AUTRES QUE DE SIÈGES ET MOBILIER POUR LA MÉDECINE, L'ART DENTAIRE ET VÉTÉRINAIRE OU LA CHIRURGIE)")</f>
        <v>PARTIES DE MEUBLES, N.D.A. (AUTRES QUE DE SIÈGES ET MOBILIER POUR LA MÉDECINE, L'ART DENTAIRE ET VÉTÉRINAIRE OU LA CHIRURGIE)</v>
      </c>
    </row>
    <row r="15433" spans="1:4" x14ac:dyDescent="0.25">
      <c r="A15433" t="str">
        <f>T("   ZZZ_Monde")</f>
        <v xml:space="preserve">   ZZZ_Monde</v>
      </c>
      <c r="B15433" t="str">
        <f>T("   ZZZ_Monde")</f>
        <v xml:space="preserve">   ZZZ_Monde</v>
      </c>
      <c r="C15433">
        <v>31223615</v>
      </c>
      <c r="D15433">
        <v>37094</v>
      </c>
    </row>
    <row r="15434" spans="1:4" x14ac:dyDescent="0.25">
      <c r="A15434" t="str">
        <f>T("   CN")</f>
        <v xml:space="preserve">   CN</v>
      </c>
      <c r="B15434" t="str">
        <f>T("   Chine")</f>
        <v xml:space="preserve">   Chine</v>
      </c>
      <c r="C15434">
        <v>14482007</v>
      </c>
      <c r="D15434">
        <v>13932</v>
      </c>
    </row>
    <row r="15435" spans="1:4" x14ac:dyDescent="0.25">
      <c r="A15435" t="str">
        <f>T("   ES")</f>
        <v xml:space="preserve">   ES</v>
      </c>
      <c r="B15435" t="str">
        <f>T("   Espagne")</f>
        <v xml:space="preserve">   Espagne</v>
      </c>
      <c r="C15435">
        <v>554287</v>
      </c>
      <c r="D15435">
        <v>81</v>
      </c>
    </row>
    <row r="15436" spans="1:4" x14ac:dyDescent="0.25">
      <c r="A15436" t="str">
        <f>T("   FR")</f>
        <v xml:space="preserve">   FR</v>
      </c>
      <c r="B15436" t="str">
        <f>T("   France")</f>
        <v xml:space="preserve">   France</v>
      </c>
      <c r="C15436">
        <v>6421349</v>
      </c>
      <c r="D15436">
        <v>3677</v>
      </c>
    </row>
    <row r="15437" spans="1:4" x14ac:dyDescent="0.25">
      <c r="A15437" t="str">
        <f>T("   HK")</f>
        <v xml:space="preserve">   HK</v>
      </c>
      <c r="B15437" t="str">
        <f>T("   Hong-Kong")</f>
        <v xml:space="preserve">   Hong-Kong</v>
      </c>
      <c r="C15437">
        <v>34422</v>
      </c>
      <c r="D15437">
        <v>41</v>
      </c>
    </row>
    <row r="15438" spans="1:4" x14ac:dyDescent="0.25">
      <c r="A15438" t="str">
        <f>T("   IT")</f>
        <v xml:space="preserve">   IT</v>
      </c>
      <c r="B15438" t="str">
        <f>T("   Italie")</f>
        <v xml:space="preserve">   Italie</v>
      </c>
      <c r="C15438">
        <v>3601775</v>
      </c>
      <c r="D15438">
        <v>1567</v>
      </c>
    </row>
    <row r="15439" spans="1:4" x14ac:dyDescent="0.25">
      <c r="A15439" t="str">
        <f>T("   LB")</f>
        <v xml:space="preserve">   LB</v>
      </c>
      <c r="B15439" t="str">
        <f>T("   Liban")</f>
        <v xml:space="preserve">   Liban</v>
      </c>
      <c r="C15439">
        <v>156268</v>
      </c>
      <c r="D15439">
        <v>325</v>
      </c>
    </row>
    <row r="15440" spans="1:4" x14ac:dyDescent="0.25">
      <c r="A15440" t="str">
        <f>T("   NG")</f>
        <v xml:space="preserve">   NG</v>
      </c>
      <c r="B15440" t="str">
        <f>T("   Nigéria")</f>
        <v xml:space="preserve">   Nigéria</v>
      </c>
      <c r="C15440">
        <v>3105603</v>
      </c>
      <c r="D15440">
        <v>7960</v>
      </c>
    </row>
    <row r="15441" spans="1:4" x14ac:dyDescent="0.25">
      <c r="A15441" t="str">
        <f>T("   TG")</f>
        <v xml:space="preserve">   TG</v>
      </c>
      <c r="B15441" t="str">
        <f>T("   Togo")</f>
        <v xml:space="preserve">   Togo</v>
      </c>
      <c r="C15441">
        <v>43635</v>
      </c>
      <c r="D15441">
        <v>400</v>
      </c>
    </row>
    <row r="15442" spans="1:4" x14ac:dyDescent="0.25">
      <c r="A15442" t="str">
        <f>T("   TR")</f>
        <v xml:space="preserve">   TR</v>
      </c>
      <c r="B15442" t="str">
        <f>T("   Turquie")</f>
        <v xml:space="preserve">   Turquie</v>
      </c>
      <c r="C15442">
        <v>539269</v>
      </c>
      <c r="D15442">
        <v>400</v>
      </c>
    </row>
    <row r="15443" spans="1:4" x14ac:dyDescent="0.25">
      <c r="A15443" t="str">
        <f>T("   US")</f>
        <v xml:space="preserve">   US</v>
      </c>
      <c r="B15443" t="str">
        <f>T("   Etats-Unis")</f>
        <v xml:space="preserve">   Etats-Unis</v>
      </c>
      <c r="C15443">
        <v>2285000</v>
      </c>
      <c r="D15443">
        <v>8711</v>
      </c>
    </row>
    <row r="15444" spans="1:4" x14ac:dyDescent="0.25">
      <c r="A15444" t="str">
        <f>T("940410")</f>
        <v>940410</v>
      </c>
      <c r="B15444" t="str">
        <f>T("Sommiers (sauf ressorts pour sièges)")</f>
        <v>Sommiers (sauf ressorts pour sièges)</v>
      </c>
    </row>
    <row r="15445" spans="1:4" x14ac:dyDescent="0.25">
      <c r="A15445" t="str">
        <f>T("   ZZZ_Monde")</f>
        <v xml:space="preserve">   ZZZ_Monde</v>
      </c>
      <c r="B15445" t="str">
        <f>T("   ZZZ_Monde")</f>
        <v xml:space="preserve">   ZZZ_Monde</v>
      </c>
      <c r="C15445">
        <v>6371228</v>
      </c>
      <c r="D15445">
        <v>7900</v>
      </c>
    </row>
    <row r="15446" spans="1:4" x14ac:dyDescent="0.25">
      <c r="A15446" t="str">
        <f>T("   CN")</f>
        <v xml:space="preserve">   CN</v>
      </c>
      <c r="B15446" t="str">
        <f>T("   Chine")</f>
        <v xml:space="preserve">   Chine</v>
      </c>
      <c r="C15446">
        <v>2881196</v>
      </c>
      <c r="D15446">
        <v>3347</v>
      </c>
    </row>
    <row r="15447" spans="1:4" x14ac:dyDescent="0.25">
      <c r="A15447" t="str">
        <f>T("   DE")</f>
        <v xml:space="preserve">   DE</v>
      </c>
      <c r="B15447" t="str">
        <f>T("   Allemagne")</f>
        <v xml:space="preserve">   Allemagne</v>
      </c>
      <c r="C15447">
        <v>160000</v>
      </c>
      <c r="D15447">
        <v>186</v>
      </c>
    </row>
    <row r="15448" spans="1:4" x14ac:dyDescent="0.25">
      <c r="A15448" t="str">
        <f>T("   FR")</f>
        <v xml:space="preserve">   FR</v>
      </c>
      <c r="B15448" t="str">
        <f>T("   France")</f>
        <v xml:space="preserve">   France</v>
      </c>
      <c r="C15448">
        <v>342391</v>
      </c>
      <c r="D15448">
        <v>82</v>
      </c>
    </row>
    <row r="15449" spans="1:4" x14ac:dyDescent="0.25">
      <c r="A15449" t="str">
        <f>T("   GB")</f>
        <v xml:space="preserve">   GB</v>
      </c>
      <c r="B15449" t="str">
        <f>T("   Royaume-Uni")</f>
        <v xml:space="preserve">   Royaume-Uni</v>
      </c>
      <c r="C15449">
        <v>145772</v>
      </c>
      <c r="D15449">
        <v>900</v>
      </c>
    </row>
    <row r="15450" spans="1:4" x14ac:dyDescent="0.25">
      <c r="A15450" t="str">
        <f>T("   IT")</f>
        <v xml:space="preserve">   IT</v>
      </c>
      <c r="B15450" t="str">
        <f>T("   Italie")</f>
        <v xml:space="preserve">   Italie</v>
      </c>
      <c r="C15450">
        <v>366026</v>
      </c>
      <c r="D15450">
        <v>1300</v>
      </c>
    </row>
    <row r="15451" spans="1:4" x14ac:dyDescent="0.25">
      <c r="A15451" t="str">
        <f>T("   NG")</f>
        <v xml:space="preserve">   NG</v>
      </c>
      <c r="B15451" t="str">
        <f>T("   Nigéria")</f>
        <v xml:space="preserve">   Nigéria</v>
      </c>
      <c r="C15451">
        <v>2475843</v>
      </c>
      <c r="D15451">
        <v>2085</v>
      </c>
    </row>
    <row r="15452" spans="1:4" x14ac:dyDescent="0.25">
      <c r="A15452" t="str">
        <f>T("940421")</f>
        <v>940421</v>
      </c>
      <c r="B15452" t="str">
        <f>T("Matelas en caoutchouc alvéolaire ou en matières plastiques alvéolaires")</f>
        <v>Matelas en caoutchouc alvéolaire ou en matières plastiques alvéolaires</v>
      </c>
    </row>
    <row r="15453" spans="1:4" x14ac:dyDescent="0.25">
      <c r="A15453" t="str">
        <f>T("   ZZZ_Monde")</f>
        <v xml:space="preserve">   ZZZ_Monde</v>
      </c>
      <c r="B15453" t="str">
        <f>T("   ZZZ_Monde")</f>
        <v xml:space="preserve">   ZZZ_Monde</v>
      </c>
      <c r="C15453">
        <v>5763927</v>
      </c>
      <c r="D15453">
        <v>6946</v>
      </c>
    </row>
    <row r="15454" spans="1:4" x14ac:dyDescent="0.25">
      <c r="A15454" t="str">
        <f>T("   CN")</f>
        <v xml:space="preserve">   CN</v>
      </c>
      <c r="B15454" t="str">
        <f>T("   Chine")</f>
        <v xml:space="preserve">   Chine</v>
      </c>
      <c r="C15454">
        <v>377325</v>
      </c>
      <c r="D15454">
        <v>446</v>
      </c>
    </row>
    <row r="15455" spans="1:4" x14ac:dyDescent="0.25">
      <c r="A15455" t="str">
        <f>T("   GH")</f>
        <v xml:space="preserve">   GH</v>
      </c>
      <c r="B15455" t="str">
        <f>T("   Ghana")</f>
        <v xml:space="preserve">   Ghana</v>
      </c>
      <c r="C15455">
        <v>3350000</v>
      </c>
      <c r="D15455">
        <v>2000</v>
      </c>
    </row>
    <row r="15456" spans="1:4" x14ac:dyDescent="0.25">
      <c r="A15456" t="str">
        <f>T("   TG")</f>
        <v xml:space="preserve">   TG</v>
      </c>
      <c r="B15456" t="str">
        <f>T("   Togo")</f>
        <v xml:space="preserve">   Togo</v>
      </c>
      <c r="C15456">
        <v>1397175</v>
      </c>
      <c r="D15456">
        <v>2800</v>
      </c>
    </row>
    <row r="15457" spans="1:4" x14ac:dyDescent="0.25">
      <c r="A15457" t="str">
        <f>T("   US")</f>
        <v xml:space="preserve">   US</v>
      </c>
      <c r="B15457" t="str">
        <f>T("   Etats-Unis")</f>
        <v xml:space="preserve">   Etats-Unis</v>
      </c>
      <c r="C15457">
        <v>639427</v>
      </c>
      <c r="D15457">
        <v>1700</v>
      </c>
    </row>
    <row r="15458" spans="1:4" x14ac:dyDescent="0.25">
      <c r="A15458" t="str">
        <f>T("940429")</f>
        <v>940429</v>
      </c>
      <c r="B15458" t="str">
        <f>T("Matelas à ressorts ou rembourrés, ou garnis intérieurement de matières autres que le caoutchouc alvéolaire ou les matières plastiques alvéolaires (sauf matelas à eau, matelas pneumatiques et oreillers)")</f>
        <v>Matelas à ressorts ou rembourrés, ou garnis intérieurement de matières autres que le caoutchouc alvéolaire ou les matières plastiques alvéolaires (sauf matelas à eau, matelas pneumatiques et oreillers)</v>
      </c>
    </row>
    <row r="15459" spans="1:4" x14ac:dyDescent="0.25">
      <c r="A15459" t="str">
        <f>T("   ZZZ_Monde")</f>
        <v xml:space="preserve">   ZZZ_Monde</v>
      </c>
      <c r="B15459" t="str">
        <f>T("   ZZZ_Monde")</f>
        <v xml:space="preserve">   ZZZ_Monde</v>
      </c>
      <c r="C15459">
        <v>30875692</v>
      </c>
      <c r="D15459">
        <v>52819</v>
      </c>
    </row>
    <row r="15460" spans="1:4" x14ac:dyDescent="0.25">
      <c r="A15460" t="str">
        <f>T("   AE")</f>
        <v xml:space="preserve">   AE</v>
      </c>
      <c r="B15460" t="str">
        <f>T("   Emirats Arabes Unis")</f>
        <v xml:space="preserve">   Emirats Arabes Unis</v>
      </c>
      <c r="C15460">
        <v>2039002</v>
      </c>
      <c r="D15460">
        <v>5085</v>
      </c>
    </row>
    <row r="15461" spans="1:4" x14ac:dyDescent="0.25">
      <c r="A15461" t="str">
        <f>T("   BE")</f>
        <v xml:space="preserve">   BE</v>
      </c>
      <c r="B15461" t="str">
        <f>T("   Belgique")</f>
        <v xml:space="preserve">   Belgique</v>
      </c>
      <c r="C15461">
        <v>4681997</v>
      </c>
      <c r="D15461">
        <v>9290</v>
      </c>
    </row>
    <row r="15462" spans="1:4" x14ac:dyDescent="0.25">
      <c r="A15462" t="str">
        <f>T("   CA")</f>
        <v xml:space="preserve">   CA</v>
      </c>
      <c r="B15462" t="str">
        <f>T("   Canada")</f>
        <v xml:space="preserve">   Canada</v>
      </c>
      <c r="C15462">
        <v>24000</v>
      </c>
      <c r="D15462">
        <v>75</v>
      </c>
    </row>
    <row r="15463" spans="1:4" x14ac:dyDescent="0.25">
      <c r="A15463" t="str">
        <f>T("   CN")</f>
        <v xml:space="preserve">   CN</v>
      </c>
      <c r="B15463" t="str">
        <f>T("   Chine")</f>
        <v xml:space="preserve">   Chine</v>
      </c>
      <c r="C15463">
        <v>4988240</v>
      </c>
      <c r="D15463">
        <v>8979</v>
      </c>
    </row>
    <row r="15464" spans="1:4" x14ac:dyDescent="0.25">
      <c r="A15464" t="str">
        <f>T("   DE")</f>
        <v xml:space="preserve">   DE</v>
      </c>
      <c r="B15464" t="str">
        <f>T("   Allemagne")</f>
        <v xml:space="preserve">   Allemagne</v>
      </c>
      <c r="C15464">
        <v>4701755</v>
      </c>
      <c r="D15464">
        <v>3438</v>
      </c>
    </row>
    <row r="15465" spans="1:4" x14ac:dyDescent="0.25">
      <c r="A15465" t="str">
        <f>T("   ES")</f>
        <v xml:space="preserve">   ES</v>
      </c>
      <c r="B15465" t="str">
        <f>T("   Espagne")</f>
        <v xml:space="preserve">   Espagne</v>
      </c>
      <c r="C15465">
        <v>718276</v>
      </c>
      <c r="D15465">
        <v>4968</v>
      </c>
    </row>
    <row r="15466" spans="1:4" x14ac:dyDescent="0.25">
      <c r="A15466" t="str">
        <f>T("   FR")</f>
        <v xml:space="preserve">   FR</v>
      </c>
      <c r="B15466" t="str">
        <f>T("   France")</f>
        <v xml:space="preserve">   France</v>
      </c>
      <c r="C15466">
        <v>2115925</v>
      </c>
      <c r="D15466">
        <v>2135</v>
      </c>
    </row>
    <row r="15467" spans="1:4" x14ac:dyDescent="0.25">
      <c r="A15467" t="str">
        <f>T("   IT")</f>
        <v xml:space="preserve">   IT</v>
      </c>
      <c r="B15467" t="str">
        <f>T("   Italie")</f>
        <v xml:space="preserve">   Italie</v>
      </c>
      <c r="C15467">
        <v>5786627</v>
      </c>
      <c r="D15467">
        <v>7076</v>
      </c>
    </row>
    <row r="15468" spans="1:4" x14ac:dyDescent="0.25">
      <c r="A15468" t="str">
        <f>T("   MR")</f>
        <v xml:space="preserve">   MR</v>
      </c>
      <c r="B15468" t="str">
        <f>T("   Mauritanie")</f>
        <v xml:space="preserve">   Mauritanie</v>
      </c>
      <c r="C15468">
        <v>79371</v>
      </c>
      <c r="D15468">
        <v>79</v>
      </c>
    </row>
    <row r="15469" spans="1:4" x14ac:dyDescent="0.25">
      <c r="A15469" t="str">
        <f>T("   NG")</f>
        <v xml:space="preserve">   NG</v>
      </c>
      <c r="B15469" t="str">
        <f>T("   Nigéria")</f>
        <v xml:space="preserve">   Nigéria</v>
      </c>
      <c r="C15469">
        <v>301500</v>
      </c>
      <c r="D15469">
        <v>365</v>
      </c>
    </row>
    <row r="15470" spans="1:4" x14ac:dyDescent="0.25">
      <c r="A15470" t="str">
        <f>T("   SA")</f>
        <v xml:space="preserve">   SA</v>
      </c>
      <c r="B15470" t="str">
        <f>T("   Arabie Saoudite")</f>
        <v xml:space="preserve">   Arabie Saoudite</v>
      </c>
      <c r="C15470">
        <v>2083467</v>
      </c>
      <c r="D15470">
        <v>1400</v>
      </c>
    </row>
    <row r="15471" spans="1:4" x14ac:dyDescent="0.25">
      <c r="A15471" t="str">
        <f>T("   TG")</f>
        <v xml:space="preserve">   TG</v>
      </c>
      <c r="B15471" t="str">
        <f>T("   Togo")</f>
        <v xml:space="preserve">   Togo</v>
      </c>
      <c r="C15471">
        <v>1882564</v>
      </c>
      <c r="D15471">
        <v>6684</v>
      </c>
    </row>
    <row r="15472" spans="1:4" x14ac:dyDescent="0.25">
      <c r="A15472" t="str">
        <f>T("   US")</f>
        <v xml:space="preserve">   US</v>
      </c>
      <c r="B15472" t="str">
        <f>T("   Etats-Unis")</f>
        <v xml:space="preserve">   Etats-Unis</v>
      </c>
      <c r="C15472">
        <v>1472968</v>
      </c>
      <c r="D15472">
        <v>3245</v>
      </c>
    </row>
    <row r="15473" spans="1:4" x14ac:dyDescent="0.25">
      <c r="A15473" t="str">
        <f>T("940490")</f>
        <v>940490</v>
      </c>
      <c r="B15473" t="str">
        <f>T("Articles de literie et simil., garnis de plumes, rembourrés, garnis de matières de toutes sortes, y.c. caoutchouc alvéolaire ou matières plastiques alvéolaires (sauf sommiers, matelas, sacs de couchage, matelas à eau, matelas pneumatiques et oreillers, ai")</f>
        <v>Articles de literie et simil., garnis de plumes, rembourrés, garnis de matières de toutes sortes, y.c. caoutchouc alvéolaire ou matières plastiques alvéolaires (sauf sommiers, matelas, sacs de couchage, matelas à eau, matelas pneumatiques et oreillers, ai</v>
      </c>
    </row>
    <row r="15474" spans="1:4" x14ac:dyDescent="0.25">
      <c r="A15474" t="str">
        <f>T("   ZZZ_Monde")</f>
        <v xml:space="preserve">   ZZZ_Monde</v>
      </c>
      <c r="B15474" t="str">
        <f>T("   ZZZ_Monde")</f>
        <v xml:space="preserve">   ZZZ_Monde</v>
      </c>
      <c r="C15474">
        <v>79640412</v>
      </c>
      <c r="D15474">
        <v>97131.95</v>
      </c>
    </row>
    <row r="15475" spans="1:4" x14ac:dyDescent="0.25">
      <c r="A15475" t="str">
        <f>T("   AE")</f>
        <v xml:space="preserve">   AE</v>
      </c>
      <c r="B15475" t="str">
        <f>T("   Emirats Arabes Unis")</f>
        <v xml:space="preserve">   Emirats Arabes Unis</v>
      </c>
      <c r="C15475">
        <v>555302</v>
      </c>
      <c r="D15475">
        <v>1084</v>
      </c>
    </row>
    <row r="15476" spans="1:4" x14ac:dyDescent="0.25">
      <c r="A15476" t="str">
        <f>T("   BE")</f>
        <v xml:space="preserve">   BE</v>
      </c>
      <c r="B15476" t="str">
        <f>T("   Belgique")</f>
        <v xml:space="preserve">   Belgique</v>
      </c>
      <c r="C15476">
        <v>2688125</v>
      </c>
      <c r="D15476">
        <v>1762</v>
      </c>
    </row>
    <row r="15477" spans="1:4" x14ac:dyDescent="0.25">
      <c r="A15477" t="str">
        <f>T("   CA")</f>
        <v xml:space="preserve">   CA</v>
      </c>
      <c r="B15477" t="str">
        <f>T("   Canada")</f>
        <v xml:space="preserve">   Canada</v>
      </c>
      <c r="C15477">
        <v>150000</v>
      </c>
      <c r="D15477">
        <v>500</v>
      </c>
    </row>
    <row r="15478" spans="1:4" x14ac:dyDescent="0.25">
      <c r="A15478" t="str">
        <f>T("   CN")</f>
        <v xml:space="preserve">   CN</v>
      </c>
      <c r="B15478" t="str">
        <f>T("   Chine")</f>
        <v xml:space="preserve">   Chine</v>
      </c>
      <c r="C15478">
        <v>13321950</v>
      </c>
      <c r="D15478">
        <v>17717.95</v>
      </c>
    </row>
    <row r="15479" spans="1:4" x14ac:dyDescent="0.25">
      <c r="A15479" t="str">
        <f>T("   ES")</f>
        <v xml:space="preserve">   ES</v>
      </c>
      <c r="B15479" t="str">
        <f>T("   Espagne")</f>
        <v xml:space="preserve">   Espagne</v>
      </c>
      <c r="C15479">
        <v>262384</v>
      </c>
      <c r="D15479">
        <v>150</v>
      </c>
    </row>
    <row r="15480" spans="1:4" x14ac:dyDescent="0.25">
      <c r="A15480" t="str">
        <f>T("   FR")</f>
        <v xml:space="preserve">   FR</v>
      </c>
      <c r="B15480" t="str">
        <f>T("   France")</f>
        <v xml:space="preserve">   France</v>
      </c>
      <c r="C15480">
        <v>33497445</v>
      </c>
      <c r="D15480">
        <v>45352</v>
      </c>
    </row>
    <row r="15481" spans="1:4" x14ac:dyDescent="0.25">
      <c r="A15481" t="str">
        <f>T("   GB")</f>
        <v xml:space="preserve">   GB</v>
      </c>
      <c r="B15481" t="str">
        <f>T("   Royaume-Uni")</f>
        <v xml:space="preserve">   Royaume-Uni</v>
      </c>
      <c r="C15481">
        <v>506813</v>
      </c>
      <c r="D15481">
        <v>1719</v>
      </c>
    </row>
    <row r="15482" spans="1:4" x14ac:dyDescent="0.25">
      <c r="A15482" t="str">
        <f>T("   GH")</f>
        <v xml:space="preserve">   GH</v>
      </c>
      <c r="B15482" t="str">
        <f>T("   Ghana")</f>
        <v xml:space="preserve">   Ghana</v>
      </c>
      <c r="C15482">
        <v>2513812</v>
      </c>
      <c r="D15482">
        <v>5320</v>
      </c>
    </row>
    <row r="15483" spans="1:4" x14ac:dyDescent="0.25">
      <c r="A15483" t="str">
        <f>T("   IN")</f>
        <v xml:space="preserve">   IN</v>
      </c>
      <c r="B15483" t="str">
        <f>T("   Inde")</f>
        <v xml:space="preserve">   Inde</v>
      </c>
      <c r="C15483">
        <v>721578</v>
      </c>
      <c r="D15483">
        <v>940</v>
      </c>
    </row>
    <row r="15484" spans="1:4" x14ac:dyDescent="0.25">
      <c r="A15484" t="str">
        <f>T("   IT")</f>
        <v xml:space="preserve">   IT</v>
      </c>
      <c r="B15484" t="str">
        <f>T("   Italie")</f>
        <v xml:space="preserve">   Italie</v>
      </c>
      <c r="C15484">
        <v>4215443</v>
      </c>
      <c r="D15484">
        <v>8270</v>
      </c>
    </row>
    <row r="15485" spans="1:4" x14ac:dyDescent="0.25">
      <c r="A15485" t="str">
        <f>T("   LB")</f>
        <v xml:space="preserve">   LB</v>
      </c>
      <c r="B15485" t="str">
        <f>T("   Liban")</f>
        <v xml:space="preserve">   Liban</v>
      </c>
      <c r="C15485">
        <v>2231658</v>
      </c>
      <c r="D15485">
        <v>3112</v>
      </c>
    </row>
    <row r="15486" spans="1:4" x14ac:dyDescent="0.25">
      <c r="A15486" t="str">
        <f>T("   NG")</f>
        <v xml:space="preserve">   NG</v>
      </c>
      <c r="B15486" t="str">
        <f>T("   Nigéria")</f>
        <v xml:space="preserve">   Nigéria</v>
      </c>
      <c r="C15486">
        <v>14521054</v>
      </c>
      <c r="D15486">
        <v>2620</v>
      </c>
    </row>
    <row r="15487" spans="1:4" x14ac:dyDescent="0.25">
      <c r="A15487" t="str">
        <f>T("   SN")</f>
        <v xml:space="preserve">   SN</v>
      </c>
      <c r="B15487" t="str">
        <f>T("   Sénégal")</f>
        <v xml:space="preserve">   Sénégal</v>
      </c>
      <c r="C15487">
        <v>200000</v>
      </c>
      <c r="D15487">
        <v>320</v>
      </c>
    </row>
    <row r="15488" spans="1:4" x14ac:dyDescent="0.25">
      <c r="A15488" t="str">
        <f>T("   SY")</f>
        <v xml:space="preserve">   SY</v>
      </c>
      <c r="B15488" t="str">
        <f>T("   Syrienne, République arabe")</f>
        <v xml:space="preserve">   Syrienne, République arabe</v>
      </c>
      <c r="C15488">
        <v>484623</v>
      </c>
      <c r="D15488">
        <v>1440</v>
      </c>
    </row>
    <row r="15489" spans="1:4" x14ac:dyDescent="0.25">
      <c r="A15489" t="str">
        <f>T("   TG")</f>
        <v xml:space="preserve">   TG</v>
      </c>
      <c r="B15489" t="str">
        <f>T("   Togo")</f>
        <v xml:space="preserve">   Togo</v>
      </c>
      <c r="C15489">
        <v>3217250</v>
      </c>
      <c r="D15489">
        <v>5705</v>
      </c>
    </row>
    <row r="15490" spans="1:4" x14ac:dyDescent="0.25">
      <c r="A15490" t="str">
        <f>T("   TR")</f>
        <v xml:space="preserve">   TR</v>
      </c>
      <c r="B15490" t="str">
        <f>T("   Turquie")</f>
        <v xml:space="preserve">   Turquie</v>
      </c>
      <c r="C15490">
        <v>327980</v>
      </c>
      <c r="D15490">
        <v>1000</v>
      </c>
    </row>
    <row r="15491" spans="1:4" x14ac:dyDescent="0.25">
      <c r="A15491" t="str">
        <f>T("   US")</f>
        <v xml:space="preserve">   US</v>
      </c>
      <c r="B15491" t="str">
        <f>T("   Etats-Unis")</f>
        <v xml:space="preserve">   Etats-Unis</v>
      </c>
      <c r="C15491">
        <v>224995</v>
      </c>
      <c r="D15491">
        <v>120</v>
      </c>
    </row>
    <row r="15492" spans="1:4" x14ac:dyDescent="0.25">
      <c r="A15492" t="str">
        <f>T("940510")</f>
        <v>940510</v>
      </c>
      <c r="B15492" t="str">
        <f>T("Lustres et autres appareils d'éclairage électrique à suspendre ou à fixer au plafond ou au mur (sauf pour l'éclairage des espaces et voies publiques)")</f>
        <v>Lustres et autres appareils d'éclairage électrique à suspendre ou à fixer au plafond ou au mur (sauf pour l'éclairage des espaces et voies publiques)</v>
      </c>
    </row>
    <row r="15493" spans="1:4" x14ac:dyDescent="0.25">
      <c r="A15493" t="str">
        <f>T("   ZZZ_Monde")</f>
        <v xml:space="preserve">   ZZZ_Monde</v>
      </c>
      <c r="B15493" t="str">
        <f>T("   ZZZ_Monde")</f>
        <v xml:space="preserve">   ZZZ_Monde</v>
      </c>
      <c r="C15493">
        <v>172390636</v>
      </c>
      <c r="D15493">
        <v>98339.47</v>
      </c>
    </row>
    <row r="15494" spans="1:4" x14ac:dyDescent="0.25">
      <c r="A15494" t="str">
        <f>T("   BE")</f>
        <v xml:space="preserve">   BE</v>
      </c>
      <c r="B15494" t="str">
        <f>T("   Belgique")</f>
        <v xml:space="preserve">   Belgique</v>
      </c>
      <c r="C15494">
        <v>18636479</v>
      </c>
      <c r="D15494">
        <v>2961</v>
      </c>
    </row>
    <row r="15495" spans="1:4" x14ac:dyDescent="0.25">
      <c r="A15495" t="str">
        <f>T("   CN")</f>
        <v xml:space="preserve">   CN</v>
      </c>
      <c r="B15495" t="str">
        <f>T("   Chine")</f>
        <v xml:space="preserve">   Chine</v>
      </c>
      <c r="C15495">
        <v>67442143</v>
      </c>
      <c r="D15495">
        <v>60678.47</v>
      </c>
    </row>
    <row r="15496" spans="1:4" x14ac:dyDescent="0.25">
      <c r="A15496" t="str">
        <f>T("   ES")</f>
        <v xml:space="preserve">   ES</v>
      </c>
      <c r="B15496" t="str">
        <f>T("   Espagne")</f>
        <v xml:space="preserve">   Espagne</v>
      </c>
      <c r="C15496">
        <v>280095</v>
      </c>
      <c r="D15496">
        <v>720</v>
      </c>
    </row>
    <row r="15497" spans="1:4" x14ac:dyDescent="0.25">
      <c r="A15497" t="str">
        <f>T("   FR")</f>
        <v xml:space="preserve">   FR</v>
      </c>
      <c r="B15497" t="str">
        <f>T("   France")</f>
        <v xml:space="preserve">   France</v>
      </c>
      <c r="C15497">
        <v>68888963</v>
      </c>
      <c r="D15497">
        <v>11595</v>
      </c>
    </row>
    <row r="15498" spans="1:4" x14ac:dyDescent="0.25">
      <c r="A15498" t="str">
        <f>T("   GB")</f>
        <v xml:space="preserve">   GB</v>
      </c>
      <c r="B15498" t="str">
        <f>T("   Royaume-Uni")</f>
        <v xml:space="preserve">   Royaume-Uni</v>
      </c>
      <c r="C15498">
        <v>358096</v>
      </c>
      <c r="D15498">
        <v>1471</v>
      </c>
    </row>
    <row r="15499" spans="1:4" x14ac:dyDescent="0.25">
      <c r="A15499" t="str">
        <f>T("   HK")</f>
        <v xml:space="preserve">   HK</v>
      </c>
      <c r="B15499" t="str">
        <f>T("   Hong-Kong")</f>
        <v xml:space="preserve">   Hong-Kong</v>
      </c>
      <c r="C15499">
        <v>46976</v>
      </c>
      <c r="D15499">
        <v>364</v>
      </c>
    </row>
    <row r="15500" spans="1:4" x14ac:dyDescent="0.25">
      <c r="A15500" t="str">
        <f>T("   LB")</f>
        <v xml:space="preserve">   LB</v>
      </c>
      <c r="B15500" t="str">
        <f>T("   Liban")</f>
        <v xml:space="preserve">   Liban</v>
      </c>
      <c r="C15500">
        <v>147640</v>
      </c>
      <c r="D15500">
        <v>1274</v>
      </c>
    </row>
    <row r="15501" spans="1:4" x14ac:dyDescent="0.25">
      <c r="A15501" t="str">
        <f>T("   MA")</f>
        <v xml:space="preserve">   MA</v>
      </c>
      <c r="B15501" t="str">
        <f>T("   Maroc")</f>
        <v xml:space="preserve">   Maroc</v>
      </c>
      <c r="C15501">
        <v>12202168</v>
      </c>
      <c r="D15501">
        <v>12742</v>
      </c>
    </row>
    <row r="15502" spans="1:4" x14ac:dyDescent="0.25">
      <c r="A15502" t="str">
        <f>T("   SG")</f>
        <v xml:space="preserve">   SG</v>
      </c>
      <c r="B15502" t="str">
        <f>T("   Singapour")</f>
        <v xml:space="preserve">   Singapour</v>
      </c>
      <c r="C15502">
        <v>1291848</v>
      </c>
      <c r="D15502">
        <v>500</v>
      </c>
    </row>
    <row r="15503" spans="1:4" x14ac:dyDescent="0.25">
      <c r="A15503" t="str">
        <f>T("   TG")</f>
        <v xml:space="preserve">   TG</v>
      </c>
      <c r="B15503" t="str">
        <f>T("   Togo")</f>
        <v xml:space="preserve">   Togo</v>
      </c>
      <c r="C15503">
        <v>261482</v>
      </c>
      <c r="D15503">
        <v>1650</v>
      </c>
    </row>
    <row r="15504" spans="1:4" x14ac:dyDescent="0.25">
      <c r="A15504" t="str">
        <f>T("   TH")</f>
        <v xml:space="preserve">   TH</v>
      </c>
      <c r="B15504" t="str">
        <f>T("   Thaïlande")</f>
        <v xml:space="preserve">   Thaïlande</v>
      </c>
      <c r="C15504">
        <v>2834746</v>
      </c>
      <c r="D15504">
        <v>4384</v>
      </c>
    </row>
    <row r="15505" spans="1:4" x14ac:dyDescent="0.25">
      <c r="A15505" t="str">
        <f>T("940520")</f>
        <v>940520</v>
      </c>
      <c r="B15505" t="str">
        <f>T("Lampes de chevet, lampes de bureau et lampadaires d'intérieur, électriques")</f>
        <v>Lampes de chevet, lampes de bureau et lampadaires d'intérieur, électriques</v>
      </c>
    </row>
    <row r="15506" spans="1:4" x14ac:dyDescent="0.25">
      <c r="A15506" t="str">
        <f>T("   ZZZ_Monde")</f>
        <v xml:space="preserve">   ZZZ_Monde</v>
      </c>
      <c r="B15506" t="str">
        <f>T("   ZZZ_Monde")</f>
        <v xml:space="preserve">   ZZZ_Monde</v>
      </c>
      <c r="C15506">
        <v>18286818</v>
      </c>
      <c r="D15506">
        <v>9216</v>
      </c>
    </row>
    <row r="15507" spans="1:4" x14ac:dyDescent="0.25">
      <c r="A15507" t="str">
        <f>T("   AE")</f>
        <v xml:space="preserve">   AE</v>
      </c>
      <c r="B15507" t="str">
        <f>T("   Emirats Arabes Unis")</f>
        <v xml:space="preserve">   Emirats Arabes Unis</v>
      </c>
      <c r="C15507">
        <v>642808</v>
      </c>
      <c r="D15507">
        <v>331</v>
      </c>
    </row>
    <row r="15508" spans="1:4" x14ac:dyDescent="0.25">
      <c r="A15508" t="str">
        <f>T("   BE")</f>
        <v xml:space="preserve">   BE</v>
      </c>
      <c r="B15508" t="str">
        <f>T("   Belgique")</f>
        <v xml:space="preserve">   Belgique</v>
      </c>
      <c r="C15508">
        <v>120041</v>
      </c>
      <c r="D15508">
        <v>19</v>
      </c>
    </row>
    <row r="15509" spans="1:4" x14ac:dyDescent="0.25">
      <c r="A15509" t="str">
        <f>T("   CN")</f>
        <v xml:space="preserve">   CN</v>
      </c>
      <c r="B15509" t="str">
        <f>T("   Chine")</f>
        <v xml:space="preserve">   Chine</v>
      </c>
      <c r="C15509">
        <v>857082</v>
      </c>
      <c r="D15509">
        <v>1124</v>
      </c>
    </row>
    <row r="15510" spans="1:4" x14ac:dyDescent="0.25">
      <c r="A15510" t="str">
        <f>T("   FR")</f>
        <v xml:space="preserve">   FR</v>
      </c>
      <c r="B15510" t="str">
        <f>T("   France")</f>
        <v xml:space="preserve">   France</v>
      </c>
      <c r="C15510">
        <v>13174957</v>
      </c>
      <c r="D15510">
        <v>1932</v>
      </c>
    </row>
    <row r="15511" spans="1:4" x14ac:dyDescent="0.25">
      <c r="A15511" t="str">
        <f>T("   LB")</f>
        <v xml:space="preserve">   LB</v>
      </c>
      <c r="B15511" t="str">
        <f>T("   Liban")</f>
        <v xml:space="preserve">   Liban</v>
      </c>
      <c r="C15511">
        <v>1348125</v>
      </c>
      <c r="D15511">
        <v>1625</v>
      </c>
    </row>
    <row r="15512" spans="1:4" x14ac:dyDescent="0.25">
      <c r="A15512" t="str">
        <f>T("   TG")</f>
        <v xml:space="preserve">   TG</v>
      </c>
      <c r="B15512" t="str">
        <f>T("   Togo")</f>
        <v xml:space="preserve">   Togo</v>
      </c>
      <c r="C15512">
        <v>2000000</v>
      </c>
      <c r="D15512">
        <v>4100</v>
      </c>
    </row>
    <row r="15513" spans="1:4" x14ac:dyDescent="0.25">
      <c r="A15513" t="str">
        <f>T("   US")</f>
        <v xml:space="preserve">   US</v>
      </c>
      <c r="B15513" t="str">
        <f>T("   Etats-Unis")</f>
        <v xml:space="preserve">   Etats-Unis</v>
      </c>
      <c r="C15513">
        <v>143805</v>
      </c>
      <c r="D15513">
        <v>85</v>
      </c>
    </row>
    <row r="15514" spans="1:4" x14ac:dyDescent="0.25">
      <c r="A15514" t="str">
        <f>T("940530")</f>
        <v>940530</v>
      </c>
      <c r="B15514" t="str">
        <f>T("GUIRLANDES ÉLECTRIQUES POUR ARBRES DE NOÙL")</f>
        <v>GUIRLANDES ÉLECTRIQUES POUR ARBRES DE NOÙL</v>
      </c>
    </row>
    <row r="15515" spans="1:4" x14ac:dyDescent="0.25">
      <c r="A15515" t="str">
        <f>T("   ZZZ_Monde")</f>
        <v xml:space="preserve">   ZZZ_Monde</v>
      </c>
      <c r="B15515" t="str">
        <f>T("   ZZZ_Monde")</f>
        <v xml:space="preserve">   ZZZ_Monde</v>
      </c>
      <c r="C15515">
        <v>15502990</v>
      </c>
      <c r="D15515">
        <v>62724</v>
      </c>
    </row>
    <row r="15516" spans="1:4" x14ac:dyDescent="0.25">
      <c r="A15516" t="str">
        <f>T("   CN")</f>
        <v xml:space="preserve">   CN</v>
      </c>
      <c r="B15516" t="str">
        <f>T("   Chine")</f>
        <v xml:space="preserve">   Chine</v>
      </c>
      <c r="C15516">
        <v>15412990</v>
      </c>
      <c r="D15516">
        <v>62634</v>
      </c>
    </row>
    <row r="15517" spans="1:4" x14ac:dyDescent="0.25">
      <c r="A15517" t="str">
        <f>T("   NG")</f>
        <v xml:space="preserve">   NG</v>
      </c>
      <c r="B15517" t="str">
        <f>T("   Nigéria")</f>
        <v xml:space="preserve">   Nigéria</v>
      </c>
      <c r="C15517">
        <v>90000</v>
      </c>
      <c r="D15517">
        <v>90</v>
      </c>
    </row>
    <row r="15518" spans="1:4" x14ac:dyDescent="0.25">
      <c r="A15518" t="str">
        <f>T("940540")</f>
        <v>940540</v>
      </c>
      <c r="B15518" t="str">
        <f>T("Appareils d'éclairage électrique, n.d.a.")</f>
        <v>Appareils d'éclairage électrique, n.d.a.</v>
      </c>
    </row>
    <row r="15519" spans="1:4" x14ac:dyDescent="0.25">
      <c r="A15519" t="str">
        <f>T("   ZZZ_Monde")</f>
        <v xml:space="preserve">   ZZZ_Monde</v>
      </c>
      <c r="B15519" t="str">
        <f>T("   ZZZ_Monde")</f>
        <v xml:space="preserve">   ZZZ_Monde</v>
      </c>
      <c r="C15519">
        <v>183326323</v>
      </c>
      <c r="D15519">
        <v>171908</v>
      </c>
    </row>
    <row r="15520" spans="1:4" x14ac:dyDescent="0.25">
      <c r="A15520" t="str">
        <f>T("   AE")</f>
        <v xml:space="preserve">   AE</v>
      </c>
      <c r="B15520" t="str">
        <f>T("   Emirats Arabes Unis")</f>
        <v xml:space="preserve">   Emirats Arabes Unis</v>
      </c>
      <c r="C15520">
        <v>655413</v>
      </c>
      <c r="D15520">
        <v>1500</v>
      </c>
    </row>
    <row r="15521" spans="1:4" x14ac:dyDescent="0.25">
      <c r="A15521" t="str">
        <f>T("   AT")</f>
        <v xml:space="preserve">   AT</v>
      </c>
      <c r="B15521" t="str">
        <f>T("   Autriche")</f>
        <v xml:space="preserve">   Autriche</v>
      </c>
      <c r="C15521">
        <v>7199161</v>
      </c>
      <c r="D15521">
        <v>280</v>
      </c>
    </row>
    <row r="15522" spans="1:4" x14ac:dyDescent="0.25">
      <c r="A15522" t="str">
        <f>T("   CN")</f>
        <v xml:space="preserve">   CN</v>
      </c>
      <c r="B15522" t="str">
        <f>T("   Chine")</f>
        <v xml:space="preserve">   Chine</v>
      </c>
      <c r="C15522">
        <v>21392927</v>
      </c>
      <c r="D15522">
        <v>87452</v>
      </c>
    </row>
    <row r="15523" spans="1:4" x14ac:dyDescent="0.25">
      <c r="A15523" t="str">
        <f>T("   DE")</f>
        <v xml:space="preserve">   DE</v>
      </c>
      <c r="B15523" t="str">
        <f>T("   Allemagne")</f>
        <v xml:space="preserve">   Allemagne</v>
      </c>
      <c r="C15523">
        <v>1252355</v>
      </c>
      <c r="D15523">
        <v>414</v>
      </c>
    </row>
    <row r="15524" spans="1:4" x14ac:dyDescent="0.25">
      <c r="A15524" t="str">
        <f>T("   FR")</f>
        <v xml:space="preserve">   FR</v>
      </c>
      <c r="B15524" t="str">
        <f>T("   France")</f>
        <v xml:space="preserve">   France</v>
      </c>
      <c r="C15524">
        <v>55522009</v>
      </c>
      <c r="D15524">
        <v>11686</v>
      </c>
    </row>
    <row r="15525" spans="1:4" x14ac:dyDescent="0.25">
      <c r="A15525" t="str">
        <f>T("   GB")</f>
        <v xml:space="preserve">   GB</v>
      </c>
      <c r="B15525" t="str">
        <f>T("   Royaume-Uni")</f>
        <v xml:space="preserve">   Royaume-Uni</v>
      </c>
      <c r="C15525">
        <v>1579265</v>
      </c>
      <c r="D15525">
        <v>2700</v>
      </c>
    </row>
    <row r="15526" spans="1:4" x14ac:dyDescent="0.25">
      <c r="A15526" t="str">
        <f>T("   GH")</f>
        <v xml:space="preserve">   GH</v>
      </c>
      <c r="B15526" t="str">
        <f>T("   Ghana")</f>
        <v xml:space="preserve">   Ghana</v>
      </c>
      <c r="C15526">
        <v>29499</v>
      </c>
      <c r="D15526">
        <v>140</v>
      </c>
    </row>
    <row r="15527" spans="1:4" x14ac:dyDescent="0.25">
      <c r="A15527" t="str">
        <f>T("   HK")</f>
        <v xml:space="preserve">   HK</v>
      </c>
      <c r="B15527" t="str">
        <f>T("   Hong-Kong")</f>
        <v xml:space="preserve">   Hong-Kong</v>
      </c>
      <c r="C15527">
        <v>1551177</v>
      </c>
      <c r="D15527">
        <v>1560</v>
      </c>
    </row>
    <row r="15528" spans="1:4" x14ac:dyDescent="0.25">
      <c r="A15528" t="str">
        <f>T("   IT")</f>
        <v xml:space="preserve">   IT</v>
      </c>
      <c r="B15528" t="str">
        <f>T("   Italie")</f>
        <v xml:space="preserve">   Italie</v>
      </c>
      <c r="C15528">
        <v>33225206</v>
      </c>
      <c r="D15528">
        <v>5382</v>
      </c>
    </row>
    <row r="15529" spans="1:4" x14ac:dyDescent="0.25">
      <c r="A15529" t="str">
        <f>T("   LB")</f>
        <v xml:space="preserve">   LB</v>
      </c>
      <c r="B15529" t="str">
        <f>T("   Liban")</f>
        <v xml:space="preserve">   Liban</v>
      </c>
      <c r="C15529">
        <v>154528</v>
      </c>
      <c r="D15529">
        <v>50</v>
      </c>
    </row>
    <row r="15530" spans="1:4" x14ac:dyDescent="0.25">
      <c r="A15530" t="str">
        <f>T("   MA")</f>
        <v xml:space="preserve">   MA</v>
      </c>
      <c r="B15530" t="str">
        <f>T("   Maroc")</f>
        <v xml:space="preserve">   Maroc</v>
      </c>
      <c r="C15530">
        <v>38130955</v>
      </c>
      <c r="D15530">
        <v>32649</v>
      </c>
    </row>
    <row r="15531" spans="1:4" x14ac:dyDescent="0.25">
      <c r="A15531" t="str">
        <f>T("   NG")</f>
        <v xml:space="preserve">   NG</v>
      </c>
      <c r="B15531" t="str">
        <f>T("   Nigéria")</f>
        <v xml:space="preserve">   Nigéria</v>
      </c>
      <c r="C15531">
        <v>22215750</v>
      </c>
      <c r="D15531">
        <v>26320</v>
      </c>
    </row>
    <row r="15532" spans="1:4" x14ac:dyDescent="0.25">
      <c r="A15532" t="str">
        <f>T("   NL")</f>
        <v xml:space="preserve">   NL</v>
      </c>
      <c r="B15532" t="str">
        <f>T("   Pays-bas")</f>
        <v xml:space="preserve">   Pays-bas</v>
      </c>
      <c r="C15532">
        <v>100000</v>
      </c>
      <c r="D15532">
        <v>35</v>
      </c>
    </row>
    <row r="15533" spans="1:4" x14ac:dyDescent="0.25">
      <c r="A15533" t="str">
        <f>T("   TG")</f>
        <v xml:space="preserve">   TG</v>
      </c>
      <c r="B15533" t="str">
        <f>T("   Togo")</f>
        <v xml:space="preserve">   Togo</v>
      </c>
      <c r="C15533">
        <v>318078</v>
      </c>
      <c r="D15533">
        <v>1740</v>
      </c>
    </row>
    <row r="15534" spans="1:4" x14ac:dyDescent="0.25">
      <c r="A15534" t="str">
        <f>T("940550")</f>
        <v>940550</v>
      </c>
      <c r="B15534" t="str">
        <f>T("Appareils d'éclairage non-électriques, n.d.a.")</f>
        <v>Appareils d'éclairage non-électriques, n.d.a.</v>
      </c>
    </row>
    <row r="15535" spans="1:4" x14ac:dyDescent="0.25">
      <c r="A15535" t="str">
        <f>T("   ZZZ_Monde")</f>
        <v xml:space="preserve">   ZZZ_Monde</v>
      </c>
      <c r="B15535" t="str">
        <f>T("   ZZZ_Monde")</f>
        <v xml:space="preserve">   ZZZ_Monde</v>
      </c>
      <c r="C15535">
        <v>4480036</v>
      </c>
      <c r="D15535">
        <v>4677</v>
      </c>
    </row>
    <row r="15536" spans="1:4" x14ac:dyDescent="0.25">
      <c r="A15536" t="str">
        <f>T("   CN")</f>
        <v xml:space="preserve">   CN</v>
      </c>
      <c r="B15536" t="str">
        <f>T("   Chine")</f>
        <v xml:space="preserve">   Chine</v>
      </c>
      <c r="C15536">
        <v>1768173</v>
      </c>
      <c r="D15536">
        <v>2960</v>
      </c>
    </row>
    <row r="15537" spans="1:4" x14ac:dyDescent="0.25">
      <c r="A15537" t="str">
        <f>T("   FR")</f>
        <v xml:space="preserve">   FR</v>
      </c>
      <c r="B15537" t="str">
        <f>T("   France")</f>
        <v xml:space="preserve">   France</v>
      </c>
      <c r="C15537">
        <v>1125863</v>
      </c>
      <c r="D15537">
        <v>247</v>
      </c>
    </row>
    <row r="15538" spans="1:4" x14ac:dyDescent="0.25">
      <c r="A15538" t="str">
        <f>T("   NG")</f>
        <v xml:space="preserve">   NG</v>
      </c>
      <c r="B15538" t="str">
        <f>T("   Nigéria")</f>
        <v xml:space="preserve">   Nigéria</v>
      </c>
      <c r="C15538">
        <v>1586000</v>
      </c>
      <c r="D15538">
        <v>1470</v>
      </c>
    </row>
    <row r="15539" spans="1:4" x14ac:dyDescent="0.25">
      <c r="A15539" t="str">
        <f>T("940560")</f>
        <v>940560</v>
      </c>
      <c r="B15539" t="str">
        <f>T("Lampes-réclames, enseignes lumineuses, plaques indicatrices lumineuses et articles simil., possédant une source d'éclairage fixée à demeure")</f>
        <v>Lampes-réclames, enseignes lumineuses, plaques indicatrices lumineuses et articles simil., possédant une source d'éclairage fixée à demeure</v>
      </c>
    </row>
    <row r="15540" spans="1:4" x14ac:dyDescent="0.25">
      <c r="A15540" t="str">
        <f>T("   ZZZ_Monde")</f>
        <v xml:space="preserve">   ZZZ_Monde</v>
      </c>
      <c r="B15540" t="str">
        <f>T("   ZZZ_Monde")</f>
        <v xml:space="preserve">   ZZZ_Monde</v>
      </c>
      <c r="C15540">
        <v>82613903</v>
      </c>
      <c r="D15540">
        <v>24032</v>
      </c>
    </row>
    <row r="15541" spans="1:4" x14ac:dyDescent="0.25">
      <c r="A15541" t="str">
        <f>T("   BE")</f>
        <v xml:space="preserve">   BE</v>
      </c>
      <c r="B15541" t="str">
        <f>T("   Belgique")</f>
        <v xml:space="preserve">   Belgique</v>
      </c>
      <c r="C15541">
        <v>5351758</v>
      </c>
      <c r="D15541">
        <v>1594</v>
      </c>
    </row>
    <row r="15542" spans="1:4" x14ac:dyDescent="0.25">
      <c r="A15542" t="str">
        <f>T("   BG")</f>
        <v xml:space="preserve">   BG</v>
      </c>
      <c r="B15542" t="str">
        <f>T("   Bulgarie")</f>
        <v xml:space="preserve">   Bulgarie</v>
      </c>
      <c r="C15542">
        <v>29858</v>
      </c>
      <c r="D15542">
        <v>19</v>
      </c>
    </row>
    <row r="15543" spans="1:4" x14ac:dyDescent="0.25">
      <c r="A15543" t="str">
        <f>T("   CH")</f>
        <v xml:space="preserve">   CH</v>
      </c>
      <c r="B15543" t="str">
        <f>T("   Suisse")</f>
        <v xml:space="preserve">   Suisse</v>
      </c>
      <c r="C15543">
        <v>9897321</v>
      </c>
      <c r="D15543">
        <v>795</v>
      </c>
    </row>
    <row r="15544" spans="1:4" x14ac:dyDescent="0.25">
      <c r="A15544" t="str">
        <f>T("   CN")</f>
        <v xml:space="preserve">   CN</v>
      </c>
      <c r="B15544" t="str">
        <f>T("   Chine")</f>
        <v xml:space="preserve">   Chine</v>
      </c>
      <c r="C15544">
        <v>8207924</v>
      </c>
      <c r="D15544">
        <v>8870</v>
      </c>
    </row>
    <row r="15545" spans="1:4" x14ac:dyDescent="0.25">
      <c r="A15545" t="str">
        <f>T("   FR")</f>
        <v xml:space="preserve">   FR</v>
      </c>
      <c r="B15545" t="str">
        <f>T("   France")</f>
        <v xml:space="preserve">   France</v>
      </c>
      <c r="C15545">
        <v>18057404</v>
      </c>
      <c r="D15545">
        <v>1730</v>
      </c>
    </row>
    <row r="15546" spans="1:4" x14ac:dyDescent="0.25">
      <c r="A15546" t="str">
        <f>T("   LB")</f>
        <v xml:space="preserve">   LB</v>
      </c>
      <c r="B15546" t="str">
        <f>T("   Liban")</f>
        <v xml:space="preserve">   Liban</v>
      </c>
      <c r="C15546">
        <v>655271</v>
      </c>
      <c r="D15546">
        <v>735</v>
      </c>
    </row>
    <row r="15547" spans="1:4" x14ac:dyDescent="0.25">
      <c r="A15547" t="str">
        <f>T("   NG")</f>
        <v xml:space="preserve">   NG</v>
      </c>
      <c r="B15547" t="str">
        <f>T("   Nigéria")</f>
        <v xml:space="preserve">   Nigéria</v>
      </c>
      <c r="C15547">
        <v>745600</v>
      </c>
      <c r="D15547">
        <v>1000</v>
      </c>
    </row>
    <row r="15548" spans="1:4" x14ac:dyDescent="0.25">
      <c r="A15548" t="str">
        <f>T("   NL")</f>
        <v xml:space="preserve">   NL</v>
      </c>
      <c r="B15548" t="str">
        <f>T("   Pays-bas")</f>
        <v xml:space="preserve">   Pays-bas</v>
      </c>
      <c r="C15548">
        <v>27974274</v>
      </c>
      <c r="D15548">
        <v>2294</v>
      </c>
    </row>
    <row r="15549" spans="1:4" x14ac:dyDescent="0.25">
      <c r="A15549" t="str">
        <f>T("   SN")</f>
        <v xml:space="preserve">   SN</v>
      </c>
      <c r="B15549" t="str">
        <f>T("   Sénégal")</f>
        <v xml:space="preserve">   Sénégal</v>
      </c>
      <c r="C15549">
        <v>11500000</v>
      </c>
      <c r="D15549">
        <v>6875</v>
      </c>
    </row>
    <row r="15550" spans="1:4" x14ac:dyDescent="0.25">
      <c r="A15550" t="str">
        <f>T("   TG")</f>
        <v xml:space="preserve">   TG</v>
      </c>
      <c r="B15550" t="str">
        <f>T("   Togo")</f>
        <v xml:space="preserve">   Togo</v>
      </c>
      <c r="C15550">
        <v>194493</v>
      </c>
      <c r="D15550">
        <v>120</v>
      </c>
    </row>
    <row r="15551" spans="1:4" x14ac:dyDescent="0.25">
      <c r="A15551" t="str">
        <f>T("940591")</f>
        <v>940591</v>
      </c>
      <c r="B15551" t="str">
        <f>T("Parties en verres d'appareils d'éclairage, de lampes-réclames, d'enseignes lumineuses, de plaques indicatrices lumineuses, et simil., n.d.a.")</f>
        <v>Parties en verres d'appareils d'éclairage, de lampes-réclames, d'enseignes lumineuses, de plaques indicatrices lumineuses, et simil., n.d.a.</v>
      </c>
    </row>
    <row r="15552" spans="1:4" x14ac:dyDescent="0.25">
      <c r="A15552" t="str">
        <f>T("   ZZZ_Monde")</f>
        <v xml:space="preserve">   ZZZ_Monde</v>
      </c>
      <c r="B15552" t="str">
        <f>T("   ZZZ_Monde")</f>
        <v xml:space="preserve">   ZZZ_Monde</v>
      </c>
      <c r="C15552">
        <v>1569750</v>
      </c>
      <c r="D15552">
        <v>1880</v>
      </c>
    </row>
    <row r="15553" spans="1:4" x14ac:dyDescent="0.25">
      <c r="A15553" t="str">
        <f>T("   NG")</f>
        <v xml:space="preserve">   NG</v>
      </c>
      <c r="B15553" t="str">
        <f>T("   Nigéria")</f>
        <v xml:space="preserve">   Nigéria</v>
      </c>
      <c r="C15553">
        <v>1569750</v>
      </c>
      <c r="D15553">
        <v>1880</v>
      </c>
    </row>
    <row r="15554" spans="1:4" x14ac:dyDescent="0.25">
      <c r="A15554" t="str">
        <f>T("940592")</f>
        <v>940592</v>
      </c>
      <c r="B15554" t="str">
        <f>T("Parties en matières plastiques d'appareils d'éclairage, de lampes-réclames, d'enseignes lumineuses, de plaques indicatrices lumineuses, et simil., n.d.a.")</f>
        <v>Parties en matières plastiques d'appareils d'éclairage, de lampes-réclames, d'enseignes lumineuses, de plaques indicatrices lumineuses, et simil., n.d.a.</v>
      </c>
    </row>
    <row r="15555" spans="1:4" x14ac:dyDescent="0.25">
      <c r="A15555" t="str">
        <f>T("   ZZZ_Monde")</f>
        <v xml:space="preserve">   ZZZ_Monde</v>
      </c>
      <c r="B15555" t="str">
        <f>T("   ZZZ_Monde")</f>
        <v xml:space="preserve">   ZZZ_Monde</v>
      </c>
      <c r="C15555">
        <v>5121080</v>
      </c>
      <c r="D15555">
        <v>5028</v>
      </c>
    </row>
    <row r="15556" spans="1:4" x14ac:dyDescent="0.25">
      <c r="A15556" t="str">
        <f>T("   MA")</f>
        <v xml:space="preserve">   MA</v>
      </c>
      <c r="B15556" t="str">
        <f>T("   Maroc")</f>
        <v xml:space="preserve">   Maroc</v>
      </c>
      <c r="C15556">
        <v>5121080</v>
      </c>
      <c r="D15556">
        <v>5028</v>
      </c>
    </row>
    <row r="15557" spans="1:4" x14ac:dyDescent="0.25">
      <c r="A15557" t="str">
        <f>T("940599")</f>
        <v>940599</v>
      </c>
      <c r="B15557" t="str">
        <f>T("Parties d'appareils d'éclairage, de lampes-réclames, d'enseignes lumineuses, de plaques indicatrices lumineuses, et simil., n.d.a.")</f>
        <v>Parties d'appareils d'éclairage, de lampes-réclames, d'enseignes lumineuses, de plaques indicatrices lumineuses, et simil., n.d.a.</v>
      </c>
    </row>
    <row r="15558" spans="1:4" x14ac:dyDescent="0.25">
      <c r="A15558" t="str">
        <f>T("   ZZZ_Monde")</f>
        <v xml:space="preserve">   ZZZ_Monde</v>
      </c>
      <c r="B15558" t="str">
        <f>T("   ZZZ_Monde")</f>
        <v xml:space="preserve">   ZZZ_Monde</v>
      </c>
      <c r="C15558">
        <v>9021688</v>
      </c>
      <c r="D15558">
        <v>14806</v>
      </c>
    </row>
    <row r="15559" spans="1:4" x14ac:dyDescent="0.25">
      <c r="A15559" t="str">
        <f>T("   CN")</f>
        <v xml:space="preserve">   CN</v>
      </c>
      <c r="B15559" t="str">
        <f>T("   Chine")</f>
        <v xml:space="preserve">   Chine</v>
      </c>
      <c r="C15559">
        <v>6164326</v>
      </c>
      <c r="D15559">
        <v>12085</v>
      </c>
    </row>
    <row r="15560" spans="1:4" x14ac:dyDescent="0.25">
      <c r="A15560" t="str">
        <f>T("   MA")</f>
        <v xml:space="preserve">   MA</v>
      </c>
      <c r="B15560" t="str">
        <f>T("   Maroc")</f>
        <v xml:space="preserve">   Maroc</v>
      </c>
      <c r="C15560">
        <v>2857362</v>
      </c>
      <c r="D15560">
        <v>2721</v>
      </c>
    </row>
    <row r="15561" spans="1:4" x14ac:dyDescent="0.25">
      <c r="A15561" t="str">
        <f>T("940600")</f>
        <v>940600</v>
      </c>
      <c r="B15561" t="str">
        <f>T("Constructions préfabriquées, même incomplètes ou non encore montées")</f>
        <v>Constructions préfabriquées, même incomplètes ou non encore montées</v>
      </c>
    </row>
    <row r="15562" spans="1:4" x14ac:dyDescent="0.25">
      <c r="A15562" t="str">
        <f>T("   ZZZ_Monde")</f>
        <v xml:space="preserve">   ZZZ_Monde</v>
      </c>
      <c r="B15562" t="str">
        <f>T("   ZZZ_Monde")</f>
        <v xml:space="preserve">   ZZZ_Monde</v>
      </c>
      <c r="C15562">
        <v>989921857</v>
      </c>
      <c r="D15562">
        <v>757537</v>
      </c>
    </row>
    <row r="15563" spans="1:4" x14ac:dyDescent="0.25">
      <c r="A15563" t="str">
        <f>T("   BE")</f>
        <v xml:space="preserve">   BE</v>
      </c>
      <c r="B15563" t="str">
        <f>T("   Belgique")</f>
        <v xml:space="preserve">   Belgique</v>
      </c>
      <c r="C15563">
        <v>10512535</v>
      </c>
      <c r="D15563">
        <v>4540</v>
      </c>
    </row>
    <row r="15564" spans="1:4" x14ac:dyDescent="0.25">
      <c r="A15564" t="str">
        <f>T("   CN")</f>
        <v xml:space="preserve">   CN</v>
      </c>
      <c r="B15564" t="str">
        <f>T("   Chine")</f>
        <v xml:space="preserve">   Chine</v>
      </c>
      <c r="C15564">
        <v>475346235</v>
      </c>
      <c r="D15564">
        <v>411104</v>
      </c>
    </row>
    <row r="15565" spans="1:4" x14ac:dyDescent="0.25">
      <c r="A15565" t="str">
        <f>T("   FR")</f>
        <v xml:space="preserve">   FR</v>
      </c>
      <c r="B15565" t="str">
        <f>T("   France")</f>
        <v xml:space="preserve">   France</v>
      </c>
      <c r="C15565">
        <v>258390921</v>
      </c>
      <c r="D15565">
        <v>104089</v>
      </c>
    </row>
    <row r="15566" spans="1:4" x14ac:dyDescent="0.25">
      <c r="A15566" t="str">
        <f>T("   IT")</f>
        <v xml:space="preserve">   IT</v>
      </c>
      <c r="B15566" t="str">
        <f>T("   Italie")</f>
        <v xml:space="preserve">   Italie</v>
      </c>
      <c r="C15566">
        <v>240371427</v>
      </c>
      <c r="D15566">
        <v>210334</v>
      </c>
    </row>
    <row r="15567" spans="1:4" x14ac:dyDescent="0.25">
      <c r="A15567" t="str">
        <f>T("   NG")</f>
        <v xml:space="preserve">   NG</v>
      </c>
      <c r="B15567" t="str">
        <f>T("   Nigéria")</f>
        <v xml:space="preserve">   Nigéria</v>
      </c>
      <c r="C15567">
        <v>3300739</v>
      </c>
      <c r="D15567">
        <v>14850</v>
      </c>
    </row>
    <row r="15568" spans="1:4" x14ac:dyDescent="0.25">
      <c r="A15568" t="str">
        <f>T("   TG")</f>
        <v xml:space="preserve">   TG</v>
      </c>
      <c r="B15568" t="str">
        <f>T("   Togo")</f>
        <v xml:space="preserve">   Togo</v>
      </c>
      <c r="C15568">
        <v>2000000</v>
      </c>
      <c r="D15568">
        <v>12620</v>
      </c>
    </row>
    <row r="15569" spans="1:4" x14ac:dyDescent="0.25">
      <c r="A15569" t="str">
        <f>T("950100")</f>
        <v>950100</v>
      </c>
      <c r="B15569" t="str">
        <f>T("JOUETS À ROUES CONÇUS POUR ÊTRE MONTÉS PAR LES ENFANTS, P.EX. TRICYCLES, TROTTINETTES, AUTOS À PÉDALES (À L'EXCL. DES CYCLES HABITUELS AVEC ROULEMENT À BILLES); LANDAUS ET POUSSETTES POUR POUPÉES")</f>
        <v>JOUETS À ROUES CONÇUS POUR ÊTRE MONTÉS PAR LES ENFANTS, P.EX. TRICYCLES, TROTTINETTES, AUTOS À PÉDALES (À L'EXCL. DES CYCLES HABITUELS AVEC ROULEMENT À BILLES); LANDAUS ET POUSSETTES POUR POUPÉES</v>
      </c>
    </row>
    <row r="15570" spans="1:4" x14ac:dyDescent="0.25">
      <c r="A15570" t="str">
        <f>T("   ZZZ_Monde")</f>
        <v xml:space="preserve">   ZZZ_Monde</v>
      </c>
      <c r="B15570" t="str">
        <f>T("   ZZZ_Monde")</f>
        <v xml:space="preserve">   ZZZ_Monde</v>
      </c>
      <c r="C15570">
        <v>42990482</v>
      </c>
      <c r="D15570">
        <v>50621</v>
      </c>
    </row>
    <row r="15571" spans="1:4" x14ac:dyDescent="0.25">
      <c r="A15571" t="str">
        <f>T("   CN")</f>
        <v xml:space="preserve">   CN</v>
      </c>
      <c r="B15571" t="str">
        <f>T("   Chine")</f>
        <v xml:space="preserve">   Chine</v>
      </c>
      <c r="C15571">
        <v>38303137</v>
      </c>
      <c r="D15571">
        <v>47074</v>
      </c>
    </row>
    <row r="15572" spans="1:4" x14ac:dyDescent="0.25">
      <c r="A15572" t="str">
        <f>T("   DE")</f>
        <v xml:space="preserve">   DE</v>
      </c>
      <c r="B15572" t="str">
        <f>T("   Allemagne")</f>
        <v xml:space="preserve">   Allemagne</v>
      </c>
      <c r="C15572">
        <v>5248</v>
      </c>
      <c r="D15572">
        <v>5</v>
      </c>
    </row>
    <row r="15573" spans="1:4" x14ac:dyDescent="0.25">
      <c r="A15573" t="str">
        <f>T("   FR")</f>
        <v xml:space="preserve">   FR</v>
      </c>
      <c r="B15573" t="str">
        <f>T("   France")</f>
        <v xml:space="preserve">   France</v>
      </c>
      <c r="C15573">
        <v>1832097</v>
      </c>
      <c r="D15573">
        <v>282</v>
      </c>
    </row>
    <row r="15574" spans="1:4" x14ac:dyDescent="0.25">
      <c r="A15574" t="str">
        <f>T("   LB")</f>
        <v xml:space="preserve">   LB</v>
      </c>
      <c r="B15574" t="str">
        <f>T("   Liban")</f>
        <v xml:space="preserve">   Liban</v>
      </c>
      <c r="C15574">
        <v>1500000</v>
      </c>
      <c r="D15574">
        <v>1500</v>
      </c>
    </row>
    <row r="15575" spans="1:4" x14ac:dyDescent="0.25">
      <c r="A15575" t="str">
        <f>T("   TG")</f>
        <v xml:space="preserve">   TG</v>
      </c>
      <c r="B15575" t="str">
        <f>T("   Togo")</f>
        <v xml:space="preserve">   Togo</v>
      </c>
      <c r="C15575">
        <v>1000000</v>
      </c>
      <c r="D15575">
        <v>960</v>
      </c>
    </row>
    <row r="15576" spans="1:4" x14ac:dyDescent="0.25">
      <c r="A15576" t="str">
        <f>T("   TH")</f>
        <v xml:space="preserve">   TH</v>
      </c>
      <c r="B15576" t="str">
        <f>T("   Thaïlande")</f>
        <v xml:space="preserve">   Thaïlande</v>
      </c>
      <c r="C15576">
        <v>350000</v>
      </c>
      <c r="D15576">
        <v>800</v>
      </c>
    </row>
    <row r="15577" spans="1:4" x14ac:dyDescent="0.25">
      <c r="A15577" t="str">
        <f>T("950210")</f>
        <v>950210</v>
      </c>
      <c r="B15577" t="str">
        <f>T("Poupées représentant uniquement l'être humain, habillées ou non")</f>
        <v>Poupées représentant uniquement l'être humain, habillées ou non</v>
      </c>
    </row>
    <row r="15578" spans="1:4" x14ac:dyDescent="0.25">
      <c r="A15578" t="str">
        <f>T("   ZZZ_Monde")</f>
        <v xml:space="preserve">   ZZZ_Monde</v>
      </c>
      <c r="B15578" t="str">
        <f>T("   ZZZ_Monde")</f>
        <v xml:space="preserve">   ZZZ_Monde</v>
      </c>
      <c r="C15578">
        <v>5179688</v>
      </c>
      <c r="D15578">
        <v>15470</v>
      </c>
    </row>
    <row r="15579" spans="1:4" x14ac:dyDescent="0.25">
      <c r="A15579" t="str">
        <f>T("   GH")</f>
        <v xml:space="preserve">   GH</v>
      </c>
      <c r="B15579" t="str">
        <f>T("   Ghana")</f>
        <v xml:space="preserve">   Ghana</v>
      </c>
      <c r="C15579">
        <v>5179688</v>
      </c>
      <c r="D15579">
        <v>15470</v>
      </c>
    </row>
    <row r="15580" spans="1:4" x14ac:dyDescent="0.25">
      <c r="A15580" t="str">
        <f>T("950291")</f>
        <v>950291</v>
      </c>
      <c r="B15580" t="str">
        <f>T("Vêtements et leurs accessoires, chaussures et chapeaux, pour poupées représentant uniquement l'être humain")</f>
        <v>Vêtements et leurs accessoires, chaussures et chapeaux, pour poupées représentant uniquement l'être humain</v>
      </c>
    </row>
    <row r="15581" spans="1:4" x14ac:dyDescent="0.25">
      <c r="A15581" t="str">
        <f>T("   ZZZ_Monde")</f>
        <v xml:space="preserve">   ZZZ_Monde</v>
      </c>
      <c r="B15581" t="str">
        <f>T("   ZZZ_Monde")</f>
        <v xml:space="preserve">   ZZZ_Monde</v>
      </c>
      <c r="C15581">
        <v>800000</v>
      </c>
      <c r="D15581">
        <v>800</v>
      </c>
    </row>
    <row r="15582" spans="1:4" x14ac:dyDescent="0.25">
      <c r="A15582" t="str">
        <f>T("   CN")</f>
        <v xml:space="preserve">   CN</v>
      </c>
      <c r="B15582" t="str">
        <f>T("   Chine")</f>
        <v xml:space="preserve">   Chine</v>
      </c>
      <c r="C15582">
        <v>800000</v>
      </c>
      <c r="D15582">
        <v>800</v>
      </c>
    </row>
    <row r="15583" spans="1:4" x14ac:dyDescent="0.25">
      <c r="A15583" t="str">
        <f>T("950299")</f>
        <v>950299</v>
      </c>
      <c r="B15583" t="str">
        <f>T("Parties et accessoires pour poupées représentant uniquement l'être humain, n.d.a.")</f>
        <v>Parties et accessoires pour poupées représentant uniquement l'être humain, n.d.a.</v>
      </c>
    </row>
    <row r="15584" spans="1:4" x14ac:dyDescent="0.25">
      <c r="A15584" t="str">
        <f>T("   ZZZ_Monde")</f>
        <v xml:space="preserve">   ZZZ_Monde</v>
      </c>
      <c r="B15584" t="str">
        <f>T("   ZZZ_Monde")</f>
        <v xml:space="preserve">   ZZZ_Monde</v>
      </c>
      <c r="C15584">
        <v>10939844</v>
      </c>
      <c r="D15584">
        <v>13358</v>
      </c>
    </row>
    <row r="15585" spans="1:4" x14ac:dyDescent="0.25">
      <c r="A15585" t="str">
        <f>T("   AE")</f>
        <v xml:space="preserve">   AE</v>
      </c>
      <c r="B15585" t="str">
        <f>T("   Emirats Arabes Unis")</f>
        <v xml:space="preserve">   Emirats Arabes Unis</v>
      </c>
      <c r="C15585">
        <v>71902</v>
      </c>
      <c r="D15585">
        <v>35</v>
      </c>
    </row>
    <row r="15586" spans="1:4" x14ac:dyDescent="0.25">
      <c r="A15586" t="str">
        <f>T("   BE")</f>
        <v xml:space="preserve">   BE</v>
      </c>
      <c r="B15586" t="str">
        <f>T("   Belgique")</f>
        <v xml:space="preserve">   Belgique</v>
      </c>
      <c r="C15586">
        <v>222371</v>
      </c>
      <c r="D15586">
        <v>50</v>
      </c>
    </row>
    <row r="15587" spans="1:4" x14ac:dyDescent="0.25">
      <c r="A15587" t="str">
        <f>T("   CN")</f>
        <v xml:space="preserve">   CN</v>
      </c>
      <c r="B15587" t="str">
        <f>T("   Chine")</f>
        <v xml:space="preserve">   Chine</v>
      </c>
      <c r="C15587">
        <v>10246747</v>
      </c>
      <c r="D15587">
        <v>13055</v>
      </c>
    </row>
    <row r="15588" spans="1:4" x14ac:dyDescent="0.25">
      <c r="A15588" t="str">
        <f>T("   ZA")</f>
        <v xml:space="preserve">   ZA</v>
      </c>
      <c r="B15588" t="str">
        <f>T("   Afrique du Sud")</f>
        <v xml:space="preserve">   Afrique du Sud</v>
      </c>
      <c r="C15588">
        <v>398824</v>
      </c>
      <c r="D15588">
        <v>218</v>
      </c>
    </row>
    <row r="15589" spans="1:4" x14ac:dyDescent="0.25">
      <c r="A15589" t="str">
        <f>T("950310")</f>
        <v>950310</v>
      </c>
      <c r="B15589" t="str">
        <f>T("Modèles réduits de trains électriques, y.c. les rails, les signaux et autres accessoires")</f>
        <v>Modèles réduits de trains électriques, y.c. les rails, les signaux et autres accessoires</v>
      </c>
    </row>
    <row r="15590" spans="1:4" x14ac:dyDescent="0.25">
      <c r="A15590" t="str">
        <f>T("   ZZZ_Monde")</f>
        <v xml:space="preserve">   ZZZ_Monde</v>
      </c>
      <c r="B15590" t="str">
        <f>T("   ZZZ_Monde")</f>
        <v xml:space="preserve">   ZZZ_Monde</v>
      </c>
      <c r="C15590">
        <v>8607444</v>
      </c>
      <c r="D15590">
        <v>11650.48</v>
      </c>
    </row>
    <row r="15591" spans="1:4" x14ac:dyDescent="0.25">
      <c r="A15591" t="str">
        <f>T("   AU")</f>
        <v xml:space="preserve">   AU</v>
      </c>
      <c r="B15591" t="str">
        <f>T("   Australie")</f>
        <v xml:space="preserve">   Australie</v>
      </c>
      <c r="C15591">
        <v>209956</v>
      </c>
      <c r="D15591">
        <v>1600</v>
      </c>
    </row>
    <row r="15592" spans="1:4" x14ac:dyDescent="0.25">
      <c r="A15592" t="str">
        <f>T("   CN")</f>
        <v xml:space="preserve">   CN</v>
      </c>
      <c r="B15592" t="str">
        <f>T("   Chine")</f>
        <v xml:space="preserve">   Chine</v>
      </c>
      <c r="C15592">
        <v>7288272</v>
      </c>
      <c r="D15592">
        <v>8504.48</v>
      </c>
    </row>
    <row r="15593" spans="1:4" x14ac:dyDescent="0.25">
      <c r="A15593" t="str">
        <f>T("   GB")</f>
        <v xml:space="preserve">   GB</v>
      </c>
      <c r="B15593" t="str">
        <f>T("   Royaume-Uni")</f>
        <v xml:space="preserve">   Royaume-Uni</v>
      </c>
      <c r="C15593">
        <v>1109216</v>
      </c>
      <c r="D15593">
        <v>1546</v>
      </c>
    </row>
    <row r="15594" spans="1:4" x14ac:dyDescent="0.25">
      <c r="A15594" t="str">
        <f>T("950341")</f>
        <v>950341</v>
      </c>
      <c r="B15594" t="str">
        <f>T("Jouets représentant des animaux ou des créatures non humaines, rembourrés")</f>
        <v>Jouets représentant des animaux ou des créatures non humaines, rembourrés</v>
      </c>
    </row>
    <row r="15595" spans="1:4" x14ac:dyDescent="0.25">
      <c r="A15595" t="str">
        <f>T("   ZZZ_Monde")</f>
        <v xml:space="preserve">   ZZZ_Monde</v>
      </c>
      <c r="B15595" t="str">
        <f>T("   ZZZ_Monde")</f>
        <v xml:space="preserve">   ZZZ_Monde</v>
      </c>
      <c r="C15595">
        <v>3728625</v>
      </c>
      <c r="D15595">
        <v>4400</v>
      </c>
    </row>
    <row r="15596" spans="1:4" x14ac:dyDescent="0.25">
      <c r="A15596" t="str">
        <f>T("   BE")</f>
        <v xml:space="preserve">   BE</v>
      </c>
      <c r="B15596" t="str">
        <f>T("   Belgique")</f>
        <v xml:space="preserve">   Belgique</v>
      </c>
      <c r="C15596">
        <v>1249604</v>
      </c>
      <c r="D15596">
        <v>1550</v>
      </c>
    </row>
    <row r="15597" spans="1:4" x14ac:dyDescent="0.25">
      <c r="A15597" t="str">
        <f>T("   CA")</f>
        <v xml:space="preserve">   CA</v>
      </c>
      <c r="B15597" t="str">
        <f>T("   Canada")</f>
        <v xml:space="preserve">   Canada</v>
      </c>
      <c r="C15597">
        <v>2465120</v>
      </c>
      <c r="D15597">
        <v>2831</v>
      </c>
    </row>
    <row r="15598" spans="1:4" x14ac:dyDescent="0.25">
      <c r="A15598" t="str">
        <f>T("   US")</f>
        <v xml:space="preserve">   US</v>
      </c>
      <c r="B15598" t="str">
        <f>T("   Etats-Unis")</f>
        <v xml:space="preserve">   Etats-Unis</v>
      </c>
      <c r="C15598">
        <v>13901</v>
      </c>
      <c r="D15598">
        <v>19</v>
      </c>
    </row>
    <row r="15599" spans="1:4" x14ac:dyDescent="0.25">
      <c r="A15599" t="str">
        <f>T("950349")</f>
        <v>950349</v>
      </c>
      <c r="B15599" t="str">
        <f>T("JOUETS REPRÉSENTANT DES ANIMAUX OU DES CRÉATURES NON-HUMAINES, NON-REMBOURRÉS")</f>
        <v>JOUETS REPRÉSENTANT DES ANIMAUX OU DES CRÉATURES NON-HUMAINES, NON-REMBOURRÉS</v>
      </c>
    </row>
    <row r="15600" spans="1:4" x14ac:dyDescent="0.25">
      <c r="A15600" t="str">
        <f>T("   ZZZ_Monde")</f>
        <v xml:space="preserve">   ZZZ_Monde</v>
      </c>
      <c r="B15600" t="str">
        <f>T("   ZZZ_Monde")</f>
        <v xml:space="preserve">   ZZZ_Monde</v>
      </c>
      <c r="C15600">
        <v>17098493</v>
      </c>
      <c r="D15600">
        <v>20447</v>
      </c>
    </row>
    <row r="15601" spans="1:4" x14ac:dyDescent="0.25">
      <c r="A15601" t="str">
        <f>T("   CA")</f>
        <v xml:space="preserve">   CA</v>
      </c>
      <c r="B15601" t="str">
        <f>T("   Canada")</f>
        <v xml:space="preserve">   Canada</v>
      </c>
      <c r="C15601">
        <v>1139600</v>
      </c>
      <c r="D15601">
        <v>1628</v>
      </c>
    </row>
    <row r="15602" spans="1:4" x14ac:dyDescent="0.25">
      <c r="A15602" t="str">
        <f>T("   CN")</f>
        <v xml:space="preserve">   CN</v>
      </c>
      <c r="B15602" t="str">
        <f>T("   Chine")</f>
        <v xml:space="preserve">   Chine</v>
      </c>
      <c r="C15602">
        <v>10331732</v>
      </c>
      <c r="D15602">
        <v>11153</v>
      </c>
    </row>
    <row r="15603" spans="1:4" x14ac:dyDescent="0.25">
      <c r="A15603" t="str">
        <f>T("   DK")</f>
        <v xml:space="preserve">   DK</v>
      </c>
      <c r="B15603" t="str">
        <f>T("   Danemark")</f>
        <v xml:space="preserve">   Danemark</v>
      </c>
      <c r="C15603">
        <v>45200</v>
      </c>
      <c r="D15603">
        <v>75</v>
      </c>
    </row>
    <row r="15604" spans="1:4" x14ac:dyDescent="0.25">
      <c r="A15604" t="str">
        <f>T("   TG")</f>
        <v xml:space="preserve">   TG</v>
      </c>
      <c r="B15604" t="str">
        <f>T("   Togo")</f>
        <v xml:space="preserve">   Togo</v>
      </c>
      <c r="C15604">
        <v>5544572</v>
      </c>
      <c r="D15604">
        <v>7540</v>
      </c>
    </row>
    <row r="15605" spans="1:4" x14ac:dyDescent="0.25">
      <c r="A15605" t="str">
        <f>T("   US")</f>
        <v xml:space="preserve">   US</v>
      </c>
      <c r="B15605" t="str">
        <f>T("   Etats-Unis")</f>
        <v xml:space="preserve">   Etats-Unis</v>
      </c>
      <c r="C15605">
        <v>37389</v>
      </c>
      <c r="D15605">
        <v>51</v>
      </c>
    </row>
    <row r="15606" spans="1:4" x14ac:dyDescent="0.25">
      <c r="A15606" t="str">
        <f>T("950350")</f>
        <v>950350</v>
      </c>
      <c r="B15606" t="str">
        <f>T("INSTRUMENTS ET APPAREILS DE MUSIQUE-JOUETS")</f>
        <v>INSTRUMENTS ET APPAREILS DE MUSIQUE-JOUETS</v>
      </c>
    </row>
    <row r="15607" spans="1:4" x14ac:dyDescent="0.25">
      <c r="A15607" t="str">
        <f>T("   ZZZ_Monde")</f>
        <v xml:space="preserve">   ZZZ_Monde</v>
      </c>
      <c r="B15607" t="str">
        <f>T("   ZZZ_Monde")</f>
        <v xml:space="preserve">   ZZZ_Monde</v>
      </c>
      <c r="C15607">
        <v>3019289</v>
      </c>
      <c r="D15607">
        <v>1038</v>
      </c>
    </row>
    <row r="15608" spans="1:4" x14ac:dyDescent="0.25">
      <c r="A15608" t="str">
        <f>T("   CN")</f>
        <v xml:space="preserve">   CN</v>
      </c>
      <c r="B15608" t="str">
        <f>T("   Chine")</f>
        <v xml:space="preserve">   Chine</v>
      </c>
      <c r="C15608">
        <v>15253</v>
      </c>
      <c r="D15608">
        <v>300</v>
      </c>
    </row>
    <row r="15609" spans="1:4" x14ac:dyDescent="0.25">
      <c r="A15609" t="str">
        <f>T("   FR")</f>
        <v xml:space="preserve">   FR</v>
      </c>
      <c r="B15609" t="str">
        <f>T("   France")</f>
        <v xml:space="preserve">   France</v>
      </c>
      <c r="C15609">
        <v>2816036</v>
      </c>
      <c r="D15609">
        <v>488</v>
      </c>
    </row>
    <row r="15610" spans="1:4" x14ac:dyDescent="0.25">
      <c r="A15610" t="str">
        <f>T("   NG")</f>
        <v xml:space="preserve">   NG</v>
      </c>
      <c r="B15610" t="str">
        <f>T("   Nigéria")</f>
        <v xml:space="preserve">   Nigéria</v>
      </c>
      <c r="C15610">
        <v>188000</v>
      </c>
      <c r="D15610">
        <v>250</v>
      </c>
    </row>
    <row r="15611" spans="1:4" x14ac:dyDescent="0.25">
      <c r="A15611" t="str">
        <f>T("950370")</f>
        <v>950370</v>
      </c>
      <c r="B15611" t="str">
        <f>T("Jouets présentés en assortiments ou en panoplies (sauf trains électriques, y.c. accessoires, sauf modèles réduits à assembler, cubes et jeux de construction et puzzles)")</f>
        <v>Jouets présentés en assortiments ou en panoplies (sauf trains électriques, y.c. accessoires, sauf modèles réduits à assembler, cubes et jeux de construction et puzzles)</v>
      </c>
    </row>
    <row r="15612" spans="1:4" x14ac:dyDescent="0.25">
      <c r="A15612" t="str">
        <f>T("   ZZZ_Monde")</f>
        <v xml:space="preserve">   ZZZ_Monde</v>
      </c>
      <c r="B15612" t="str">
        <f>T("   ZZZ_Monde")</f>
        <v xml:space="preserve">   ZZZ_Monde</v>
      </c>
      <c r="C15612">
        <v>52491947</v>
      </c>
      <c r="D15612">
        <v>14333</v>
      </c>
    </row>
    <row r="15613" spans="1:4" x14ac:dyDescent="0.25">
      <c r="A15613" t="str">
        <f>T("   AF")</f>
        <v xml:space="preserve">   AF</v>
      </c>
      <c r="B15613" t="str">
        <f>T("   Afghanistan")</f>
        <v xml:space="preserve">   Afghanistan</v>
      </c>
      <c r="C15613">
        <v>509250</v>
      </c>
      <c r="D15613">
        <v>7</v>
      </c>
    </row>
    <row r="15614" spans="1:4" x14ac:dyDescent="0.25">
      <c r="A15614" t="str">
        <f>T("   CN")</f>
        <v xml:space="preserve">   CN</v>
      </c>
      <c r="B15614" t="str">
        <f>T("   Chine")</f>
        <v xml:space="preserve">   Chine</v>
      </c>
      <c r="C15614">
        <v>124330</v>
      </c>
      <c r="D15614">
        <v>2500</v>
      </c>
    </row>
    <row r="15615" spans="1:4" x14ac:dyDescent="0.25">
      <c r="A15615" t="str">
        <f>T("   FR")</f>
        <v xml:space="preserve">   FR</v>
      </c>
      <c r="B15615" t="str">
        <f>T("   France")</f>
        <v xml:space="preserve">   France</v>
      </c>
      <c r="C15615">
        <v>51858367</v>
      </c>
      <c r="D15615">
        <v>11826</v>
      </c>
    </row>
    <row r="15616" spans="1:4" x14ac:dyDescent="0.25">
      <c r="A15616" t="str">
        <f>T("950380")</f>
        <v>950380</v>
      </c>
      <c r="B15616" t="str">
        <f>T("JOUETS ET MODÈLES, À MOTEUR (SAUF TRAINS ÉLECTRIQUES, Y.C. LES ACCESSOIRES, SAUF MODÈLES RÉDUITS À ASSEMBLER, JOUETS REPRÉSENTANT DES ANIMAUX OU DES CRÉATURES NON-HUMAINES)")</f>
        <v>JOUETS ET MODÈLES, À MOTEUR (SAUF TRAINS ÉLECTRIQUES, Y.C. LES ACCESSOIRES, SAUF MODÈLES RÉDUITS À ASSEMBLER, JOUETS REPRÉSENTANT DES ANIMAUX OU DES CRÉATURES NON-HUMAINES)</v>
      </c>
    </row>
    <row r="15617" spans="1:4" x14ac:dyDescent="0.25">
      <c r="A15617" t="str">
        <f>T("   ZZZ_Monde")</f>
        <v xml:space="preserve">   ZZZ_Monde</v>
      </c>
      <c r="B15617" t="str">
        <f>T("   ZZZ_Monde")</f>
        <v xml:space="preserve">   ZZZ_Monde</v>
      </c>
      <c r="C15617">
        <v>28606592</v>
      </c>
      <c r="D15617">
        <v>8382</v>
      </c>
    </row>
    <row r="15618" spans="1:4" x14ac:dyDescent="0.25">
      <c r="A15618" t="str">
        <f>T("   CN")</f>
        <v xml:space="preserve">   CN</v>
      </c>
      <c r="B15618" t="str">
        <f>T("   Chine")</f>
        <v xml:space="preserve">   Chine</v>
      </c>
      <c r="C15618">
        <v>36910</v>
      </c>
      <c r="D15618">
        <v>151</v>
      </c>
    </row>
    <row r="15619" spans="1:4" x14ac:dyDescent="0.25">
      <c r="A15619" t="str">
        <f>T("   FR")</f>
        <v xml:space="preserve">   FR</v>
      </c>
      <c r="B15619" t="str">
        <f>T("   France")</f>
        <v xml:space="preserve">   France</v>
      </c>
      <c r="C15619">
        <v>28569682</v>
      </c>
      <c r="D15619">
        <v>8231</v>
      </c>
    </row>
    <row r="15620" spans="1:4" x14ac:dyDescent="0.25">
      <c r="A15620" t="str">
        <f>T("950390")</f>
        <v>950390</v>
      </c>
      <c r="B15620" t="str">
        <f>T("Jouets, n.d.a.")</f>
        <v>Jouets, n.d.a.</v>
      </c>
    </row>
    <row r="15621" spans="1:4" x14ac:dyDescent="0.25">
      <c r="A15621" t="str">
        <f>T("   ZZZ_Monde")</f>
        <v xml:space="preserve">   ZZZ_Monde</v>
      </c>
      <c r="B15621" t="str">
        <f>T("   ZZZ_Monde")</f>
        <v xml:space="preserve">   ZZZ_Monde</v>
      </c>
      <c r="C15621">
        <v>195276819</v>
      </c>
      <c r="D15621">
        <v>263378</v>
      </c>
    </row>
    <row r="15622" spans="1:4" x14ac:dyDescent="0.25">
      <c r="A15622" t="str">
        <f>T("   AE")</f>
        <v xml:space="preserve">   AE</v>
      </c>
      <c r="B15622" t="str">
        <f>T("   Emirats Arabes Unis")</f>
        <v xml:space="preserve">   Emirats Arabes Unis</v>
      </c>
      <c r="C15622">
        <v>361580</v>
      </c>
      <c r="D15622">
        <v>1883</v>
      </c>
    </row>
    <row r="15623" spans="1:4" x14ac:dyDescent="0.25">
      <c r="A15623" t="str">
        <f>T("   BE")</f>
        <v xml:space="preserve">   BE</v>
      </c>
      <c r="B15623" t="str">
        <f>T("   Belgique")</f>
        <v xml:space="preserve">   Belgique</v>
      </c>
      <c r="C15623">
        <v>5838140</v>
      </c>
      <c r="D15623">
        <v>6640</v>
      </c>
    </row>
    <row r="15624" spans="1:4" x14ac:dyDescent="0.25">
      <c r="A15624" t="str">
        <f>T("   CA")</f>
        <v xml:space="preserve">   CA</v>
      </c>
      <c r="B15624" t="str">
        <f>T("   Canada")</f>
        <v xml:space="preserve">   Canada</v>
      </c>
      <c r="C15624">
        <v>3003209</v>
      </c>
      <c r="D15624">
        <v>5154</v>
      </c>
    </row>
    <row r="15625" spans="1:4" x14ac:dyDescent="0.25">
      <c r="A15625" t="str">
        <f>T("   CN")</f>
        <v xml:space="preserve">   CN</v>
      </c>
      <c r="B15625" t="str">
        <f>T("   Chine")</f>
        <v xml:space="preserve">   Chine</v>
      </c>
      <c r="C15625">
        <v>107075645</v>
      </c>
      <c r="D15625">
        <v>192387</v>
      </c>
    </row>
    <row r="15626" spans="1:4" x14ac:dyDescent="0.25">
      <c r="A15626" t="str">
        <f>T("   DE")</f>
        <v xml:space="preserve">   DE</v>
      </c>
      <c r="B15626" t="str">
        <f>T("   Allemagne")</f>
        <v xml:space="preserve">   Allemagne</v>
      </c>
      <c r="C15626">
        <v>300000</v>
      </c>
      <c r="D15626">
        <v>1330</v>
      </c>
    </row>
    <row r="15627" spans="1:4" x14ac:dyDescent="0.25">
      <c r="A15627" t="str">
        <f>T("   ES")</f>
        <v xml:space="preserve">   ES</v>
      </c>
      <c r="B15627" t="str">
        <f>T("   Espagne")</f>
        <v xml:space="preserve">   Espagne</v>
      </c>
      <c r="C15627">
        <v>50000</v>
      </c>
      <c r="D15627">
        <v>210</v>
      </c>
    </row>
    <row r="15628" spans="1:4" x14ac:dyDescent="0.25">
      <c r="A15628" t="str">
        <f>T("   FR")</f>
        <v xml:space="preserve">   FR</v>
      </c>
      <c r="B15628" t="str">
        <f>T("   France")</f>
        <v xml:space="preserve">   France</v>
      </c>
      <c r="C15628">
        <v>40073486</v>
      </c>
      <c r="D15628">
        <v>16901</v>
      </c>
    </row>
    <row r="15629" spans="1:4" x14ac:dyDescent="0.25">
      <c r="A15629" t="str">
        <f>T("   GB")</f>
        <v xml:space="preserve">   GB</v>
      </c>
      <c r="B15629" t="str">
        <f>T("   Royaume-Uni")</f>
        <v xml:space="preserve">   Royaume-Uni</v>
      </c>
      <c r="C15629">
        <v>4498728</v>
      </c>
      <c r="D15629">
        <v>7688</v>
      </c>
    </row>
    <row r="15630" spans="1:4" x14ac:dyDescent="0.25">
      <c r="A15630" t="str">
        <f>T("   IT")</f>
        <v xml:space="preserve">   IT</v>
      </c>
      <c r="B15630" t="str">
        <f>T("   Italie")</f>
        <v xml:space="preserve">   Italie</v>
      </c>
      <c r="C15630">
        <v>14158161</v>
      </c>
      <c r="D15630">
        <v>2816</v>
      </c>
    </row>
    <row r="15631" spans="1:4" x14ac:dyDescent="0.25">
      <c r="A15631" t="str">
        <f>T("   LB")</f>
        <v xml:space="preserve">   LB</v>
      </c>
      <c r="B15631" t="str">
        <f>T("   Liban")</f>
        <v xml:space="preserve">   Liban</v>
      </c>
      <c r="C15631">
        <v>4779260</v>
      </c>
      <c r="D15631">
        <v>1185</v>
      </c>
    </row>
    <row r="15632" spans="1:4" x14ac:dyDescent="0.25">
      <c r="A15632" t="str">
        <f>T("   LT")</f>
        <v xml:space="preserve">   LT</v>
      </c>
      <c r="B15632" t="str">
        <f>T("   Lituanie")</f>
        <v xml:space="preserve">   Lituanie</v>
      </c>
      <c r="C15632">
        <v>352251</v>
      </c>
      <c r="D15632">
        <v>545</v>
      </c>
    </row>
    <row r="15633" spans="1:4" x14ac:dyDescent="0.25">
      <c r="A15633" t="str">
        <f>T("   NG")</f>
        <v xml:space="preserve">   NG</v>
      </c>
      <c r="B15633" t="str">
        <f>T("   Nigéria")</f>
        <v xml:space="preserve">   Nigéria</v>
      </c>
      <c r="C15633">
        <v>4489750</v>
      </c>
      <c r="D15633">
        <v>6045</v>
      </c>
    </row>
    <row r="15634" spans="1:4" x14ac:dyDescent="0.25">
      <c r="A15634" t="str">
        <f>T("   PL")</f>
        <v xml:space="preserve">   PL</v>
      </c>
      <c r="B15634" t="str">
        <f>T("   Pologne")</f>
        <v xml:space="preserve">   Pologne</v>
      </c>
      <c r="C15634">
        <v>287394</v>
      </c>
      <c r="D15634">
        <v>1040</v>
      </c>
    </row>
    <row r="15635" spans="1:4" x14ac:dyDescent="0.25">
      <c r="A15635" t="str">
        <f>T("   TG")</f>
        <v xml:space="preserve">   TG</v>
      </c>
      <c r="B15635" t="str">
        <f>T("   Togo")</f>
        <v xml:space="preserve">   Togo</v>
      </c>
      <c r="C15635">
        <v>108052</v>
      </c>
      <c r="D15635">
        <v>50</v>
      </c>
    </row>
    <row r="15636" spans="1:4" x14ac:dyDescent="0.25">
      <c r="A15636" t="str">
        <f>T("   TH")</f>
        <v xml:space="preserve">   TH</v>
      </c>
      <c r="B15636" t="str">
        <f>T("   Thaïlande")</f>
        <v xml:space="preserve">   Thaïlande</v>
      </c>
      <c r="C15636">
        <v>1058252</v>
      </c>
      <c r="D15636">
        <v>2004</v>
      </c>
    </row>
    <row r="15637" spans="1:4" x14ac:dyDescent="0.25">
      <c r="A15637" t="str">
        <f>T("   US")</f>
        <v xml:space="preserve">   US</v>
      </c>
      <c r="B15637" t="str">
        <f>T("   Etats-Unis")</f>
        <v xml:space="preserve">   Etats-Unis</v>
      </c>
      <c r="C15637">
        <v>8798123</v>
      </c>
      <c r="D15637">
        <v>17444</v>
      </c>
    </row>
    <row r="15638" spans="1:4" x14ac:dyDescent="0.25">
      <c r="A15638" t="str">
        <f>T("   ZA")</f>
        <v xml:space="preserve">   ZA</v>
      </c>
      <c r="B15638" t="str">
        <f>T("   Afrique du Sud")</f>
        <v xml:space="preserve">   Afrique du Sud</v>
      </c>
      <c r="C15638">
        <v>44788</v>
      </c>
      <c r="D15638">
        <v>56</v>
      </c>
    </row>
    <row r="15639" spans="1:4" x14ac:dyDescent="0.25">
      <c r="A15639" t="str">
        <f>T("950410")</f>
        <v>950410</v>
      </c>
      <c r="B15639" t="str">
        <f>T("Jeux vidéo des types utilisables avec un récepteur de télévision")</f>
        <v>Jeux vidéo des types utilisables avec un récepteur de télévision</v>
      </c>
    </row>
    <row r="15640" spans="1:4" x14ac:dyDescent="0.25">
      <c r="A15640" t="str">
        <f>T("   ZZZ_Monde")</f>
        <v xml:space="preserve">   ZZZ_Monde</v>
      </c>
      <c r="B15640" t="str">
        <f>T("   ZZZ_Monde")</f>
        <v xml:space="preserve">   ZZZ_Monde</v>
      </c>
      <c r="C15640">
        <v>550000</v>
      </c>
      <c r="D15640">
        <v>2700</v>
      </c>
    </row>
    <row r="15641" spans="1:4" x14ac:dyDescent="0.25">
      <c r="A15641" t="str">
        <f>T("   CH")</f>
        <v xml:space="preserve">   CH</v>
      </c>
      <c r="B15641" t="str">
        <f>T("   Suisse")</f>
        <v xml:space="preserve">   Suisse</v>
      </c>
      <c r="C15641">
        <v>550000</v>
      </c>
      <c r="D15641">
        <v>2700</v>
      </c>
    </row>
    <row r="15642" spans="1:4" x14ac:dyDescent="0.25">
      <c r="A15642" t="str">
        <f>T("950420")</f>
        <v>950420</v>
      </c>
      <c r="B15642" t="str">
        <f>T("BILLARDS DE TOUT GENRE ET LEURS ACCESSOIRES")</f>
        <v>BILLARDS DE TOUT GENRE ET LEURS ACCESSOIRES</v>
      </c>
    </row>
    <row r="15643" spans="1:4" x14ac:dyDescent="0.25">
      <c r="A15643" t="str">
        <f>T("   ZZZ_Monde")</f>
        <v xml:space="preserve">   ZZZ_Monde</v>
      </c>
      <c r="B15643" t="str">
        <f>T("   ZZZ_Monde")</f>
        <v xml:space="preserve">   ZZZ_Monde</v>
      </c>
      <c r="C15643">
        <v>1006243</v>
      </c>
      <c r="D15643">
        <v>720</v>
      </c>
    </row>
    <row r="15644" spans="1:4" x14ac:dyDescent="0.25">
      <c r="A15644" t="str">
        <f>T("   FR")</f>
        <v xml:space="preserve">   FR</v>
      </c>
      <c r="B15644" t="str">
        <f>T("   France")</f>
        <v xml:space="preserve">   France</v>
      </c>
      <c r="C15644">
        <v>1006243</v>
      </c>
      <c r="D15644">
        <v>720</v>
      </c>
    </row>
    <row r="15645" spans="1:4" x14ac:dyDescent="0.25">
      <c r="A15645" t="str">
        <f>T("950430")</f>
        <v>950430</v>
      </c>
      <c r="B15645" t="str">
        <f>T("JEUX AVEC ÉCRAN, FLIPPERS ET AUTRES AUTRES JEUX FONCTIONNANT PAR L'INTRODUCTION D'UNE PIÈCE DE MONNAIE, D'UN BILLET DE BANQUE, D'UNE CARTE BANCAIRE, D'UN JETON OU PAR D'AUTRES MOYENS DE PAIEMENT (À L'EXCL. DES JEUX DE QUILLES AUTOMATIQUES [P.EX. BOWLINGS]")</f>
        <v>JEUX AVEC ÉCRAN, FLIPPERS ET AUTRES AUTRES JEUX FONCTIONNANT PAR L'INTRODUCTION D'UNE PIÈCE DE MONNAIE, D'UN BILLET DE BANQUE, D'UNE CARTE BANCAIRE, D'UN JETON OU PAR D'AUTRES MOYENS DE PAIEMENT (À L'EXCL. DES JEUX DE QUILLES AUTOMATIQUES [P.EX. BOWLINGS]</v>
      </c>
    </row>
    <row r="15646" spans="1:4" x14ac:dyDescent="0.25">
      <c r="A15646" t="str">
        <f>T("   ZZZ_Monde")</f>
        <v xml:space="preserve">   ZZZ_Monde</v>
      </c>
      <c r="B15646" t="str">
        <f>T("   ZZZ_Monde")</f>
        <v xml:space="preserve">   ZZZ_Monde</v>
      </c>
      <c r="C15646">
        <v>16184954</v>
      </c>
      <c r="D15646">
        <v>6280</v>
      </c>
    </row>
    <row r="15647" spans="1:4" x14ac:dyDescent="0.25">
      <c r="A15647" t="str">
        <f>T("   AU")</f>
        <v xml:space="preserve">   AU</v>
      </c>
      <c r="B15647" t="str">
        <f>T("   Australie")</f>
        <v xml:space="preserve">   Australie</v>
      </c>
      <c r="C15647">
        <v>302398</v>
      </c>
      <c r="D15647">
        <v>3</v>
      </c>
    </row>
    <row r="15648" spans="1:4" x14ac:dyDescent="0.25">
      <c r="A15648" t="str">
        <f>T("   BE")</f>
        <v xml:space="preserve">   BE</v>
      </c>
      <c r="B15648" t="str">
        <f>T("   Belgique")</f>
        <v xml:space="preserve">   Belgique</v>
      </c>
      <c r="C15648">
        <v>15215884</v>
      </c>
      <c r="D15648">
        <v>5000</v>
      </c>
    </row>
    <row r="15649" spans="1:4" x14ac:dyDescent="0.25">
      <c r="A15649" t="str">
        <f>T("   CN")</f>
        <v xml:space="preserve">   CN</v>
      </c>
      <c r="B15649" t="str">
        <f>T("   Chine")</f>
        <v xml:space="preserve">   Chine</v>
      </c>
      <c r="C15649">
        <v>532856</v>
      </c>
      <c r="D15649">
        <v>1000</v>
      </c>
    </row>
    <row r="15650" spans="1:4" x14ac:dyDescent="0.25">
      <c r="A15650" t="str">
        <f>T("   IT")</f>
        <v xml:space="preserve">   IT</v>
      </c>
      <c r="B15650" t="str">
        <f>T("   Italie")</f>
        <v xml:space="preserve">   Italie</v>
      </c>
      <c r="C15650">
        <v>133816</v>
      </c>
      <c r="D15650">
        <v>277</v>
      </c>
    </row>
    <row r="15651" spans="1:4" x14ac:dyDescent="0.25">
      <c r="A15651" t="str">
        <f>T("950440")</f>
        <v>950440</v>
      </c>
      <c r="B15651" t="str">
        <f>T("Cartes à jouer")</f>
        <v>Cartes à jouer</v>
      </c>
    </row>
    <row r="15652" spans="1:4" x14ac:dyDescent="0.25">
      <c r="A15652" t="str">
        <f>T("   ZZZ_Monde")</f>
        <v xml:space="preserve">   ZZZ_Monde</v>
      </c>
      <c r="B15652" t="str">
        <f>T("   ZZZ_Monde")</f>
        <v xml:space="preserve">   ZZZ_Monde</v>
      </c>
      <c r="C15652">
        <v>3937457</v>
      </c>
      <c r="D15652">
        <v>29455</v>
      </c>
    </row>
    <row r="15653" spans="1:4" x14ac:dyDescent="0.25">
      <c r="A15653" t="str">
        <f>T("   CN")</f>
        <v xml:space="preserve">   CN</v>
      </c>
      <c r="B15653" t="str">
        <f>T("   Chine")</f>
        <v xml:space="preserve">   Chine</v>
      </c>
      <c r="C15653">
        <v>1900000</v>
      </c>
      <c r="D15653">
        <v>17000</v>
      </c>
    </row>
    <row r="15654" spans="1:4" x14ac:dyDescent="0.25">
      <c r="A15654" t="str">
        <f>T("   NG")</f>
        <v xml:space="preserve">   NG</v>
      </c>
      <c r="B15654" t="str">
        <f>T("   Nigéria")</f>
        <v xml:space="preserve">   Nigéria</v>
      </c>
      <c r="C15654">
        <v>36100</v>
      </c>
      <c r="D15654">
        <v>45</v>
      </c>
    </row>
    <row r="15655" spans="1:4" x14ac:dyDescent="0.25">
      <c r="A15655" t="str">
        <f>T("   TG")</f>
        <v xml:space="preserve">   TG</v>
      </c>
      <c r="B15655" t="str">
        <f>T("   Togo")</f>
        <v xml:space="preserve">   Togo</v>
      </c>
      <c r="C15655">
        <v>2001357</v>
      </c>
      <c r="D15655">
        <v>12410</v>
      </c>
    </row>
    <row r="15656" spans="1:4" x14ac:dyDescent="0.25">
      <c r="A15656" t="str">
        <f>T("950490")</f>
        <v>950490</v>
      </c>
      <c r="B15656" t="str">
        <f>T("Tables spéciales pour jeux de casino, jeux de quilles automatiques [p.ex. bowlings] et autres jeux de société, y.c. les jeux à moteur ou à mouvement (sauf jeux fonctionnant par l'introduction d'une pièce de monnaie, d'un billet de banque, d'un jeton ou d'")</f>
        <v>Tables spéciales pour jeux de casino, jeux de quilles automatiques [p.ex. bowlings] et autres jeux de société, y.c. les jeux à moteur ou à mouvement (sauf jeux fonctionnant par l'introduction d'une pièce de monnaie, d'un billet de banque, d'un jeton ou d'</v>
      </c>
    </row>
    <row r="15657" spans="1:4" x14ac:dyDescent="0.25">
      <c r="A15657" t="str">
        <f>T("   ZZZ_Monde")</f>
        <v xml:space="preserve">   ZZZ_Monde</v>
      </c>
      <c r="B15657" t="str">
        <f>T("   ZZZ_Monde")</f>
        <v xml:space="preserve">   ZZZ_Monde</v>
      </c>
      <c r="C15657">
        <v>12351060</v>
      </c>
      <c r="D15657">
        <v>14293</v>
      </c>
    </row>
    <row r="15658" spans="1:4" x14ac:dyDescent="0.25">
      <c r="A15658" t="str">
        <f>T("   BE")</f>
        <v xml:space="preserve">   BE</v>
      </c>
      <c r="B15658" t="str">
        <f>T("   Belgique")</f>
        <v xml:space="preserve">   Belgique</v>
      </c>
      <c r="C15658">
        <v>1817888</v>
      </c>
      <c r="D15658">
        <v>2539</v>
      </c>
    </row>
    <row r="15659" spans="1:4" x14ac:dyDescent="0.25">
      <c r="A15659" t="str">
        <f>T("   DE")</f>
        <v xml:space="preserve">   DE</v>
      </c>
      <c r="B15659" t="str">
        <f>T("   Allemagne")</f>
        <v xml:space="preserve">   Allemagne</v>
      </c>
      <c r="C15659">
        <v>320000</v>
      </c>
      <c r="D15659">
        <v>266</v>
      </c>
    </row>
    <row r="15660" spans="1:4" x14ac:dyDescent="0.25">
      <c r="A15660" t="str">
        <f>T("   ES")</f>
        <v xml:space="preserve">   ES</v>
      </c>
      <c r="B15660" t="str">
        <f>T("   Espagne")</f>
        <v xml:space="preserve">   Espagne</v>
      </c>
      <c r="C15660">
        <v>65596</v>
      </c>
      <c r="D15660">
        <v>40</v>
      </c>
    </row>
    <row r="15661" spans="1:4" x14ac:dyDescent="0.25">
      <c r="A15661" t="str">
        <f>T("   FR")</f>
        <v xml:space="preserve">   FR</v>
      </c>
      <c r="B15661" t="str">
        <f>T("   France")</f>
        <v xml:space="preserve">   France</v>
      </c>
      <c r="C15661">
        <v>8621282</v>
      </c>
      <c r="D15661">
        <v>2787</v>
      </c>
    </row>
    <row r="15662" spans="1:4" x14ac:dyDescent="0.25">
      <c r="A15662" t="str">
        <f>T("   GB")</f>
        <v xml:space="preserve">   GB</v>
      </c>
      <c r="B15662" t="str">
        <f>T("   Royaume-Uni")</f>
        <v xml:space="preserve">   Royaume-Uni</v>
      </c>
      <c r="C15662">
        <v>1386854</v>
      </c>
      <c r="D15662">
        <v>8429</v>
      </c>
    </row>
    <row r="15663" spans="1:4" x14ac:dyDescent="0.25">
      <c r="A15663" t="str">
        <f>T("   TG")</f>
        <v xml:space="preserve">   TG</v>
      </c>
      <c r="B15663" t="str">
        <f>T("   Togo")</f>
        <v xml:space="preserve">   Togo</v>
      </c>
      <c r="C15663">
        <v>47545</v>
      </c>
      <c r="D15663">
        <v>230</v>
      </c>
    </row>
    <row r="15664" spans="1:4" x14ac:dyDescent="0.25">
      <c r="A15664" t="str">
        <f>T("   US")</f>
        <v xml:space="preserve">   US</v>
      </c>
      <c r="B15664" t="str">
        <f>T("   Etats-Unis")</f>
        <v xml:space="preserve">   Etats-Unis</v>
      </c>
      <c r="C15664">
        <v>91895</v>
      </c>
      <c r="D15664">
        <v>2</v>
      </c>
    </row>
    <row r="15665" spans="1:4" x14ac:dyDescent="0.25">
      <c r="A15665" t="str">
        <f>T("950510")</f>
        <v>950510</v>
      </c>
      <c r="B15665" t="str">
        <f>T("Articles pour fêtes de Noël (sauf bougies et guirlandes électriques)")</f>
        <v>Articles pour fêtes de Noël (sauf bougies et guirlandes électriques)</v>
      </c>
    </row>
    <row r="15666" spans="1:4" x14ac:dyDescent="0.25">
      <c r="A15666" t="str">
        <f>T("   ZZZ_Monde")</f>
        <v xml:space="preserve">   ZZZ_Monde</v>
      </c>
      <c r="B15666" t="str">
        <f>T("   ZZZ_Monde")</f>
        <v xml:space="preserve">   ZZZ_Monde</v>
      </c>
      <c r="C15666">
        <v>100394824</v>
      </c>
      <c r="D15666">
        <v>143492</v>
      </c>
    </row>
    <row r="15667" spans="1:4" x14ac:dyDescent="0.25">
      <c r="A15667" t="str">
        <f>T("   BE")</f>
        <v xml:space="preserve">   BE</v>
      </c>
      <c r="B15667" t="str">
        <f>T("   Belgique")</f>
        <v xml:space="preserve">   Belgique</v>
      </c>
      <c r="C15667">
        <v>2237996</v>
      </c>
      <c r="D15667">
        <v>2696</v>
      </c>
    </row>
    <row r="15668" spans="1:4" x14ac:dyDescent="0.25">
      <c r="A15668" t="str">
        <f>T("   CN")</f>
        <v xml:space="preserve">   CN</v>
      </c>
      <c r="B15668" t="str">
        <f>T("   Chine")</f>
        <v xml:space="preserve">   Chine</v>
      </c>
      <c r="C15668">
        <v>49158114</v>
      </c>
      <c r="D15668">
        <v>114969</v>
      </c>
    </row>
    <row r="15669" spans="1:4" x14ac:dyDescent="0.25">
      <c r="A15669" t="str">
        <f>T("   DK")</f>
        <v xml:space="preserve">   DK</v>
      </c>
      <c r="B15669" t="str">
        <f>T("   Danemark")</f>
        <v xml:space="preserve">   Danemark</v>
      </c>
      <c r="C15669">
        <v>6775763</v>
      </c>
      <c r="D15669">
        <v>5524</v>
      </c>
    </row>
    <row r="15670" spans="1:4" x14ac:dyDescent="0.25">
      <c r="A15670" t="str">
        <f>T("   FR")</f>
        <v xml:space="preserve">   FR</v>
      </c>
      <c r="B15670" t="str">
        <f>T("   France")</f>
        <v xml:space="preserve">   France</v>
      </c>
      <c r="C15670">
        <v>40556317</v>
      </c>
      <c r="D15670">
        <v>20245</v>
      </c>
    </row>
    <row r="15671" spans="1:4" x14ac:dyDescent="0.25">
      <c r="A15671" t="str">
        <f>T("   NL")</f>
        <v xml:space="preserve">   NL</v>
      </c>
      <c r="B15671" t="str">
        <f>T("   Pays-bas")</f>
        <v xml:space="preserve">   Pays-bas</v>
      </c>
      <c r="C15671">
        <v>1666634</v>
      </c>
      <c r="D15671">
        <v>58</v>
      </c>
    </row>
    <row r="15672" spans="1:4" x14ac:dyDescent="0.25">
      <c r="A15672" t="str">
        <f>T("950590")</f>
        <v>950590</v>
      </c>
      <c r="B15672" t="str">
        <f>T("Articles pour fêtes, carnaval ou autres divertissements, y.c. les articles de magie et articles-surprises, n.d.a.")</f>
        <v>Articles pour fêtes, carnaval ou autres divertissements, y.c. les articles de magie et articles-surprises, n.d.a.</v>
      </c>
    </row>
    <row r="15673" spans="1:4" x14ac:dyDescent="0.25">
      <c r="A15673" t="str">
        <f>T("   ZZZ_Monde")</f>
        <v xml:space="preserve">   ZZZ_Monde</v>
      </c>
      <c r="B15673" t="str">
        <f>T("   ZZZ_Monde")</f>
        <v xml:space="preserve">   ZZZ_Monde</v>
      </c>
      <c r="C15673">
        <v>15881435</v>
      </c>
      <c r="D15673">
        <v>69916</v>
      </c>
    </row>
    <row r="15674" spans="1:4" x14ac:dyDescent="0.25">
      <c r="A15674" t="str">
        <f>T("   CN")</f>
        <v xml:space="preserve">   CN</v>
      </c>
      <c r="B15674" t="str">
        <f>T("   Chine")</f>
        <v xml:space="preserve">   Chine</v>
      </c>
      <c r="C15674">
        <v>11991429</v>
      </c>
      <c r="D15674">
        <v>59904</v>
      </c>
    </row>
    <row r="15675" spans="1:4" x14ac:dyDescent="0.25">
      <c r="A15675" t="str">
        <f>T("   ES")</f>
        <v xml:space="preserve">   ES</v>
      </c>
      <c r="B15675" t="str">
        <f>T("   Espagne")</f>
        <v xml:space="preserve">   Espagne</v>
      </c>
      <c r="C15675">
        <v>48705</v>
      </c>
      <c r="D15675">
        <v>1</v>
      </c>
    </row>
    <row r="15676" spans="1:4" x14ac:dyDescent="0.25">
      <c r="A15676" t="str">
        <f>T("   FR")</f>
        <v xml:space="preserve">   FR</v>
      </c>
      <c r="B15676" t="str">
        <f>T("   France")</f>
        <v xml:space="preserve">   France</v>
      </c>
      <c r="C15676">
        <v>312887</v>
      </c>
      <c r="D15676">
        <v>623</v>
      </c>
    </row>
    <row r="15677" spans="1:4" x14ac:dyDescent="0.25">
      <c r="A15677" t="str">
        <f>T("   HK")</f>
        <v xml:space="preserve">   HK</v>
      </c>
      <c r="B15677" t="str">
        <f>T("   Hong-Kong")</f>
        <v xml:space="preserve">   Hong-Kong</v>
      </c>
      <c r="C15677">
        <v>937192</v>
      </c>
      <c r="D15677">
        <v>1858</v>
      </c>
    </row>
    <row r="15678" spans="1:4" x14ac:dyDescent="0.25">
      <c r="A15678" t="str">
        <f>T("   IN")</f>
        <v xml:space="preserve">   IN</v>
      </c>
      <c r="B15678" t="str">
        <f>T("   Inde")</f>
        <v xml:space="preserve">   Inde</v>
      </c>
      <c r="C15678">
        <v>209897</v>
      </c>
      <c r="D15678">
        <v>200</v>
      </c>
    </row>
    <row r="15679" spans="1:4" x14ac:dyDescent="0.25">
      <c r="A15679" t="str">
        <f>T("   IT")</f>
        <v xml:space="preserve">   IT</v>
      </c>
      <c r="B15679" t="str">
        <f>T("   Italie")</f>
        <v xml:space="preserve">   Italie</v>
      </c>
      <c r="C15679">
        <v>719025</v>
      </c>
      <c r="D15679">
        <v>950</v>
      </c>
    </row>
    <row r="15680" spans="1:4" x14ac:dyDescent="0.25">
      <c r="A15680" t="str">
        <f>T("   TG")</f>
        <v xml:space="preserve">   TG</v>
      </c>
      <c r="B15680" t="str">
        <f>T("   Togo")</f>
        <v xml:space="preserve">   Togo</v>
      </c>
      <c r="C15680">
        <v>1662300</v>
      </c>
      <c r="D15680">
        <v>6380</v>
      </c>
    </row>
    <row r="15681" spans="1:4" x14ac:dyDescent="0.25">
      <c r="A15681" t="str">
        <f>T("950619")</f>
        <v>950619</v>
      </c>
      <c r="B15681" t="str">
        <f>T("MATÉRIEL POUR LA PRATIQUE DU SKI DE NEIGE (À L'EXCL. DES SKIS ET DES FIXATIONS POUR SKIS) [01/01/1988-31/12/1994: MATERIEL POUR LA PRATIQUE DU SKI DE NEIGE, (SAUF SKIS ET FIXATIONS)]")</f>
        <v>MATÉRIEL POUR LA PRATIQUE DU SKI DE NEIGE (À L'EXCL. DES SKIS ET DES FIXATIONS POUR SKIS) [01/01/1988-31/12/1994: MATERIEL POUR LA PRATIQUE DU SKI DE NEIGE, (SAUF SKIS ET FIXATIONS)]</v>
      </c>
    </row>
    <row r="15682" spans="1:4" x14ac:dyDescent="0.25">
      <c r="A15682" t="str">
        <f>T("   ZZZ_Monde")</f>
        <v xml:space="preserve">   ZZZ_Monde</v>
      </c>
      <c r="B15682" t="str">
        <f>T("   ZZZ_Monde")</f>
        <v xml:space="preserve">   ZZZ_Monde</v>
      </c>
      <c r="C15682">
        <v>4762270</v>
      </c>
      <c r="D15682">
        <v>7360</v>
      </c>
    </row>
    <row r="15683" spans="1:4" x14ac:dyDescent="0.25">
      <c r="A15683" t="str">
        <f>T("   FR")</f>
        <v xml:space="preserve">   FR</v>
      </c>
      <c r="B15683" t="str">
        <f>T("   France")</f>
        <v xml:space="preserve">   France</v>
      </c>
      <c r="C15683">
        <v>4762270</v>
      </c>
      <c r="D15683">
        <v>7360</v>
      </c>
    </row>
    <row r="15684" spans="1:4" x14ac:dyDescent="0.25">
      <c r="A15684" t="str">
        <f>T("950629")</f>
        <v>950629</v>
      </c>
      <c r="B15684" t="str">
        <f>T("SKIS NAUTIQUES, AQUAPLANES ET AUTRE MATÉRIEL POUR LA PRATIQUE DES SPORTS NAUTIQUES (À L'EXCL. DES PLANCHES À VOILE) [01/01/1988-31/12/1994: SKIS NAUTIQUES, AQUAPLANES ET AUTRE MATERIEL POUR LES SPORTS NAUTIQUES, SAUF PLANCHES A VOILE]")</f>
        <v>SKIS NAUTIQUES, AQUAPLANES ET AUTRE MATÉRIEL POUR LA PRATIQUE DES SPORTS NAUTIQUES (À L'EXCL. DES PLANCHES À VOILE) [01/01/1988-31/12/1994: SKIS NAUTIQUES, AQUAPLANES ET AUTRE MATERIEL POUR LES SPORTS NAUTIQUES, SAUF PLANCHES A VOILE]</v>
      </c>
    </row>
    <row r="15685" spans="1:4" x14ac:dyDescent="0.25">
      <c r="A15685" t="str">
        <f>T("   ZZZ_Monde")</f>
        <v xml:space="preserve">   ZZZ_Monde</v>
      </c>
      <c r="B15685" t="str">
        <f>T("   ZZZ_Monde")</f>
        <v xml:space="preserve">   ZZZ_Monde</v>
      </c>
      <c r="C15685">
        <v>3614895</v>
      </c>
      <c r="D15685">
        <v>4639</v>
      </c>
    </row>
    <row r="15686" spans="1:4" x14ac:dyDescent="0.25">
      <c r="A15686" t="str">
        <f>T("   CN")</f>
        <v xml:space="preserve">   CN</v>
      </c>
      <c r="B15686" t="str">
        <f>T("   Chine")</f>
        <v xml:space="preserve">   Chine</v>
      </c>
      <c r="C15686">
        <v>3614895</v>
      </c>
      <c r="D15686">
        <v>4639</v>
      </c>
    </row>
    <row r="15687" spans="1:4" x14ac:dyDescent="0.25">
      <c r="A15687" t="str">
        <f>T("950632")</f>
        <v>950632</v>
      </c>
      <c r="B15687" t="str">
        <f>T("BALLES DE GOLF")</f>
        <v>BALLES DE GOLF</v>
      </c>
    </row>
    <row r="15688" spans="1:4" x14ac:dyDescent="0.25">
      <c r="A15688" t="str">
        <f>T("   ZZZ_Monde")</f>
        <v xml:space="preserve">   ZZZ_Monde</v>
      </c>
      <c r="B15688" t="str">
        <f>T("   ZZZ_Monde")</f>
        <v xml:space="preserve">   ZZZ_Monde</v>
      </c>
      <c r="C15688">
        <v>50292</v>
      </c>
      <c r="D15688">
        <v>25</v>
      </c>
    </row>
    <row r="15689" spans="1:4" x14ac:dyDescent="0.25">
      <c r="A15689" t="str">
        <f>T("   GB")</f>
        <v xml:space="preserve">   GB</v>
      </c>
      <c r="B15689" t="str">
        <f>T("   Royaume-Uni")</f>
        <v xml:space="preserve">   Royaume-Uni</v>
      </c>
      <c r="C15689">
        <v>50292</v>
      </c>
      <c r="D15689">
        <v>25</v>
      </c>
    </row>
    <row r="15690" spans="1:4" x14ac:dyDescent="0.25">
      <c r="A15690" t="str">
        <f>T("950640")</f>
        <v>950640</v>
      </c>
      <c r="B15690" t="str">
        <f>T("Articles et matériel pour le tennis de table")</f>
        <v>Articles et matériel pour le tennis de table</v>
      </c>
    </row>
    <row r="15691" spans="1:4" x14ac:dyDescent="0.25">
      <c r="A15691" t="str">
        <f>T("   ZZZ_Monde")</f>
        <v xml:space="preserve">   ZZZ_Monde</v>
      </c>
      <c r="B15691" t="str">
        <f>T("   ZZZ_Monde")</f>
        <v xml:space="preserve">   ZZZ_Monde</v>
      </c>
      <c r="C15691">
        <v>650000</v>
      </c>
      <c r="D15691">
        <v>157</v>
      </c>
    </row>
    <row r="15692" spans="1:4" x14ac:dyDescent="0.25">
      <c r="A15692" t="str">
        <f>T("   FR")</f>
        <v xml:space="preserve">   FR</v>
      </c>
      <c r="B15692" t="str">
        <f>T("   France")</f>
        <v xml:space="preserve">   France</v>
      </c>
      <c r="C15692">
        <v>650000</v>
      </c>
      <c r="D15692">
        <v>157</v>
      </c>
    </row>
    <row r="15693" spans="1:4" x14ac:dyDescent="0.25">
      <c r="A15693" t="str">
        <f>T("950651")</f>
        <v>950651</v>
      </c>
      <c r="B15693" t="str">
        <f>T("Raquettes de tennis, cordées ou non (sauf raquettes de tennis de table)")</f>
        <v>Raquettes de tennis, cordées ou non (sauf raquettes de tennis de table)</v>
      </c>
    </row>
    <row r="15694" spans="1:4" x14ac:dyDescent="0.25">
      <c r="A15694" t="str">
        <f>T("   ZZZ_Monde")</f>
        <v xml:space="preserve">   ZZZ_Monde</v>
      </c>
      <c r="B15694" t="str">
        <f>T("   ZZZ_Monde")</f>
        <v xml:space="preserve">   ZZZ_Monde</v>
      </c>
      <c r="C15694">
        <v>1473560</v>
      </c>
      <c r="D15694">
        <v>513</v>
      </c>
    </row>
    <row r="15695" spans="1:4" x14ac:dyDescent="0.25">
      <c r="A15695" t="str">
        <f>T("   FR")</f>
        <v xml:space="preserve">   FR</v>
      </c>
      <c r="B15695" t="str">
        <f>T("   France")</f>
        <v xml:space="preserve">   France</v>
      </c>
      <c r="C15695">
        <v>1441145</v>
      </c>
      <c r="D15695">
        <v>393</v>
      </c>
    </row>
    <row r="15696" spans="1:4" x14ac:dyDescent="0.25">
      <c r="A15696" t="str">
        <f>T("   TG")</f>
        <v xml:space="preserve">   TG</v>
      </c>
      <c r="B15696" t="str">
        <f>T("   Togo")</f>
        <v xml:space="preserve">   Togo</v>
      </c>
      <c r="C15696">
        <v>32415</v>
      </c>
      <c r="D15696">
        <v>120</v>
      </c>
    </row>
    <row r="15697" spans="1:4" x14ac:dyDescent="0.25">
      <c r="A15697" t="str">
        <f>T("950659")</f>
        <v>950659</v>
      </c>
      <c r="B15697" t="str">
        <f>T("RAQUETTES DE BADMINTON OU SIMIL., MÊME NON CORDÉES (À L'EXCL. DES RAQUETTES DE TENNIS ET DE TENNIS DE TABLE) [01/01/1988-31/12/1994: RAQUETTES DE BADMINTON OU SIMILAIRES, CORDEES OU NON ( SAUF RAQUETTES DE TENNIS ET DE TENNIS DE TABLE)]")</f>
        <v>RAQUETTES DE BADMINTON OU SIMIL., MÊME NON CORDÉES (À L'EXCL. DES RAQUETTES DE TENNIS ET DE TENNIS DE TABLE) [01/01/1988-31/12/1994: RAQUETTES DE BADMINTON OU SIMILAIRES, CORDEES OU NON ( SAUF RAQUETTES DE TENNIS ET DE TENNIS DE TABLE)]</v>
      </c>
    </row>
    <row r="15698" spans="1:4" x14ac:dyDescent="0.25">
      <c r="A15698" t="str">
        <f>T("   ZZZ_Monde")</f>
        <v xml:space="preserve">   ZZZ_Monde</v>
      </c>
      <c r="B15698" t="str">
        <f>T("   ZZZ_Monde")</f>
        <v xml:space="preserve">   ZZZ_Monde</v>
      </c>
      <c r="C15698">
        <v>3585265</v>
      </c>
      <c r="D15698">
        <v>11688</v>
      </c>
    </row>
    <row r="15699" spans="1:4" x14ac:dyDescent="0.25">
      <c r="A15699" t="str">
        <f>T("   CN")</f>
        <v xml:space="preserve">   CN</v>
      </c>
      <c r="B15699" t="str">
        <f>T("   Chine")</f>
        <v xml:space="preserve">   Chine</v>
      </c>
      <c r="C15699">
        <v>408886</v>
      </c>
      <c r="D15699">
        <v>1410</v>
      </c>
    </row>
    <row r="15700" spans="1:4" x14ac:dyDescent="0.25">
      <c r="A15700" t="str">
        <f>T("   SA")</f>
        <v xml:space="preserve">   SA</v>
      </c>
      <c r="B15700" t="str">
        <f>T("   Arabie Saoudite")</f>
        <v xml:space="preserve">   Arabie Saoudite</v>
      </c>
      <c r="C15700">
        <v>3176379</v>
      </c>
      <c r="D15700">
        <v>10278</v>
      </c>
    </row>
    <row r="15701" spans="1:4" x14ac:dyDescent="0.25">
      <c r="A15701" t="str">
        <f>T("950661")</f>
        <v>950661</v>
      </c>
      <c r="B15701" t="str">
        <f>T("Balles de tennis (à l'excl. des balles de tennis de table)")</f>
        <v>Balles de tennis (à l'excl. des balles de tennis de table)</v>
      </c>
    </row>
    <row r="15702" spans="1:4" x14ac:dyDescent="0.25">
      <c r="A15702" t="str">
        <f>T("   ZZZ_Monde")</f>
        <v xml:space="preserve">   ZZZ_Monde</v>
      </c>
      <c r="B15702" t="str">
        <f>T("   ZZZ_Monde")</f>
        <v xml:space="preserve">   ZZZ_Monde</v>
      </c>
      <c r="C15702">
        <v>500000</v>
      </c>
      <c r="D15702">
        <v>200</v>
      </c>
    </row>
    <row r="15703" spans="1:4" x14ac:dyDescent="0.25">
      <c r="A15703" t="str">
        <f>T("   SN")</f>
        <v xml:space="preserve">   SN</v>
      </c>
      <c r="B15703" t="str">
        <f>T("   Sénégal")</f>
        <v xml:space="preserve">   Sénégal</v>
      </c>
      <c r="C15703">
        <v>500000</v>
      </c>
      <c r="D15703">
        <v>200</v>
      </c>
    </row>
    <row r="15704" spans="1:4" x14ac:dyDescent="0.25">
      <c r="A15704" t="str">
        <f>T("950662")</f>
        <v>950662</v>
      </c>
      <c r="B15704" t="str">
        <f>T("Ballons et balles gonflables")</f>
        <v>Ballons et balles gonflables</v>
      </c>
    </row>
    <row r="15705" spans="1:4" x14ac:dyDescent="0.25">
      <c r="A15705" t="str">
        <f>T("   ZZZ_Monde")</f>
        <v xml:space="preserve">   ZZZ_Monde</v>
      </c>
      <c r="B15705" t="str">
        <f>T("   ZZZ_Monde")</f>
        <v xml:space="preserve">   ZZZ_Monde</v>
      </c>
      <c r="C15705">
        <v>5753998</v>
      </c>
      <c r="D15705">
        <v>12193</v>
      </c>
    </row>
    <row r="15706" spans="1:4" x14ac:dyDescent="0.25">
      <c r="A15706" t="str">
        <f>T("   AE")</f>
        <v xml:space="preserve">   AE</v>
      </c>
      <c r="B15706" t="str">
        <f>T("   Emirats Arabes Unis")</f>
        <v xml:space="preserve">   Emirats Arabes Unis</v>
      </c>
      <c r="C15706">
        <v>301511</v>
      </c>
      <c r="D15706">
        <v>1800</v>
      </c>
    </row>
    <row r="15707" spans="1:4" x14ac:dyDescent="0.25">
      <c r="A15707" t="str">
        <f>T("   BE")</f>
        <v xml:space="preserve">   BE</v>
      </c>
      <c r="B15707" t="str">
        <f>T("   Belgique")</f>
        <v xml:space="preserve">   Belgique</v>
      </c>
      <c r="C15707">
        <v>223800</v>
      </c>
      <c r="D15707">
        <v>76</v>
      </c>
    </row>
    <row r="15708" spans="1:4" x14ac:dyDescent="0.25">
      <c r="A15708" t="str">
        <f>T("   CH")</f>
        <v xml:space="preserve">   CH</v>
      </c>
      <c r="B15708" t="str">
        <f>T("   Suisse")</f>
        <v xml:space="preserve">   Suisse</v>
      </c>
      <c r="C15708">
        <v>227579</v>
      </c>
      <c r="D15708">
        <v>275</v>
      </c>
    </row>
    <row r="15709" spans="1:4" x14ac:dyDescent="0.25">
      <c r="A15709" t="str">
        <f>T("   CN")</f>
        <v xml:space="preserve">   CN</v>
      </c>
      <c r="B15709" t="str">
        <f>T("   Chine")</f>
        <v xml:space="preserve">   Chine</v>
      </c>
      <c r="C15709">
        <v>4531264</v>
      </c>
      <c r="D15709">
        <v>9724</v>
      </c>
    </row>
    <row r="15710" spans="1:4" x14ac:dyDescent="0.25">
      <c r="A15710" t="str">
        <f>T("   DE")</f>
        <v xml:space="preserve">   DE</v>
      </c>
      <c r="B15710" t="str">
        <f>T("   Allemagne")</f>
        <v xml:space="preserve">   Allemagne</v>
      </c>
      <c r="C15710">
        <v>31486</v>
      </c>
      <c r="D15710">
        <v>45</v>
      </c>
    </row>
    <row r="15711" spans="1:4" x14ac:dyDescent="0.25">
      <c r="A15711" t="str">
        <f>T("   ES")</f>
        <v xml:space="preserve">   ES</v>
      </c>
      <c r="B15711" t="str">
        <f>T("   Espagne")</f>
        <v xml:space="preserve">   Espagne</v>
      </c>
      <c r="C15711">
        <v>46574</v>
      </c>
      <c r="D15711">
        <v>41</v>
      </c>
    </row>
    <row r="15712" spans="1:4" x14ac:dyDescent="0.25">
      <c r="A15712" t="str">
        <f>T("   NL")</f>
        <v xml:space="preserve">   NL</v>
      </c>
      <c r="B15712" t="str">
        <f>T("   Pays-bas")</f>
        <v xml:space="preserve">   Pays-bas</v>
      </c>
      <c r="C15712">
        <v>36202</v>
      </c>
      <c r="D15712">
        <v>22</v>
      </c>
    </row>
    <row r="15713" spans="1:4" x14ac:dyDescent="0.25">
      <c r="A15713" t="str">
        <f>T("   TG")</f>
        <v xml:space="preserve">   TG</v>
      </c>
      <c r="B15713" t="str">
        <f>T("   Togo")</f>
        <v xml:space="preserve">   Togo</v>
      </c>
      <c r="C15713">
        <v>211777</v>
      </c>
      <c r="D15713">
        <v>180</v>
      </c>
    </row>
    <row r="15714" spans="1:4" x14ac:dyDescent="0.25">
      <c r="A15714" t="str">
        <f>T("   US")</f>
        <v xml:space="preserve">   US</v>
      </c>
      <c r="B15714" t="str">
        <f>T("   Etats-Unis")</f>
        <v xml:space="preserve">   Etats-Unis</v>
      </c>
      <c r="C15714">
        <v>143805</v>
      </c>
      <c r="D15714">
        <v>30</v>
      </c>
    </row>
    <row r="15715" spans="1:4" x14ac:dyDescent="0.25">
      <c r="A15715" t="str">
        <f>T("950669")</f>
        <v>950669</v>
      </c>
      <c r="B15715" t="str">
        <f>T("Ballons et balles (autres que gonflables et autres que balles de golf ou de tennis de table)")</f>
        <v>Ballons et balles (autres que gonflables et autres que balles de golf ou de tennis de table)</v>
      </c>
    </row>
    <row r="15716" spans="1:4" x14ac:dyDescent="0.25">
      <c r="A15716" t="str">
        <f>T("   ZZZ_Monde")</f>
        <v xml:space="preserve">   ZZZ_Monde</v>
      </c>
      <c r="B15716" t="str">
        <f>T("   ZZZ_Monde")</f>
        <v xml:space="preserve">   ZZZ_Monde</v>
      </c>
      <c r="C15716">
        <v>21213227</v>
      </c>
      <c r="D15716">
        <v>57632</v>
      </c>
    </row>
    <row r="15717" spans="1:4" x14ac:dyDescent="0.25">
      <c r="A15717" t="str">
        <f>T("   BE")</f>
        <v xml:space="preserve">   BE</v>
      </c>
      <c r="B15717" t="str">
        <f>T("   Belgique")</f>
        <v xml:space="preserve">   Belgique</v>
      </c>
      <c r="C15717">
        <v>3280</v>
      </c>
      <c r="D15717">
        <v>22</v>
      </c>
    </row>
    <row r="15718" spans="1:4" x14ac:dyDescent="0.25">
      <c r="A15718" t="str">
        <f>T("   CN")</f>
        <v xml:space="preserve">   CN</v>
      </c>
      <c r="B15718" t="str">
        <f>T("   Chine")</f>
        <v xml:space="preserve">   Chine</v>
      </c>
      <c r="C15718">
        <v>14030464</v>
      </c>
      <c r="D15718">
        <v>54002</v>
      </c>
    </row>
    <row r="15719" spans="1:4" x14ac:dyDescent="0.25">
      <c r="A15719" t="str">
        <f>T("   DE")</f>
        <v xml:space="preserve">   DE</v>
      </c>
      <c r="B15719" t="str">
        <f>T("   Allemagne")</f>
        <v xml:space="preserve">   Allemagne</v>
      </c>
      <c r="C15719">
        <v>20335</v>
      </c>
      <c r="D15719">
        <v>50</v>
      </c>
    </row>
    <row r="15720" spans="1:4" x14ac:dyDescent="0.25">
      <c r="A15720" t="str">
        <f>T("   FR")</f>
        <v xml:space="preserve">   FR</v>
      </c>
      <c r="B15720" t="str">
        <f>T("   France")</f>
        <v xml:space="preserve">   France</v>
      </c>
      <c r="C15720">
        <v>6709864</v>
      </c>
      <c r="D15720">
        <v>1757</v>
      </c>
    </row>
    <row r="15721" spans="1:4" x14ac:dyDescent="0.25">
      <c r="A15721" t="str">
        <f>T("   GH")</f>
        <v xml:space="preserve">   GH</v>
      </c>
      <c r="B15721" t="str">
        <f>T("   Ghana")</f>
        <v xml:space="preserve">   Ghana</v>
      </c>
      <c r="C15721">
        <v>183506</v>
      </c>
      <c r="D15721">
        <v>820</v>
      </c>
    </row>
    <row r="15722" spans="1:4" x14ac:dyDescent="0.25">
      <c r="A15722" t="str">
        <f>T("   NG")</f>
        <v xml:space="preserve">   NG</v>
      </c>
      <c r="B15722" t="str">
        <f>T("   Nigéria")</f>
        <v xml:space="preserve">   Nigéria</v>
      </c>
      <c r="C15722">
        <v>30000</v>
      </c>
      <c r="D15722">
        <v>60</v>
      </c>
    </row>
    <row r="15723" spans="1:4" x14ac:dyDescent="0.25">
      <c r="A15723" t="str">
        <f>T("   NL")</f>
        <v xml:space="preserve">   NL</v>
      </c>
      <c r="B15723" t="str">
        <f>T("   Pays-bas")</f>
        <v xml:space="preserve">   Pays-bas</v>
      </c>
      <c r="C15723">
        <v>19679</v>
      </c>
      <c r="D15723">
        <v>21</v>
      </c>
    </row>
    <row r="15724" spans="1:4" x14ac:dyDescent="0.25">
      <c r="A15724" t="str">
        <f>T("   TG")</f>
        <v xml:space="preserve">   TG</v>
      </c>
      <c r="B15724" t="str">
        <f>T("   Togo")</f>
        <v xml:space="preserve">   Togo</v>
      </c>
      <c r="C15724">
        <v>216099</v>
      </c>
      <c r="D15724">
        <v>900</v>
      </c>
    </row>
    <row r="15725" spans="1:4" x14ac:dyDescent="0.25">
      <c r="A15725" t="str">
        <f>T("950691")</f>
        <v>950691</v>
      </c>
      <c r="B15725" t="str">
        <f>T("Articles et matériel pour la culture physique, la gymnastique ou l'athlétisme")</f>
        <v>Articles et matériel pour la culture physique, la gymnastique ou l'athlétisme</v>
      </c>
    </row>
    <row r="15726" spans="1:4" x14ac:dyDescent="0.25">
      <c r="A15726" t="str">
        <f>T("   ZZZ_Monde")</f>
        <v xml:space="preserve">   ZZZ_Monde</v>
      </c>
      <c r="B15726" t="str">
        <f>T("   ZZZ_Monde")</f>
        <v xml:space="preserve">   ZZZ_Monde</v>
      </c>
      <c r="C15726">
        <v>47452338</v>
      </c>
      <c r="D15726">
        <v>60480</v>
      </c>
    </row>
    <row r="15727" spans="1:4" x14ac:dyDescent="0.25">
      <c r="A15727" t="str">
        <f>T("   CN")</f>
        <v xml:space="preserve">   CN</v>
      </c>
      <c r="B15727" t="str">
        <f>T("   Chine")</f>
        <v xml:space="preserve">   Chine</v>
      </c>
      <c r="C15727">
        <v>40894806</v>
      </c>
      <c r="D15727">
        <v>50231</v>
      </c>
    </row>
    <row r="15728" spans="1:4" x14ac:dyDescent="0.25">
      <c r="A15728" t="str">
        <f>T("   DE")</f>
        <v xml:space="preserve">   DE</v>
      </c>
      <c r="B15728" t="str">
        <f>T("   Allemagne")</f>
        <v xml:space="preserve">   Allemagne</v>
      </c>
      <c r="C15728">
        <v>3676000</v>
      </c>
      <c r="D15728">
        <v>8000</v>
      </c>
    </row>
    <row r="15729" spans="1:4" x14ac:dyDescent="0.25">
      <c r="A15729" t="str">
        <f>T("   FR")</f>
        <v xml:space="preserve">   FR</v>
      </c>
      <c r="B15729" t="str">
        <f>T("   France")</f>
        <v xml:space="preserve">   France</v>
      </c>
      <c r="C15729">
        <v>1314544</v>
      </c>
      <c r="D15729">
        <v>274</v>
      </c>
    </row>
    <row r="15730" spans="1:4" x14ac:dyDescent="0.25">
      <c r="A15730" t="str">
        <f>T("   US")</f>
        <v xml:space="preserve">   US</v>
      </c>
      <c r="B15730" t="str">
        <f>T("   Etats-Unis")</f>
        <v xml:space="preserve">   Etats-Unis</v>
      </c>
      <c r="C15730">
        <v>1566988</v>
      </c>
      <c r="D15730">
        <v>1975</v>
      </c>
    </row>
    <row r="15731" spans="1:4" x14ac:dyDescent="0.25">
      <c r="A15731" t="str">
        <f>T("950699")</f>
        <v>950699</v>
      </c>
      <c r="B15731" t="str">
        <f>T("Articles et matériel pour le sport et les jeux de plein air, n.d.a.; piscines et pataugeoires")</f>
        <v>Articles et matériel pour le sport et les jeux de plein air, n.d.a.; piscines et pataugeoires</v>
      </c>
    </row>
    <row r="15732" spans="1:4" x14ac:dyDescent="0.25">
      <c r="A15732" t="str">
        <f>T("   ZZZ_Monde")</f>
        <v xml:space="preserve">   ZZZ_Monde</v>
      </c>
      <c r="B15732" t="str">
        <f>T("   ZZZ_Monde")</f>
        <v xml:space="preserve">   ZZZ_Monde</v>
      </c>
      <c r="C15732">
        <v>45266619</v>
      </c>
      <c r="D15732">
        <v>49886</v>
      </c>
    </row>
    <row r="15733" spans="1:4" x14ac:dyDescent="0.25">
      <c r="A15733" t="str">
        <f>T("   AE")</f>
        <v xml:space="preserve">   AE</v>
      </c>
      <c r="B15733" t="str">
        <f>T("   Emirats Arabes Unis")</f>
        <v xml:space="preserve">   Emirats Arabes Unis</v>
      </c>
      <c r="C15733">
        <v>1052906</v>
      </c>
      <c r="D15733">
        <v>1500</v>
      </c>
    </row>
    <row r="15734" spans="1:4" x14ac:dyDescent="0.25">
      <c r="A15734" t="str">
        <f>T("   BE")</f>
        <v xml:space="preserve">   BE</v>
      </c>
      <c r="B15734" t="str">
        <f>T("   Belgique")</f>
        <v xml:space="preserve">   Belgique</v>
      </c>
      <c r="C15734">
        <v>4480762</v>
      </c>
      <c r="D15734">
        <v>7911</v>
      </c>
    </row>
    <row r="15735" spans="1:4" x14ac:dyDescent="0.25">
      <c r="A15735" t="str">
        <f>T("   CN")</f>
        <v xml:space="preserve">   CN</v>
      </c>
      <c r="B15735" t="str">
        <f>T("   Chine")</f>
        <v xml:space="preserve">   Chine</v>
      </c>
      <c r="C15735">
        <v>9097053</v>
      </c>
      <c r="D15735">
        <v>14087</v>
      </c>
    </row>
    <row r="15736" spans="1:4" x14ac:dyDescent="0.25">
      <c r="A15736" t="str">
        <f>T("   DE")</f>
        <v xml:space="preserve">   DE</v>
      </c>
      <c r="B15736" t="str">
        <f>T("   Allemagne")</f>
        <v xml:space="preserve">   Allemagne</v>
      </c>
      <c r="C15736">
        <v>1246324</v>
      </c>
      <c r="D15736">
        <v>1598</v>
      </c>
    </row>
    <row r="15737" spans="1:4" x14ac:dyDescent="0.25">
      <c r="A15737" t="str">
        <f>T("   ES")</f>
        <v xml:space="preserve">   ES</v>
      </c>
      <c r="B15737" t="str">
        <f>T("   Espagne")</f>
        <v xml:space="preserve">   Espagne</v>
      </c>
      <c r="C15737">
        <v>111517</v>
      </c>
      <c r="D15737">
        <v>300</v>
      </c>
    </row>
    <row r="15738" spans="1:4" x14ac:dyDescent="0.25">
      <c r="A15738" t="str">
        <f>T("   FR")</f>
        <v xml:space="preserve">   FR</v>
      </c>
      <c r="B15738" t="str">
        <f>T("   France")</f>
        <v xml:space="preserve">   France</v>
      </c>
      <c r="C15738">
        <v>26329774</v>
      </c>
      <c r="D15738">
        <v>13592</v>
      </c>
    </row>
    <row r="15739" spans="1:4" x14ac:dyDescent="0.25">
      <c r="A15739" t="str">
        <f>T("   GB")</f>
        <v xml:space="preserve">   GB</v>
      </c>
      <c r="B15739" t="str">
        <f>T("   Royaume-Uni")</f>
        <v xml:space="preserve">   Royaume-Uni</v>
      </c>
      <c r="C15739">
        <v>50509</v>
      </c>
      <c r="D15739">
        <v>25</v>
      </c>
    </row>
    <row r="15740" spans="1:4" x14ac:dyDescent="0.25">
      <c r="A15740" t="str">
        <f>T("   MR")</f>
        <v xml:space="preserve">   MR</v>
      </c>
      <c r="B15740" t="str">
        <f>T("   Mauritanie")</f>
        <v xml:space="preserve">   Mauritanie</v>
      </c>
      <c r="C15740">
        <v>62972</v>
      </c>
      <c r="D15740">
        <v>63</v>
      </c>
    </row>
    <row r="15741" spans="1:4" x14ac:dyDescent="0.25">
      <c r="A15741" t="str">
        <f>T("   TG")</f>
        <v xml:space="preserve">   TG</v>
      </c>
      <c r="B15741" t="str">
        <f>T("   Togo")</f>
        <v xml:space="preserve">   Togo</v>
      </c>
      <c r="C15741">
        <v>790071</v>
      </c>
      <c r="D15741">
        <v>1310</v>
      </c>
    </row>
    <row r="15742" spans="1:4" x14ac:dyDescent="0.25">
      <c r="A15742" t="str">
        <f>T("   US")</f>
        <v xml:space="preserve">   US</v>
      </c>
      <c r="B15742" t="str">
        <f>T("   Etats-Unis")</f>
        <v xml:space="preserve">   Etats-Unis</v>
      </c>
      <c r="C15742">
        <v>2044731</v>
      </c>
      <c r="D15742">
        <v>9500</v>
      </c>
    </row>
    <row r="15743" spans="1:4" x14ac:dyDescent="0.25">
      <c r="A15743" t="str">
        <f>T("950810")</f>
        <v>950810</v>
      </c>
      <c r="B15743" t="str">
        <f>T("Cirques ambulants et ménageries ambulantes")</f>
        <v>Cirques ambulants et ménageries ambulantes</v>
      </c>
    </row>
    <row r="15744" spans="1:4" x14ac:dyDescent="0.25">
      <c r="A15744" t="str">
        <f>T("   ZZZ_Monde")</f>
        <v xml:space="preserve">   ZZZ_Monde</v>
      </c>
      <c r="B15744" t="str">
        <f>T("   ZZZ_Monde")</f>
        <v xml:space="preserve">   ZZZ_Monde</v>
      </c>
      <c r="C15744">
        <v>3000000</v>
      </c>
      <c r="D15744">
        <v>2600</v>
      </c>
    </row>
    <row r="15745" spans="1:4" x14ac:dyDescent="0.25">
      <c r="A15745" t="str">
        <f>T("   TG")</f>
        <v xml:space="preserve">   TG</v>
      </c>
      <c r="B15745" t="str">
        <f>T("   Togo")</f>
        <v xml:space="preserve">   Togo</v>
      </c>
      <c r="C15745">
        <v>3000000</v>
      </c>
      <c r="D15745">
        <v>2600</v>
      </c>
    </row>
    <row r="15746" spans="1:4" x14ac:dyDescent="0.25">
      <c r="A15746" t="str">
        <f>T("950890")</f>
        <v>950890</v>
      </c>
      <c r="B15746" t="str">
        <f>T("Manèges, balançoires, stands de tir et autres attractions foraines; théâtres ambulants (sauf cirques ambulants et ménageries ambulantes, installations foraines pour la vente de marchandises, y.c. de certaines marchandises, articles offerts en prix, jeux f")</f>
        <v>Manèges, balançoires, stands de tir et autres attractions foraines; théâtres ambulants (sauf cirques ambulants et ménageries ambulantes, installations foraines pour la vente de marchandises, y.c. de certaines marchandises, articles offerts en prix, jeux f</v>
      </c>
    </row>
    <row r="15747" spans="1:4" x14ac:dyDescent="0.25">
      <c r="A15747" t="str">
        <f>T("   ZZZ_Monde")</f>
        <v xml:space="preserve">   ZZZ_Monde</v>
      </c>
      <c r="B15747" t="str">
        <f>T("   ZZZ_Monde")</f>
        <v xml:space="preserve">   ZZZ_Monde</v>
      </c>
      <c r="C15747">
        <v>170800</v>
      </c>
      <c r="D15747">
        <v>158</v>
      </c>
    </row>
    <row r="15748" spans="1:4" x14ac:dyDescent="0.25">
      <c r="A15748" t="str">
        <f>T("   CG")</f>
        <v xml:space="preserve">   CG</v>
      </c>
      <c r="B15748" t="str">
        <f>T("   Congo (Brazzaville)")</f>
        <v xml:space="preserve">   Congo (Brazzaville)</v>
      </c>
      <c r="C15748">
        <v>170800</v>
      </c>
      <c r="D15748">
        <v>158</v>
      </c>
    </row>
    <row r="15749" spans="1:4" x14ac:dyDescent="0.25">
      <c r="A15749" t="str">
        <f>T("960200")</f>
        <v>960200</v>
      </c>
      <c r="B15749" t="str">
        <f>T("Matières végétales ou minérales à tailler, travaillées, et ouvrages en ces matières, n.d.a.; ouvrages moulés ou taillés en cire, en paraffine, en stéarine, en gommes ou résines naturelles, en pâtes à modeler, et autres ouvrages moulés ou taillés, n.d.a.;")</f>
        <v>Matières végétales ou minérales à tailler, travaillées, et ouvrages en ces matières, n.d.a.; ouvrages moulés ou taillés en cire, en paraffine, en stéarine, en gommes ou résines naturelles, en pâtes à modeler, et autres ouvrages moulés ou taillés, n.d.a.;</v>
      </c>
    </row>
    <row r="15750" spans="1:4" x14ac:dyDescent="0.25">
      <c r="A15750" t="str">
        <f>T("   ZZZ_Monde")</f>
        <v xml:space="preserve">   ZZZ_Monde</v>
      </c>
      <c r="B15750" t="str">
        <f>T("   ZZZ_Monde")</f>
        <v xml:space="preserve">   ZZZ_Monde</v>
      </c>
      <c r="C15750">
        <v>674571</v>
      </c>
      <c r="D15750">
        <v>11.7</v>
      </c>
    </row>
    <row r="15751" spans="1:4" x14ac:dyDescent="0.25">
      <c r="A15751" t="str">
        <f>T("   FR")</f>
        <v xml:space="preserve">   FR</v>
      </c>
      <c r="B15751" t="str">
        <f>T("   France")</f>
        <v xml:space="preserve">   France</v>
      </c>
      <c r="C15751">
        <v>674571</v>
      </c>
      <c r="D15751">
        <v>11.7</v>
      </c>
    </row>
    <row r="15752" spans="1:4" x14ac:dyDescent="0.25">
      <c r="A15752" t="str">
        <f>T("960310")</f>
        <v>960310</v>
      </c>
      <c r="B15752" t="str">
        <f>T("Balais et balayettes consistant en matières végétales en bottes liées")</f>
        <v>Balais et balayettes consistant en matières végétales en bottes liées</v>
      </c>
    </row>
    <row r="15753" spans="1:4" x14ac:dyDescent="0.25">
      <c r="A15753" t="str">
        <f>T("   ZZZ_Monde")</f>
        <v xml:space="preserve">   ZZZ_Monde</v>
      </c>
      <c r="B15753" t="str">
        <f>T("   ZZZ_Monde")</f>
        <v xml:space="preserve">   ZZZ_Monde</v>
      </c>
      <c r="C15753">
        <v>54967493</v>
      </c>
      <c r="D15753">
        <v>81235</v>
      </c>
    </row>
    <row r="15754" spans="1:4" x14ac:dyDescent="0.25">
      <c r="A15754" t="str">
        <f>T("   AE")</f>
        <v xml:space="preserve">   AE</v>
      </c>
      <c r="B15754" t="str">
        <f>T("   Emirats Arabes Unis")</f>
        <v xml:space="preserve">   Emirats Arabes Unis</v>
      </c>
      <c r="C15754">
        <v>195575</v>
      </c>
      <c r="D15754">
        <v>1046</v>
      </c>
    </row>
    <row r="15755" spans="1:4" x14ac:dyDescent="0.25">
      <c r="A15755" t="str">
        <f>T("   CN")</f>
        <v xml:space="preserve">   CN</v>
      </c>
      <c r="B15755" t="str">
        <f>T("   Chine")</f>
        <v xml:space="preserve">   Chine</v>
      </c>
      <c r="C15755">
        <v>7040701</v>
      </c>
      <c r="D15755">
        <v>18690</v>
      </c>
    </row>
    <row r="15756" spans="1:4" x14ac:dyDescent="0.25">
      <c r="A15756" t="str">
        <f>T("   FR")</f>
        <v xml:space="preserve">   FR</v>
      </c>
      <c r="B15756" t="str">
        <f>T("   France")</f>
        <v xml:space="preserve">   France</v>
      </c>
      <c r="C15756">
        <v>26048500</v>
      </c>
      <c r="D15756">
        <v>29212</v>
      </c>
    </row>
    <row r="15757" spans="1:4" x14ac:dyDescent="0.25">
      <c r="A15757" t="str">
        <f>T("   GB")</f>
        <v xml:space="preserve">   GB</v>
      </c>
      <c r="B15757" t="str">
        <f>T("   Royaume-Uni")</f>
        <v xml:space="preserve">   Royaume-Uni</v>
      </c>
      <c r="C15757">
        <v>943961</v>
      </c>
      <c r="D15757">
        <v>1334</v>
      </c>
    </row>
    <row r="15758" spans="1:4" x14ac:dyDescent="0.25">
      <c r="A15758" t="str">
        <f>T("   IT")</f>
        <v xml:space="preserve">   IT</v>
      </c>
      <c r="B15758" t="str">
        <f>T("   Italie")</f>
        <v xml:space="preserve">   Italie</v>
      </c>
      <c r="C15758">
        <v>11897801</v>
      </c>
      <c r="D15758">
        <v>10683</v>
      </c>
    </row>
    <row r="15759" spans="1:4" x14ac:dyDescent="0.25">
      <c r="A15759" t="str">
        <f>T("   LB")</f>
        <v xml:space="preserve">   LB</v>
      </c>
      <c r="B15759" t="str">
        <f>T("   Liban")</f>
        <v xml:space="preserve">   Liban</v>
      </c>
      <c r="C15759">
        <v>94886</v>
      </c>
      <c r="D15759">
        <v>1000</v>
      </c>
    </row>
    <row r="15760" spans="1:4" x14ac:dyDescent="0.25">
      <c r="A15760" t="str">
        <f>T("   SY")</f>
        <v xml:space="preserve">   SY</v>
      </c>
      <c r="B15760" t="str">
        <f>T("   Syrienne, République arabe")</f>
        <v xml:space="preserve">   Syrienne, République arabe</v>
      </c>
      <c r="C15760">
        <v>6991071</v>
      </c>
      <c r="D15760">
        <v>16030</v>
      </c>
    </row>
    <row r="15761" spans="1:4" x14ac:dyDescent="0.25">
      <c r="A15761" t="str">
        <f>T("   TG")</f>
        <v xml:space="preserve">   TG</v>
      </c>
      <c r="B15761" t="str">
        <f>T("   Togo")</f>
        <v xml:space="preserve">   Togo</v>
      </c>
      <c r="C15761">
        <v>1754998</v>
      </c>
      <c r="D15761">
        <v>3240</v>
      </c>
    </row>
    <row r="15762" spans="1:4" x14ac:dyDescent="0.25">
      <c r="A15762" t="str">
        <f>T("960321")</f>
        <v>960321</v>
      </c>
      <c r="B15762" t="str">
        <f>T("Brosses à dent, y.c. brosses à prothèses dentaires")</f>
        <v>Brosses à dent, y.c. brosses à prothèses dentaires</v>
      </c>
    </row>
    <row r="15763" spans="1:4" x14ac:dyDescent="0.25">
      <c r="A15763" t="str">
        <f>T("   ZZZ_Monde")</f>
        <v xml:space="preserve">   ZZZ_Monde</v>
      </c>
      <c r="B15763" t="str">
        <f>T("   ZZZ_Monde")</f>
        <v xml:space="preserve">   ZZZ_Monde</v>
      </c>
      <c r="C15763">
        <v>73364453</v>
      </c>
      <c r="D15763">
        <v>90075.8</v>
      </c>
    </row>
    <row r="15764" spans="1:4" x14ac:dyDescent="0.25">
      <c r="A15764" t="str">
        <f>T("   BE")</f>
        <v xml:space="preserve">   BE</v>
      </c>
      <c r="B15764" t="str">
        <f>T("   Belgique")</f>
        <v xml:space="preserve">   Belgique</v>
      </c>
      <c r="C15764">
        <v>2099614</v>
      </c>
      <c r="D15764">
        <v>3336</v>
      </c>
    </row>
    <row r="15765" spans="1:4" x14ac:dyDescent="0.25">
      <c r="A15765" t="str">
        <f>T("   CN")</f>
        <v xml:space="preserve">   CN</v>
      </c>
      <c r="B15765" t="str">
        <f>T("   Chine")</f>
        <v xml:space="preserve">   Chine</v>
      </c>
      <c r="C15765">
        <v>1771144</v>
      </c>
      <c r="D15765">
        <v>1612</v>
      </c>
    </row>
    <row r="15766" spans="1:4" x14ac:dyDescent="0.25">
      <c r="A15766" t="str">
        <f>T("   ES")</f>
        <v xml:space="preserve">   ES</v>
      </c>
      <c r="B15766" t="str">
        <f>T("   Espagne")</f>
        <v xml:space="preserve">   Espagne</v>
      </c>
      <c r="C15766">
        <v>4541211</v>
      </c>
      <c r="D15766">
        <v>4705</v>
      </c>
    </row>
    <row r="15767" spans="1:4" x14ac:dyDescent="0.25">
      <c r="A15767" t="str">
        <f>T("   FR")</f>
        <v xml:space="preserve">   FR</v>
      </c>
      <c r="B15767" t="str">
        <f>T("   France")</f>
        <v xml:space="preserve">   France</v>
      </c>
      <c r="C15767">
        <v>44575987</v>
      </c>
      <c r="D15767">
        <v>9031.7999999999993</v>
      </c>
    </row>
    <row r="15768" spans="1:4" x14ac:dyDescent="0.25">
      <c r="A15768" t="str">
        <f>T("   GH")</f>
        <v xml:space="preserve">   GH</v>
      </c>
      <c r="B15768" t="str">
        <f>T("   Ghana")</f>
        <v xml:space="preserve">   Ghana</v>
      </c>
      <c r="C15768">
        <v>1990000</v>
      </c>
      <c r="D15768">
        <v>16439</v>
      </c>
    </row>
    <row r="15769" spans="1:4" x14ac:dyDescent="0.25">
      <c r="A15769" t="str">
        <f>T("   NG")</f>
        <v xml:space="preserve">   NG</v>
      </c>
      <c r="B15769" t="str">
        <f>T("   Nigéria")</f>
        <v xml:space="preserve">   Nigéria</v>
      </c>
      <c r="C15769">
        <v>829400</v>
      </c>
      <c r="D15769">
        <v>754</v>
      </c>
    </row>
    <row r="15770" spans="1:4" x14ac:dyDescent="0.25">
      <c r="A15770" t="str">
        <f>T("   SN")</f>
        <v xml:space="preserve">   SN</v>
      </c>
      <c r="B15770" t="str">
        <f>T("   Sénégal")</f>
        <v xml:space="preserve">   Sénégal</v>
      </c>
      <c r="C15770">
        <v>9556859</v>
      </c>
      <c r="D15770">
        <v>4765</v>
      </c>
    </row>
    <row r="15771" spans="1:4" x14ac:dyDescent="0.25">
      <c r="A15771" t="str">
        <f>T("   TG")</f>
        <v xml:space="preserve">   TG</v>
      </c>
      <c r="B15771" t="str">
        <f>T("   Togo")</f>
        <v xml:space="preserve">   Togo</v>
      </c>
      <c r="C15771">
        <v>8000238</v>
      </c>
      <c r="D15771">
        <v>49433</v>
      </c>
    </row>
    <row r="15772" spans="1:4" x14ac:dyDescent="0.25">
      <c r="A15772" t="str">
        <f>T("960329")</f>
        <v>960329</v>
      </c>
      <c r="B15772" t="str">
        <f>T("Brosses et pinceaux à barbe, à cheveux, à cils ou à ongles et autres brosses pour la toilette des personnes, sauf brosses à dent")</f>
        <v>Brosses et pinceaux à barbe, à cheveux, à cils ou à ongles et autres brosses pour la toilette des personnes, sauf brosses à dent</v>
      </c>
    </row>
    <row r="15773" spans="1:4" x14ac:dyDescent="0.25">
      <c r="A15773" t="str">
        <f>T("   ZZZ_Monde")</f>
        <v xml:space="preserve">   ZZZ_Monde</v>
      </c>
      <c r="B15773" t="str">
        <f>T("   ZZZ_Monde")</f>
        <v xml:space="preserve">   ZZZ_Monde</v>
      </c>
      <c r="C15773">
        <v>19283347</v>
      </c>
      <c r="D15773">
        <v>49975</v>
      </c>
    </row>
    <row r="15774" spans="1:4" x14ac:dyDescent="0.25">
      <c r="A15774" t="str">
        <f>T("   CN")</f>
        <v xml:space="preserve">   CN</v>
      </c>
      <c r="B15774" t="str">
        <f>T("   Chine")</f>
        <v xml:space="preserve">   Chine</v>
      </c>
      <c r="C15774">
        <v>15481119</v>
      </c>
      <c r="D15774">
        <v>46560</v>
      </c>
    </row>
    <row r="15775" spans="1:4" x14ac:dyDescent="0.25">
      <c r="A15775" t="str">
        <f>T("   FR")</f>
        <v xml:space="preserve">   FR</v>
      </c>
      <c r="B15775" t="str">
        <f>T("   France")</f>
        <v xml:space="preserve">   France</v>
      </c>
      <c r="C15775">
        <v>3572989</v>
      </c>
      <c r="D15775">
        <v>3335</v>
      </c>
    </row>
    <row r="15776" spans="1:4" x14ac:dyDescent="0.25">
      <c r="A15776" t="str">
        <f>T("   IN")</f>
        <v xml:space="preserve">   IN</v>
      </c>
      <c r="B15776" t="str">
        <f>T("   Inde")</f>
        <v xml:space="preserve">   Inde</v>
      </c>
      <c r="C15776">
        <v>221135</v>
      </c>
      <c r="D15776">
        <v>60</v>
      </c>
    </row>
    <row r="15777" spans="1:4" x14ac:dyDescent="0.25">
      <c r="A15777" t="str">
        <f>T("   TG")</f>
        <v xml:space="preserve">   TG</v>
      </c>
      <c r="B15777" t="str">
        <f>T("   Togo")</f>
        <v xml:space="preserve">   Togo</v>
      </c>
      <c r="C15777">
        <v>8104</v>
      </c>
      <c r="D15777">
        <v>20</v>
      </c>
    </row>
    <row r="15778" spans="1:4" x14ac:dyDescent="0.25">
      <c r="A15778" t="str">
        <f>T("960330")</f>
        <v>960330</v>
      </c>
      <c r="B15778" t="str">
        <f>T("Pinceaux et brosses pour artistes, pinceaux à écrire et pinceaux simil. pour l'application des produits cosmétiques")</f>
        <v>Pinceaux et brosses pour artistes, pinceaux à écrire et pinceaux simil. pour l'application des produits cosmétiques</v>
      </c>
    </row>
    <row r="15779" spans="1:4" x14ac:dyDescent="0.25">
      <c r="A15779" t="str">
        <f>T("   ZZZ_Monde")</f>
        <v xml:space="preserve">   ZZZ_Monde</v>
      </c>
      <c r="B15779" t="str">
        <f>T("   ZZZ_Monde")</f>
        <v xml:space="preserve">   ZZZ_Monde</v>
      </c>
      <c r="C15779">
        <v>1952836</v>
      </c>
      <c r="D15779">
        <v>6921</v>
      </c>
    </row>
    <row r="15780" spans="1:4" x14ac:dyDescent="0.25">
      <c r="A15780" t="str">
        <f>T("   CN")</f>
        <v xml:space="preserve">   CN</v>
      </c>
      <c r="B15780" t="str">
        <f>T("   Chine")</f>
        <v xml:space="preserve">   Chine</v>
      </c>
      <c r="C15780">
        <v>1023892</v>
      </c>
      <c r="D15780">
        <v>5980</v>
      </c>
    </row>
    <row r="15781" spans="1:4" x14ac:dyDescent="0.25">
      <c r="A15781" t="str">
        <f>T("   FR")</f>
        <v xml:space="preserve">   FR</v>
      </c>
      <c r="B15781" t="str">
        <f>T("   France")</f>
        <v xml:space="preserve">   France</v>
      </c>
      <c r="C15781">
        <v>243243</v>
      </c>
      <c r="D15781">
        <v>3</v>
      </c>
    </row>
    <row r="15782" spans="1:4" x14ac:dyDescent="0.25">
      <c r="A15782" t="str">
        <f>T("   NL")</f>
        <v xml:space="preserve">   NL</v>
      </c>
      <c r="B15782" t="str">
        <f>T("   Pays-bas")</f>
        <v xml:space="preserve">   Pays-bas</v>
      </c>
      <c r="C15782">
        <v>685701</v>
      </c>
      <c r="D15782">
        <v>938</v>
      </c>
    </row>
    <row r="15783" spans="1:4" x14ac:dyDescent="0.25">
      <c r="A15783" t="str">
        <f>T("960340")</f>
        <v>960340</v>
      </c>
      <c r="B15783" t="str">
        <f>T("Brosses et pinceaux à peindre, à badigeonner, à vernir ou simil., sauf pinceaux pour artistes et pinceaux simil. du n° 9603.30; tampons et rouleaux à peindre")</f>
        <v>Brosses et pinceaux à peindre, à badigeonner, à vernir ou simil., sauf pinceaux pour artistes et pinceaux simil. du n° 9603.30; tampons et rouleaux à peindre</v>
      </c>
    </row>
    <row r="15784" spans="1:4" x14ac:dyDescent="0.25">
      <c r="A15784" t="str">
        <f>T("   ZZZ_Monde")</f>
        <v xml:space="preserve">   ZZZ_Monde</v>
      </c>
      <c r="B15784" t="str">
        <f>T("   ZZZ_Monde")</f>
        <v xml:space="preserve">   ZZZ_Monde</v>
      </c>
      <c r="C15784">
        <v>8389379</v>
      </c>
      <c r="D15784">
        <v>20007</v>
      </c>
    </row>
    <row r="15785" spans="1:4" x14ac:dyDescent="0.25">
      <c r="A15785" t="str">
        <f>T("   BE")</f>
        <v xml:space="preserve">   BE</v>
      </c>
      <c r="B15785" t="str">
        <f>T("   Belgique")</f>
        <v xml:space="preserve">   Belgique</v>
      </c>
      <c r="C15785">
        <v>1262723</v>
      </c>
      <c r="D15785">
        <v>2069</v>
      </c>
    </row>
    <row r="15786" spans="1:4" x14ac:dyDescent="0.25">
      <c r="A15786" t="str">
        <f>T("   CN")</f>
        <v xml:space="preserve">   CN</v>
      </c>
      <c r="B15786" t="str">
        <f>T("   Chine")</f>
        <v xml:space="preserve">   Chine</v>
      </c>
      <c r="C15786">
        <v>6104641</v>
      </c>
      <c r="D15786">
        <v>17338</v>
      </c>
    </row>
    <row r="15787" spans="1:4" x14ac:dyDescent="0.25">
      <c r="A15787" t="str">
        <f>T("   DE")</f>
        <v xml:space="preserve">   DE</v>
      </c>
      <c r="B15787" t="str">
        <f>T("   Allemagne")</f>
        <v xml:space="preserve">   Allemagne</v>
      </c>
      <c r="C15787">
        <v>5248</v>
      </c>
      <c r="D15787">
        <v>1</v>
      </c>
    </row>
    <row r="15788" spans="1:4" x14ac:dyDescent="0.25">
      <c r="A15788" t="str">
        <f>T("   FR")</f>
        <v xml:space="preserve">   FR</v>
      </c>
      <c r="B15788" t="str">
        <f>T("   France")</f>
        <v xml:space="preserve">   France</v>
      </c>
      <c r="C15788">
        <v>758970</v>
      </c>
      <c r="D15788">
        <v>51</v>
      </c>
    </row>
    <row r="15789" spans="1:4" x14ac:dyDescent="0.25">
      <c r="A15789" t="str">
        <f>T("   LB")</f>
        <v xml:space="preserve">   LB</v>
      </c>
      <c r="B15789" t="str">
        <f>T("   Liban")</f>
        <v xml:space="preserve">   Liban</v>
      </c>
      <c r="C15789">
        <v>257797</v>
      </c>
      <c r="D15789">
        <v>548</v>
      </c>
    </row>
    <row r="15790" spans="1:4" x14ac:dyDescent="0.25">
      <c r="A15790" t="str">
        <f>T("960350")</f>
        <v>960350</v>
      </c>
      <c r="B15790" t="str">
        <f>T("Brosses constituant des parties de machines, d'appareils ou de véhicules")</f>
        <v>Brosses constituant des parties de machines, d'appareils ou de véhicules</v>
      </c>
    </row>
    <row r="15791" spans="1:4" x14ac:dyDescent="0.25">
      <c r="A15791" t="str">
        <f>T("   ZZZ_Monde")</f>
        <v xml:space="preserve">   ZZZ_Monde</v>
      </c>
      <c r="B15791" t="str">
        <f>T("   ZZZ_Monde")</f>
        <v xml:space="preserve">   ZZZ_Monde</v>
      </c>
      <c r="C15791">
        <v>1335969</v>
      </c>
      <c r="D15791">
        <v>8182</v>
      </c>
    </row>
    <row r="15792" spans="1:4" x14ac:dyDescent="0.25">
      <c r="A15792" t="str">
        <f>T("   CN")</f>
        <v xml:space="preserve">   CN</v>
      </c>
      <c r="B15792" t="str">
        <f>T("   Chine")</f>
        <v xml:space="preserve">   Chine</v>
      </c>
      <c r="C15792">
        <v>1000000</v>
      </c>
      <c r="D15792">
        <v>8130</v>
      </c>
    </row>
    <row r="15793" spans="1:4" x14ac:dyDescent="0.25">
      <c r="A15793" t="str">
        <f>T("   IT")</f>
        <v xml:space="preserve">   IT</v>
      </c>
      <c r="B15793" t="str">
        <f>T("   Italie")</f>
        <v xml:space="preserve">   Italie</v>
      </c>
      <c r="C15793">
        <v>281033</v>
      </c>
      <c r="D15793">
        <v>48</v>
      </c>
    </row>
    <row r="15794" spans="1:4" x14ac:dyDescent="0.25">
      <c r="A15794" t="str">
        <f>T("   US")</f>
        <v xml:space="preserve">   US</v>
      </c>
      <c r="B15794" t="str">
        <f>T("   Etats-Unis")</f>
        <v xml:space="preserve">   Etats-Unis</v>
      </c>
      <c r="C15794">
        <v>54936</v>
      </c>
      <c r="D15794">
        <v>4</v>
      </c>
    </row>
    <row r="15795" spans="1:4" x14ac:dyDescent="0.25">
      <c r="A15795" t="str">
        <f>T("960390")</f>
        <v>960390</v>
      </c>
      <c r="B15795" t="str">
        <f>T("ARTICLES DE BROSSERIE (SAUF DU N° 9603.10 À 9603.50), P.EX. TÊTES PRÉPARÉES POUR ARTICLES DE BROSSERIE ET RACLETTES EN CAOUTCHOUC OU EN MATIÈRES SOUPLES ANALOGUES")</f>
        <v>ARTICLES DE BROSSERIE (SAUF DU N° 9603.10 À 9603.50), P.EX. TÊTES PRÉPARÉES POUR ARTICLES DE BROSSERIE ET RACLETTES EN CAOUTCHOUC OU EN MATIÈRES SOUPLES ANALOGUES</v>
      </c>
    </row>
    <row r="15796" spans="1:4" x14ac:dyDescent="0.25">
      <c r="A15796" t="str">
        <f>T("   ZZZ_Monde")</f>
        <v xml:space="preserve">   ZZZ_Monde</v>
      </c>
      <c r="B15796" t="str">
        <f>T("   ZZZ_Monde")</f>
        <v xml:space="preserve">   ZZZ_Monde</v>
      </c>
      <c r="C15796">
        <v>50377082</v>
      </c>
      <c r="D15796">
        <v>116920</v>
      </c>
    </row>
    <row r="15797" spans="1:4" x14ac:dyDescent="0.25">
      <c r="A15797" t="str">
        <f>T("   AE")</f>
        <v xml:space="preserve">   AE</v>
      </c>
      <c r="B15797" t="str">
        <f>T("   Emirats Arabes Unis")</f>
        <v xml:space="preserve">   Emirats Arabes Unis</v>
      </c>
      <c r="C15797">
        <v>321644</v>
      </c>
      <c r="D15797">
        <v>10</v>
      </c>
    </row>
    <row r="15798" spans="1:4" x14ac:dyDescent="0.25">
      <c r="A15798" t="str">
        <f>T("   BE")</f>
        <v xml:space="preserve">   BE</v>
      </c>
      <c r="B15798" t="str">
        <f>T("   Belgique")</f>
        <v xml:space="preserve">   Belgique</v>
      </c>
      <c r="C15798">
        <v>112825</v>
      </c>
      <c r="D15798">
        <v>58</v>
      </c>
    </row>
    <row r="15799" spans="1:4" x14ac:dyDescent="0.25">
      <c r="A15799" t="str">
        <f>T("   CN")</f>
        <v xml:space="preserve">   CN</v>
      </c>
      <c r="B15799" t="str">
        <f>T("   Chine")</f>
        <v xml:space="preserve">   Chine</v>
      </c>
      <c r="C15799">
        <v>19579830</v>
      </c>
      <c r="D15799">
        <v>44111</v>
      </c>
    </row>
    <row r="15800" spans="1:4" x14ac:dyDescent="0.25">
      <c r="A15800" t="str">
        <f>T("   FR")</f>
        <v xml:space="preserve">   FR</v>
      </c>
      <c r="B15800" t="str">
        <f>T("   France")</f>
        <v xml:space="preserve">   France</v>
      </c>
      <c r="C15800">
        <v>17826950</v>
      </c>
      <c r="D15800">
        <v>7444</v>
      </c>
    </row>
    <row r="15801" spans="1:4" x14ac:dyDescent="0.25">
      <c r="A15801" t="str">
        <f>T("   GB")</f>
        <v xml:space="preserve">   GB</v>
      </c>
      <c r="B15801" t="str">
        <f>T("   Royaume-Uni")</f>
        <v xml:space="preserve">   Royaume-Uni</v>
      </c>
      <c r="C15801">
        <v>19625</v>
      </c>
      <c r="D15801">
        <v>20</v>
      </c>
    </row>
    <row r="15802" spans="1:4" x14ac:dyDescent="0.25">
      <c r="A15802" t="str">
        <f>T("   IT")</f>
        <v xml:space="preserve">   IT</v>
      </c>
      <c r="B15802" t="str">
        <f>T("   Italie")</f>
        <v xml:space="preserve">   Italie</v>
      </c>
      <c r="C15802">
        <v>5367065</v>
      </c>
      <c r="D15802">
        <v>5577</v>
      </c>
    </row>
    <row r="15803" spans="1:4" x14ac:dyDescent="0.25">
      <c r="A15803" t="str">
        <f>T("   LB")</f>
        <v xml:space="preserve">   LB</v>
      </c>
      <c r="B15803" t="str">
        <f>T("   Liban")</f>
        <v xml:space="preserve">   Liban</v>
      </c>
      <c r="C15803">
        <v>237134</v>
      </c>
      <c r="D15803">
        <v>1675</v>
      </c>
    </row>
    <row r="15804" spans="1:4" x14ac:dyDescent="0.25">
      <c r="A15804" t="str">
        <f>T("   NL")</f>
        <v xml:space="preserve">   NL</v>
      </c>
      <c r="B15804" t="str">
        <f>T("   Pays-bas")</f>
        <v xml:space="preserve">   Pays-bas</v>
      </c>
      <c r="C15804">
        <v>156118</v>
      </c>
      <c r="D15804">
        <v>50</v>
      </c>
    </row>
    <row r="15805" spans="1:4" x14ac:dyDescent="0.25">
      <c r="A15805" t="str">
        <f>T("   TG")</f>
        <v xml:space="preserve">   TG</v>
      </c>
      <c r="B15805" t="str">
        <f>T("   Togo")</f>
        <v xml:space="preserve">   Togo</v>
      </c>
      <c r="C15805">
        <v>150937</v>
      </c>
      <c r="D15805">
        <v>616</v>
      </c>
    </row>
    <row r="15806" spans="1:4" x14ac:dyDescent="0.25">
      <c r="A15806" t="str">
        <f>T("   TR")</f>
        <v xml:space="preserve">   TR</v>
      </c>
      <c r="B15806" t="str">
        <f>T("   Turquie")</f>
        <v xml:space="preserve">   Turquie</v>
      </c>
      <c r="C15806">
        <v>4074954</v>
      </c>
      <c r="D15806">
        <v>1416</v>
      </c>
    </row>
    <row r="15807" spans="1:4" x14ac:dyDescent="0.25">
      <c r="A15807" t="str">
        <f>T("   Z2")</f>
        <v xml:space="preserve">   Z2</v>
      </c>
      <c r="B15807" t="str">
        <f>T("   Pays non défini")</f>
        <v xml:space="preserve">   Pays non défini</v>
      </c>
      <c r="C15807">
        <v>2530000</v>
      </c>
      <c r="D15807">
        <v>55943</v>
      </c>
    </row>
    <row r="15808" spans="1:4" x14ac:dyDescent="0.25">
      <c r="A15808" t="str">
        <f>T("960400")</f>
        <v>960400</v>
      </c>
      <c r="B15808" t="str">
        <f>T("Tamis et cribles, à main (sauf simples égouttoirs et passoires)")</f>
        <v>Tamis et cribles, à main (sauf simples égouttoirs et passoires)</v>
      </c>
    </row>
    <row r="15809" spans="1:4" x14ac:dyDescent="0.25">
      <c r="A15809" t="str">
        <f>T("   ZZZ_Monde")</f>
        <v xml:space="preserve">   ZZZ_Monde</v>
      </c>
      <c r="B15809" t="str">
        <f>T("   ZZZ_Monde")</f>
        <v xml:space="preserve">   ZZZ_Monde</v>
      </c>
      <c r="C15809">
        <v>14659920</v>
      </c>
      <c r="D15809">
        <v>3722</v>
      </c>
    </row>
    <row r="15810" spans="1:4" x14ac:dyDescent="0.25">
      <c r="A15810" t="str">
        <f>T("   CN")</f>
        <v xml:space="preserve">   CN</v>
      </c>
      <c r="B15810" t="str">
        <f>T("   Chine")</f>
        <v xml:space="preserve">   Chine</v>
      </c>
      <c r="C15810">
        <v>1319651</v>
      </c>
      <c r="D15810">
        <v>2963</v>
      </c>
    </row>
    <row r="15811" spans="1:4" x14ac:dyDescent="0.25">
      <c r="A15811" t="str">
        <f>T("   FR")</f>
        <v xml:space="preserve">   FR</v>
      </c>
      <c r="B15811" t="str">
        <f>T("   France")</f>
        <v xml:space="preserve">   France</v>
      </c>
      <c r="C15811">
        <v>13340269</v>
      </c>
      <c r="D15811">
        <v>759</v>
      </c>
    </row>
    <row r="15812" spans="1:4" x14ac:dyDescent="0.25">
      <c r="A15812" t="str">
        <f>T("960500")</f>
        <v>960500</v>
      </c>
      <c r="B15812" t="str">
        <f>T("Assortiments de voyage pour la toilette des personnes, la couture ou le nettoyage des chaussures ou des vêtements (sauf trousses de manucure)")</f>
        <v>Assortiments de voyage pour la toilette des personnes, la couture ou le nettoyage des chaussures ou des vêtements (sauf trousses de manucure)</v>
      </c>
    </row>
    <row r="15813" spans="1:4" x14ac:dyDescent="0.25">
      <c r="A15813" t="str">
        <f>T("   ZZZ_Monde")</f>
        <v xml:space="preserve">   ZZZ_Monde</v>
      </c>
      <c r="B15813" t="str">
        <f>T("   ZZZ_Monde")</f>
        <v xml:space="preserve">   ZZZ_Monde</v>
      </c>
      <c r="C15813">
        <v>6910928</v>
      </c>
      <c r="D15813">
        <v>33888</v>
      </c>
    </row>
    <row r="15814" spans="1:4" x14ac:dyDescent="0.25">
      <c r="A15814" t="str">
        <f>T("   CN")</f>
        <v xml:space="preserve">   CN</v>
      </c>
      <c r="B15814" t="str">
        <f>T("   Chine")</f>
        <v xml:space="preserve">   Chine</v>
      </c>
      <c r="C15814">
        <v>6900000</v>
      </c>
      <c r="D15814">
        <v>33774</v>
      </c>
    </row>
    <row r="15815" spans="1:4" x14ac:dyDescent="0.25">
      <c r="A15815" t="str">
        <f>T("   FR")</f>
        <v xml:space="preserve">   FR</v>
      </c>
      <c r="B15815" t="str">
        <f>T("   France")</f>
        <v xml:space="preserve">   France</v>
      </c>
      <c r="C15815">
        <v>10928</v>
      </c>
      <c r="D15815">
        <v>114</v>
      </c>
    </row>
    <row r="15816" spans="1:4" x14ac:dyDescent="0.25">
      <c r="A15816" t="str">
        <f>T("960621")</f>
        <v>960621</v>
      </c>
      <c r="B15816" t="str">
        <f>T("Boutons en matières plastiques (non recouverts de matières textiles) (sauf boutons-pressions et boutons de manchette)")</f>
        <v>Boutons en matières plastiques (non recouverts de matières textiles) (sauf boutons-pressions et boutons de manchette)</v>
      </c>
    </row>
    <row r="15817" spans="1:4" x14ac:dyDescent="0.25">
      <c r="A15817" t="str">
        <f>T("   ZZZ_Monde")</f>
        <v xml:space="preserve">   ZZZ_Monde</v>
      </c>
      <c r="B15817" t="str">
        <f>T("   ZZZ_Monde")</f>
        <v xml:space="preserve">   ZZZ_Monde</v>
      </c>
      <c r="C15817">
        <v>13336476</v>
      </c>
      <c r="D15817">
        <v>23754</v>
      </c>
    </row>
    <row r="15818" spans="1:4" x14ac:dyDescent="0.25">
      <c r="A15818" t="str">
        <f>T("   CN")</f>
        <v xml:space="preserve">   CN</v>
      </c>
      <c r="B15818" t="str">
        <f>T("   Chine")</f>
        <v xml:space="preserve">   Chine</v>
      </c>
      <c r="C15818">
        <v>7137654</v>
      </c>
      <c r="D15818">
        <v>16331</v>
      </c>
    </row>
    <row r="15819" spans="1:4" x14ac:dyDescent="0.25">
      <c r="A15819" t="str">
        <f>T("   FR")</f>
        <v xml:space="preserve">   FR</v>
      </c>
      <c r="B15819" t="str">
        <f>T("   France")</f>
        <v xml:space="preserve">   France</v>
      </c>
      <c r="C15819">
        <v>6198822</v>
      </c>
      <c r="D15819">
        <v>7423</v>
      </c>
    </row>
    <row r="15820" spans="1:4" x14ac:dyDescent="0.25">
      <c r="A15820" t="str">
        <f>T("960622")</f>
        <v>960622</v>
      </c>
      <c r="B15820" t="str">
        <f>T("Boutons en métaux communs (non recouverts de matières textiles) (sauf boutons-pressions et boutons de manchette)")</f>
        <v>Boutons en métaux communs (non recouverts de matières textiles) (sauf boutons-pressions et boutons de manchette)</v>
      </c>
    </row>
    <row r="15821" spans="1:4" x14ac:dyDescent="0.25">
      <c r="A15821" t="str">
        <f>T("   ZZZ_Monde")</f>
        <v xml:space="preserve">   ZZZ_Monde</v>
      </c>
      <c r="B15821" t="str">
        <f>T("   ZZZ_Monde")</f>
        <v xml:space="preserve">   ZZZ_Monde</v>
      </c>
      <c r="C15821">
        <v>959669</v>
      </c>
      <c r="D15821">
        <v>375</v>
      </c>
    </row>
    <row r="15822" spans="1:4" x14ac:dyDescent="0.25">
      <c r="A15822" t="str">
        <f>T("   FR")</f>
        <v xml:space="preserve">   FR</v>
      </c>
      <c r="B15822" t="str">
        <f>T("   France")</f>
        <v xml:space="preserve">   France</v>
      </c>
      <c r="C15822">
        <v>959669</v>
      </c>
      <c r="D15822">
        <v>375</v>
      </c>
    </row>
    <row r="15823" spans="1:4" x14ac:dyDescent="0.25">
      <c r="A15823" t="str">
        <f>T("960629")</f>
        <v>960629</v>
      </c>
      <c r="B15823" t="str">
        <f>T("Boutons (sauf boutons en matières plastiques ou en métaux communs, non recouverts de matières textiles, boutons-pressions et boutons de manchette)")</f>
        <v>Boutons (sauf boutons en matières plastiques ou en métaux communs, non recouverts de matières textiles, boutons-pressions et boutons de manchette)</v>
      </c>
    </row>
    <row r="15824" spans="1:4" x14ac:dyDescent="0.25">
      <c r="A15824" t="str">
        <f>T("   ZZZ_Monde")</f>
        <v xml:space="preserve">   ZZZ_Monde</v>
      </c>
      <c r="B15824" t="str">
        <f>T("   ZZZ_Monde")</f>
        <v xml:space="preserve">   ZZZ_Monde</v>
      </c>
      <c r="C15824">
        <v>49030984</v>
      </c>
      <c r="D15824">
        <v>124867</v>
      </c>
    </row>
    <row r="15825" spans="1:4" x14ac:dyDescent="0.25">
      <c r="A15825" t="str">
        <f>T("   CN")</f>
        <v xml:space="preserve">   CN</v>
      </c>
      <c r="B15825" t="str">
        <f>T("   Chine")</f>
        <v xml:space="preserve">   Chine</v>
      </c>
      <c r="C15825">
        <v>35692166</v>
      </c>
      <c r="D15825">
        <v>60264</v>
      </c>
    </row>
    <row r="15826" spans="1:4" x14ac:dyDescent="0.25">
      <c r="A15826" t="str">
        <f>T("   FR")</f>
        <v xml:space="preserve">   FR</v>
      </c>
      <c r="B15826" t="str">
        <f>T("   France")</f>
        <v xml:space="preserve">   France</v>
      </c>
      <c r="C15826">
        <v>1357838</v>
      </c>
      <c r="D15826">
        <v>3138</v>
      </c>
    </row>
    <row r="15827" spans="1:4" x14ac:dyDescent="0.25">
      <c r="A15827" t="str">
        <f>T("   GH")</f>
        <v xml:space="preserve">   GH</v>
      </c>
      <c r="B15827" t="str">
        <f>T("   Ghana")</f>
        <v xml:space="preserve">   Ghana</v>
      </c>
      <c r="C15827">
        <v>1091032</v>
      </c>
      <c r="D15827">
        <v>115</v>
      </c>
    </row>
    <row r="15828" spans="1:4" x14ac:dyDescent="0.25">
      <c r="A15828" t="str">
        <f>T("   TG")</f>
        <v xml:space="preserve">   TG</v>
      </c>
      <c r="B15828" t="str">
        <f>T("   Togo")</f>
        <v xml:space="preserve">   Togo</v>
      </c>
      <c r="C15828">
        <v>10889948</v>
      </c>
      <c r="D15828">
        <v>61350</v>
      </c>
    </row>
    <row r="15829" spans="1:4" x14ac:dyDescent="0.25">
      <c r="A15829" t="str">
        <f>T("960630")</f>
        <v>960630</v>
      </c>
      <c r="B15829" t="str">
        <f>T("Formes pour boutons et autres parties de boutons; ébauches de boutons")</f>
        <v>Formes pour boutons et autres parties de boutons; ébauches de boutons</v>
      </c>
    </row>
    <row r="15830" spans="1:4" x14ac:dyDescent="0.25">
      <c r="A15830" t="str">
        <f>T("   ZZZ_Monde")</f>
        <v xml:space="preserve">   ZZZ_Monde</v>
      </c>
      <c r="B15830" t="str">
        <f>T("   ZZZ_Monde")</f>
        <v xml:space="preserve">   ZZZ_Monde</v>
      </c>
      <c r="C15830">
        <v>999027</v>
      </c>
      <c r="D15830">
        <v>556</v>
      </c>
    </row>
    <row r="15831" spans="1:4" x14ac:dyDescent="0.25">
      <c r="A15831" t="str">
        <f>T("   FR")</f>
        <v xml:space="preserve">   FR</v>
      </c>
      <c r="B15831" t="str">
        <f>T("   France")</f>
        <v xml:space="preserve">   France</v>
      </c>
      <c r="C15831">
        <v>999027</v>
      </c>
      <c r="D15831">
        <v>556</v>
      </c>
    </row>
    <row r="15832" spans="1:4" x14ac:dyDescent="0.25">
      <c r="A15832" t="str">
        <f>T("960719")</f>
        <v>960719</v>
      </c>
      <c r="B15832" t="str">
        <f>T("Fermetures à glissière sans agrafes et autres qu'en métaux communs")</f>
        <v>Fermetures à glissière sans agrafes et autres qu'en métaux communs</v>
      </c>
    </row>
    <row r="15833" spans="1:4" x14ac:dyDescent="0.25">
      <c r="A15833" t="str">
        <f>T("   ZZZ_Monde")</f>
        <v xml:space="preserve">   ZZZ_Monde</v>
      </c>
      <c r="B15833" t="str">
        <f>T("   ZZZ_Monde")</f>
        <v xml:space="preserve">   ZZZ_Monde</v>
      </c>
      <c r="C15833">
        <v>39605488</v>
      </c>
      <c r="D15833">
        <v>73896</v>
      </c>
    </row>
    <row r="15834" spans="1:4" x14ac:dyDescent="0.25">
      <c r="A15834" t="str">
        <f>T("   CN")</f>
        <v xml:space="preserve">   CN</v>
      </c>
      <c r="B15834" t="str">
        <f>T("   Chine")</f>
        <v xml:space="preserve">   Chine</v>
      </c>
      <c r="C15834">
        <v>35817853</v>
      </c>
      <c r="D15834">
        <v>59818</v>
      </c>
    </row>
    <row r="15835" spans="1:4" x14ac:dyDescent="0.25">
      <c r="A15835" t="str">
        <f>T("   TG")</f>
        <v xml:space="preserve">   TG</v>
      </c>
      <c r="B15835" t="str">
        <f>T("   Togo")</f>
        <v xml:space="preserve">   Togo</v>
      </c>
      <c r="C15835">
        <v>3787635</v>
      </c>
      <c r="D15835">
        <v>14078</v>
      </c>
    </row>
    <row r="15836" spans="1:4" x14ac:dyDescent="0.25">
      <c r="A15836" t="str">
        <f>T("960810")</f>
        <v>960810</v>
      </c>
      <c r="B15836" t="str">
        <f>T("Stylos et crayons à bille")</f>
        <v>Stylos et crayons à bille</v>
      </c>
    </row>
    <row r="15837" spans="1:4" x14ac:dyDescent="0.25">
      <c r="A15837" t="str">
        <f>T("   ZZZ_Monde")</f>
        <v xml:space="preserve">   ZZZ_Monde</v>
      </c>
      <c r="B15837" t="str">
        <f>T("   ZZZ_Monde")</f>
        <v xml:space="preserve">   ZZZ_Monde</v>
      </c>
      <c r="C15837">
        <v>118593979</v>
      </c>
      <c r="D15837">
        <v>82400.5</v>
      </c>
    </row>
    <row r="15838" spans="1:4" x14ac:dyDescent="0.25">
      <c r="A15838" t="str">
        <f>T("   AE")</f>
        <v xml:space="preserve">   AE</v>
      </c>
      <c r="B15838" t="str">
        <f>T("   Emirats Arabes Unis")</f>
        <v xml:space="preserve">   Emirats Arabes Unis</v>
      </c>
      <c r="C15838">
        <v>32414500</v>
      </c>
      <c r="D15838">
        <v>8500</v>
      </c>
    </row>
    <row r="15839" spans="1:4" x14ac:dyDescent="0.25">
      <c r="A15839" t="str">
        <f>T("   BE")</f>
        <v xml:space="preserve">   BE</v>
      </c>
      <c r="B15839" t="str">
        <f>T("   Belgique")</f>
        <v xml:space="preserve">   Belgique</v>
      </c>
      <c r="C15839">
        <v>390835</v>
      </c>
      <c r="D15839">
        <v>872</v>
      </c>
    </row>
    <row r="15840" spans="1:4" x14ac:dyDescent="0.25">
      <c r="A15840" t="str">
        <f>T("   CA")</f>
        <v xml:space="preserve">   CA</v>
      </c>
      <c r="B15840" t="str">
        <f>T("   Canada")</f>
        <v xml:space="preserve">   Canada</v>
      </c>
      <c r="C15840">
        <v>94458</v>
      </c>
      <c r="D15840">
        <v>97</v>
      </c>
    </row>
    <row r="15841" spans="1:4" x14ac:dyDescent="0.25">
      <c r="A15841" t="str">
        <f>T("   CH")</f>
        <v xml:space="preserve">   CH</v>
      </c>
      <c r="B15841" t="str">
        <f>T("   Suisse")</f>
        <v xml:space="preserve">   Suisse</v>
      </c>
      <c r="C15841">
        <v>7348517</v>
      </c>
      <c r="D15841">
        <v>115</v>
      </c>
    </row>
    <row r="15842" spans="1:4" x14ac:dyDescent="0.25">
      <c r="A15842" t="str">
        <f>T("   CN")</f>
        <v xml:space="preserve">   CN</v>
      </c>
      <c r="B15842" t="str">
        <f>T("   Chine")</f>
        <v xml:space="preserve">   Chine</v>
      </c>
      <c r="C15842">
        <v>11753365</v>
      </c>
      <c r="D15842">
        <v>17272</v>
      </c>
    </row>
    <row r="15843" spans="1:4" x14ac:dyDescent="0.25">
      <c r="A15843" t="str">
        <f>T("   DE")</f>
        <v xml:space="preserve">   DE</v>
      </c>
      <c r="B15843" t="str">
        <f>T("   Allemagne")</f>
        <v xml:space="preserve">   Allemagne</v>
      </c>
      <c r="C15843">
        <v>453610</v>
      </c>
      <c r="D15843">
        <v>6.5</v>
      </c>
    </row>
    <row r="15844" spans="1:4" x14ac:dyDescent="0.25">
      <c r="A15844" t="str">
        <f>T("   ES")</f>
        <v xml:space="preserve">   ES</v>
      </c>
      <c r="B15844" t="str">
        <f>T("   Espagne")</f>
        <v xml:space="preserve">   Espagne</v>
      </c>
      <c r="C15844">
        <v>26239</v>
      </c>
      <c r="D15844">
        <v>57</v>
      </c>
    </row>
    <row r="15845" spans="1:4" x14ac:dyDescent="0.25">
      <c r="A15845" t="str">
        <f>T("   FR")</f>
        <v xml:space="preserve">   FR</v>
      </c>
      <c r="B15845" t="str">
        <f>T("   France")</f>
        <v xml:space="preserve">   France</v>
      </c>
      <c r="C15845">
        <v>40687974</v>
      </c>
      <c r="D15845">
        <v>22844</v>
      </c>
    </row>
    <row r="15846" spans="1:4" x14ac:dyDescent="0.25">
      <c r="A15846" t="str">
        <f>T("   GH")</f>
        <v xml:space="preserve">   GH</v>
      </c>
      <c r="B15846" t="str">
        <f>T("   Ghana")</f>
        <v xml:space="preserve">   Ghana</v>
      </c>
      <c r="C15846">
        <v>200000</v>
      </c>
      <c r="D15846">
        <v>165</v>
      </c>
    </row>
    <row r="15847" spans="1:4" x14ac:dyDescent="0.25">
      <c r="A15847" t="str">
        <f>T("   ID")</f>
        <v xml:space="preserve">   ID</v>
      </c>
      <c r="B15847" t="str">
        <f>T("   Indonésie")</f>
        <v xml:space="preserve">   Indonésie</v>
      </c>
      <c r="C15847">
        <v>2843</v>
      </c>
      <c r="D15847">
        <v>15</v>
      </c>
    </row>
    <row r="15848" spans="1:4" x14ac:dyDescent="0.25">
      <c r="A15848" t="str">
        <f>T("   IN")</f>
        <v xml:space="preserve">   IN</v>
      </c>
      <c r="B15848" t="str">
        <f>T("   Inde")</f>
        <v xml:space="preserve">   Inde</v>
      </c>
      <c r="C15848">
        <v>8265913</v>
      </c>
      <c r="D15848">
        <v>8742</v>
      </c>
    </row>
    <row r="15849" spans="1:4" x14ac:dyDescent="0.25">
      <c r="A15849" t="str">
        <f>T("   LB")</f>
        <v xml:space="preserve">   LB</v>
      </c>
      <c r="B15849" t="str">
        <f>T("   Liban")</f>
        <v xml:space="preserve">   Liban</v>
      </c>
      <c r="C15849">
        <v>45262</v>
      </c>
      <c r="D15849">
        <v>62</v>
      </c>
    </row>
    <row r="15850" spans="1:4" x14ac:dyDescent="0.25">
      <c r="A15850" t="str">
        <f>T("   MG")</f>
        <v xml:space="preserve">   MG</v>
      </c>
      <c r="B15850" t="str">
        <f>T("   Madagascar")</f>
        <v xml:space="preserve">   Madagascar</v>
      </c>
      <c r="C15850">
        <v>182357</v>
      </c>
      <c r="D15850">
        <v>64</v>
      </c>
    </row>
    <row r="15851" spans="1:4" x14ac:dyDescent="0.25">
      <c r="A15851" t="str">
        <f>T("   NG")</f>
        <v xml:space="preserve">   NG</v>
      </c>
      <c r="B15851" t="str">
        <f>T("   Nigéria")</f>
        <v xml:space="preserve">   Nigéria</v>
      </c>
      <c r="C15851">
        <v>85000</v>
      </c>
      <c r="D15851">
        <v>50</v>
      </c>
    </row>
    <row r="15852" spans="1:4" x14ac:dyDescent="0.25">
      <c r="A15852" t="str">
        <f>T("   SG")</f>
        <v xml:space="preserve">   SG</v>
      </c>
      <c r="B15852" t="str">
        <f>T("   Singapour")</f>
        <v xml:space="preserve">   Singapour</v>
      </c>
      <c r="C15852">
        <v>14167415</v>
      </c>
      <c r="D15852">
        <v>12698</v>
      </c>
    </row>
    <row r="15853" spans="1:4" x14ac:dyDescent="0.25">
      <c r="A15853" t="str">
        <f>T("   TG")</f>
        <v xml:space="preserve">   TG</v>
      </c>
      <c r="B15853" t="str">
        <f>T("   Togo")</f>
        <v xml:space="preserve">   Togo</v>
      </c>
      <c r="C15853">
        <v>2456996</v>
      </c>
      <c r="D15853">
        <v>10820</v>
      </c>
    </row>
    <row r="15854" spans="1:4" x14ac:dyDescent="0.25">
      <c r="A15854" t="str">
        <f>T("   US")</f>
        <v xml:space="preserve">   US</v>
      </c>
      <c r="B15854" t="str">
        <f>T("   Etats-Unis")</f>
        <v xml:space="preserve">   Etats-Unis</v>
      </c>
      <c r="C15854">
        <v>18695</v>
      </c>
      <c r="D15854">
        <v>21</v>
      </c>
    </row>
    <row r="15855" spans="1:4" x14ac:dyDescent="0.25">
      <c r="A15855" t="str">
        <f>T("960820")</f>
        <v>960820</v>
      </c>
      <c r="B15855" t="str">
        <f>T("Stylos et marqueurs à mèche feutre ou à autres pointes poreuses")</f>
        <v>Stylos et marqueurs à mèche feutre ou à autres pointes poreuses</v>
      </c>
    </row>
    <row r="15856" spans="1:4" x14ac:dyDescent="0.25">
      <c r="A15856" t="str">
        <f>T("   ZZZ_Monde")</f>
        <v xml:space="preserve">   ZZZ_Monde</v>
      </c>
      <c r="B15856" t="str">
        <f>T("   ZZZ_Monde")</f>
        <v xml:space="preserve">   ZZZ_Monde</v>
      </c>
      <c r="C15856">
        <v>53058362</v>
      </c>
      <c r="D15856">
        <v>35734</v>
      </c>
    </row>
    <row r="15857" spans="1:4" x14ac:dyDescent="0.25">
      <c r="A15857" t="str">
        <f>T("   CN")</f>
        <v xml:space="preserve">   CN</v>
      </c>
      <c r="B15857" t="str">
        <f>T("   Chine")</f>
        <v xml:space="preserve">   Chine</v>
      </c>
      <c r="C15857">
        <v>364354</v>
      </c>
      <c r="D15857">
        <v>1053</v>
      </c>
    </row>
    <row r="15858" spans="1:4" x14ac:dyDescent="0.25">
      <c r="A15858" t="str">
        <f>T("   FR")</f>
        <v xml:space="preserve">   FR</v>
      </c>
      <c r="B15858" t="str">
        <f>T("   France")</f>
        <v xml:space="preserve">   France</v>
      </c>
      <c r="C15858">
        <v>44545048</v>
      </c>
      <c r="D15858">
        <v>31063</v>
      </c>
    </row>
    <row r="15859" spans="1:4" x14ac:dyDescent="0.25">
      <c r="A15859" t="str">
        <f>T("   SG")</f>
        <v xml:space="preserve">   SG</v>
      </c>
      <c r="B15859" t="str">
        <f>T("   Singapour")</f>
        <v xml:space="preserve">   Singapour</v>
      </c>
      <c r="C15859">
        <v>8148960</v>
      </c>
      <c r="D15859">
        <v>3618</v>
      </c>
    </row>
    <row r="15860" spans="1:4" x14ac:dyDescent="0.25">
      <c r="A15860" t="str">
        <f>T("960831")</f>
        <v>960831</v>
      </c>
      <c r="B15860" t="str">
        <f>T("Stylos à plume et autres stylos, à dessiner à l'encre de Chine")</f>
        <v>Stylos à plume et autres stylos, à dessiner à l'encre de Chine</v>
      </c>
    </row>
    <row r="15861" spans="1:4" x14ac:dyDescent="0.25">
      <c r="A15861" t="str">
        <f>T("   ZZZ_Monde")</f>
        <v xml:space="preserve">   ZZZ_Monde</v>
      </c>
      <c r="B15861" t="str">
        <f>T("   ZZZ_Monde")</f>
        <v xml:space="preserve">   ZZZ_Monde</v>
      </c>
      <c r="C15861">
        <v>250317</v>
      </c>
      <c r="D15861">
        <v>450</v>
      </c>
    </row>
    <row r="15862" spans="1:4" x14ac:dyDescent="0.25">
      <c r="A15862" t="str">
        <f>T("   SG")</f>
        <v xml:space="preserve">   SG</v>
      </c>
      <c r="B15862" t="str">
        <f>T("   Singapour")</f>
        <v xml:space="preserve">   Singapour</v>
      </c>
      <c r="C15862">
        <v>250317</v>
      </c>
      <c r="D15862">
        <v>450</v>
      </c>
    </row>
    <row r="15863" spans="1:4" x14ac:dyDescent="0.25">
      <c r="A15863" t="str">
        <f>T("960839")</f>
        <v>960839</v>
      </c>
      <c r="B15863" t="str">
        <f>T("Stylos à plume et autres stylos (autres qu'à dessiner à l'encre de Chine)")</f>
        <v>Stylos à plume et autres stylos (autres qu'à dessiner à l'encre de Chine)</v>
      </c>
    </row>
    <row r="15864" spans="1:4" x14ac:dyDescent="0.25">
      <c r="A15864" t="str">
        <f>T("   ZZZ_Monde")</f>
        <v xml:space="preserve">   ZZZ_Monde</v>
      </c>
      <c r="B15864" t="str">
        <f>T("   ZZZ_Monde")</f>
        <v xml:space="preserve">   ZZZ_Monde</v>
      </c>
      <c r="C15864">
        <v>12933961</v>
      </c>
      <c r="D15864">
        <v>21568.59</v>
      </c>
    </row>
    <row r="15865" spans="1:4" x14ac:dyDescent="0.25">
      <c r="A15865" t="str">
        <f>T("   AE")</f>
        <v xml:space="preserve">   AE</v>
      </c>
      <c r="B15865" t="str">
        <f>T("   Emirats Arabes Unis")</f>
        <v xml:space="preserve">   Emirats Arabes Unis</v>
      </c>
      <c r="C15865">
        <v>25353</v>
      </c>
      <c r="D15865">
        <v>23</v>
      </c>
    </row>
    <row r="15866" spans="1:4" x14ac:dyDescent="0.25">
      <c r="A15866" t="str">
        <f>T("   BE")</f>
        <v xml:space="preserve">   BE</v>
      </c>
      <c r="B15866" t="str">
        <f>T("   Belgique")</f>
        <v xml:space="preserve">   Belgique</v>
      </c>
      <c r="C15866">
        <v>883444</v>
      </c>
      <c r="D15866">
        <v>552</v>
      </c>
    </row>
    <row r="15867" spans="1:4" x14ac:dyDescent="0.25">
      <c r="A15867" t="str">
        <f>T("   CH")</f>
        <v xml:space="preserve">   CH</v>
      </c>
      <c r="B15867" t="str">
        <f>T("   Suisse")</f>
        <v xml:space="preserve">   Suisse</v>
      </c>
      <c r="C15867">
        <v>73579</v>
      </c>
      <c r="D15867">
        <v>100</v>
      </c>
    </row>
    <row r="15868" spans="1:4" x14ac:dyDescent="0.25">
      <c r="A15868" t="str">
        <f>T("   CN")</f>
        <v xml:space="preserve">   CN</v>
      </c>
      <c r="B15868" t="str">
        <f>T("   Chine")</f>
        <v xml:space="preserve">   Chine</v>
      </c>
      <c r="C15868">
        <v>2673567</v>
      </c>
      <c r="D15868">
        <v>13906</v>
      </c>
    </row>
    <row r="15869" spans="1:4" x14ac:dyDescent="0.25">
      <c r="A15869" t="str">
        <f>T("   DE")</f>
        <v xml:space="preserve">   DE</v>
      </c>
      <c r="B15869" t="str">
        <f>T("   Allemagne")</f>
        <v xml:space="preserve">   Allemagne</v>
      </c>
      <c r="C15869">
        <v>32798</v>
      </c>
      <c r="D15869">
        <v>2</v>
      </c>
    </row>
    <row r="15870" spans="1:4" x14ac:dyDescent="0.25">
      <c r="A15870" t="str">
        <f>T("   FR")</f>
        <v xml:space="preserve">   FR</v>
      </c>
      <c r="B15870" t="str">
        <f>T("   France")</f>
        <v xml:space="preserve">   France</v>
      </c>
      <c r="C15870">
        <v>8301823</v>
      </c>
      <c r="D15870">
        <v>5887.59</v>
      </c>
    </row>
    <row r="15871" spans="1:4" x14ac:dyDescent="0.25">
      <c r="A15871" t="str">
        <f>T("   IN")</f>
        <v xml:space="preserve">   IN</v>
      </c>
      <c r="B15871" t="str">
        <f>T("   Inde")</f>
        <v xml:space="preserve">   Inde</v>
      </c>
      <c r="C15871">
        <v>84619</v>
      </c>
      <c r="D15871">
        <v>397</v>
      </c>
    </row>
    <row r="15872" spans="1:4" x14ac:dyDescent="0.25">
      <c r="A15872" t="str">
        <f>T("   MA")</f>
        <v xml:space="preserve">   MA</v>
      </c>
      <c r="B15872" t="str">
        <f>T("   Maroc")</f>
        <v xml:space="preserve">   Maroc</v>
      </c>
      <c r="C15872">
        <v>86863</v>
      </c>
      <c r="D15872">
        <v>269</v>
      </c>
    </row>
    <row r="15873" spans="1:4" x14ac:dyDescent="0.25">
      <c r="A15873" t="str">
        <f>T("   PT")</f>
        <v xml:space="preserve">   PT</v>
      </c>
      <c r="B15873" t="str">
        <f>T("   Portugal")</f>
        <v xml:space="preserve">   Portugal</v>
      </c>
      <c r="C15873">
        <v>287310</v>
      </c>
      <c r="D15873">
        <v>54</v>
      </c>
    </row>
    <row r="15874" spans="1:4" x14ac:dyDescent="0.25">
      <c r="A15874" t="str">
        <f>T("   SN")</f>
        <v xml:space="preserve">   SN</v>
      </c>
      <c r="B15874" t="str">
        <f>T("   Sénégal")</f>
        <v xml:space="preserve">   Sénégal</v>
      </c>
      <c r="C15874">
        <v>474110</v>
      </c>
      <c r="D15874">
        <v>368</v>
      </c>
    </row>
    <row r="15875" spans="1:4" x14ac:dyDescent="0.25">
      <c r="A15875" t="str">
        <f>T("   TR")</f>
        <v xml:space="preserve">   TR</v>
      </c>
      <c r="B15875" t="str">
        <f>T("   Turquie")</f>
        <v xml:space="preserve">   Turquie</v>
      </c>
      <c r="C15875">
        <v>10495</v>
      </c>
      <c r="D15875">
        <v>10</v>
      </c>
    </row>
    <row r="15876" spans="1:4" x14ac:dyDescent="0.25">
      <c r="A15876" t="str">
        <f>T("960840")</f>
        <v>960840</v>
      </c>
      <c r="B15876" t="str">
        <f>T("Porte-mine")</f>
        <v>Porte-mine</v>
      </c>
    </row>
    <row r="15877" spans="1:4" x14ac:dyDescent="0.25">
      <c r="A15877" t="str">
        <f>T("   ZZZ_Monde")</f>
        <v xml:space="preserve">   ZZZ_Monde</v>
      </c>
      <c r="B15877" t="str">
        <f>T("   ZZZ_Monde")</f>
        <v xml:space="preserve">   ZZZ_Monde</v>
      </c>
      <c r="C15877">
        <v>126600</v>
      </c>
      <c r="D15877">
        <v>24</v>
      </c>
    </row>
    <row r="15878" spans="1:4" x14ac:dyDescent="0.25">
      <c r="A15878" t="str">
        <f>T("   FR")</f>
        <v xml:space="preserve">   FR</v>
      </c>
      <c r="B15878" t="str">
        <f>T("   France")</f>
        <v xml:space="preserve">   France</v>
      </c>
      <c r="C15878">
        <v>126600</v>
      </c>
      <c r="D15878">
        <v>24</v>
      </c>
    </row>
    <row r="15879" spans="1:4" x14ac:dyDescent="0.25">
      <c r="A15879" t="str">
        <f>T("960891")</f>
        <v>960891</v>
      </c>
      <c r="B15879" t="str">
        <f>T("Plumes à écrire et becs pour plumes")</f>
        <v>Plumes à écrire et becs pour plumes</v>
      </c>
    </row>
    <row r="15880" spans="1:4" x14ac:dyDescent="0.25">
      <c r="A15880" t="str">
        <f>T("   ZZZ_Monde")</f>
        <v xml:space="preserve">   ZZZ_Monde</v>
      </c>
      <c r="B15880" t="str">
        <f>T("   ZZZ_Monde")</f>
        <v xml:space="preserve">   ZZZ_Monde</v>
      </c>
      <c r="C15880">
        <v>184764</v>
      </c>
      <c r="D15880">
        <v>35</v>
      </c>
    </row>
    <row r="15881" spans="1:4" x14ac:dyDescent="0.25">
      <c r="A15881" t="str">
        <f>T("   BE")</f>
        <v xml:space="preserve">   BE</v>
      </c>
      <c r="B15881" t="str">
        <f>T("   Belgique")</f>
        <v xml:space="preserve">   Belgique</v>
      </c>
      <c r="C15881">
        <v>9839</v>
      </c>
      <c r="D15881">
        <v>10</v>
      </c>
    </row>
    <row r="15882" spans="1:4" x14ac:dyDescent="0.25">
      <c r="A15882" t="str">
        <f>T("   FR")</f>
        <v xml:space="preserve">   FR</v>
      </c>
      <c r="B15882" t="str">
        <f>T("   France")</f>
        <v xml:space="preserve">   France</v>
      </c>
      <c r="C15882">
        <v>174925</v>
      </c>
      <c r="D15882">
        <v>25</v>
      </c>
    </row>
    <row r="15883" spans="1:4" x14ac:dyDescent="0.25">
      <c r="A15883" t="str">
        <f>T("960899")</f>
        <v>960899</v>
      </c>
      <c r="B15883" t="str">
        <f>T("PARTIES DE STYLOS ET CRAYONS À BILLE, STYLOS ET MARQUEURS À MÈCHE FEUTRE OU À AUTRES POINTES POREUSES, STYLOS ET PORTE-MINE, N.D.A.; PORTE-PLUME, PORTE-CRAYON ET ARTICLES SIMIL., STYLETS POUR DUPLICATEURS")</f>
        <v>PARTIES DE STYLOS ET CRAYONS À BILLE, STYLOS ET MARQUEURS À MÈCHE FEUTRE OU À AUTRES POINTES POREUSES, STYLOS ET PORTE-MINE, N.D.A.; PORTE-PLUME, PORTE-CRAYON ET ARTICLES SIMIL., STYLETS POUR DUPLICATEURS</v>
      </c>
    </row>
    <row r="15884" spans="1:4" x14ac:dyDescent="0.25">
      <c r="A15884" t="str">
        <f>T("   ZZZ_Monde")</f>
        <v xml:space="preserve">   ZZZ_Monde</v>
      </c>
      <c r="B15884" t="str">
        <f>T("   ZZZ_Monde")</f>
        <v xml:space="preserve">   ZZZ_Monde</v>
      </c>
      <c r="C15884">
        <v>29789255</v>
      </c>
      <c r="D15884">
        <v>21222</v>
      </c>
    </row>
    <row r="15885" spans="1:4" x14ac:dyDescent="0.25">
      <c r="A15885" t="str">
        <f>T("   AE")</f>
        <v xml:space="preserve">   AE</v>
      </c>
      <c r="B15885" t="str">
        <f>T("   Emirats Arabes Unis")</f>
        <v xml:space="preserve">   Emirats Arabes Unis</v>
      </c>
      <c r="C15885">
        <v>6106988</v>
      </c>
      <c r="D15885">
        <v>14000</v>
      </c>
    </row>
    <row r="15886" spans="1:4" x14ac:dyDescent="0.25">
      <c r="A15886" t="str">
        <f>T("   CI")</f>
        <v xml:space="preserve">   CI</v>
      </c>
      <c r="B15886" t="str">
        <f>T("   Côte d'Ivoire")</f>
        <v xml:space="preserve">   Côte d'Ivoire</v>
      </c>
      <c r="C15886">
        <v>781056</v>
      </c>
      <c r="D15886">
        <v>547</v>
      </c>
    </row>
    <row r="15887" spans="1:4" x14ac:dyDescent="0.25">
      <c r="A15887" t="str">
        <f>T("   FR")</f>
        <v xml:space="preserve">   FR</v>
      </c>
      <c r="B15887" t="str">
        <f>T("   France")</f>
        <v xml:space="preserve">   France</v>
      </c>
      <c r="C15887">
        <v>101834</v>
      </c>
      <c r="D15887">
        <v>4</v>
      </c>
    </row>
    <row r="15888" spans="1:4" x14ac:dyDescent="0.25">
      <c r="A15888" t="str">
        <f>T("   SG")</f>
        <v xml:space="preserve">   SG</v>
      </c>
      <c r="B15888" t="str">
        <f>T("   Singapour")</f>
        <v xml:space="preserve">   Singapour</v>
      </c>
      <c r="C15888">
        <v>3830014</v>
      </c>
      <c r="D15888">
        <v>5005</v>
      </c>
    </row>
    <row r="15889" spans="1:4" x14ac:dyDescent="0.25">
      <c r="A15889" t="str">
        <f>T("   US")</f>
        <v xml:space="preserve">   US</v>
      </c>
      <c r="B15889" t="str">
        <f>T("   Etats-Unis")</f>
        <v xml:space="preserve">   Etats-Unis</v>
      </c>
      <c r="C15889">
        <v>18969363</v>
      </c>
      <c r="D15889">
        <v>1666</v>
      </c>
    </row>
    <row r="15890" spans="1:4" x14ac:dyDescent="0.25">
      <c r="A15890" t="str">
        <f>T("960910")</f>
        <v>960910</v>
      </c>
      <c r="B15890" t="str">
        <f>T("Crayons à gaine")</f>
        <v>Crayons à gaine</v>
      </c>
    </row>
    <row r="15891" spans="1:4" x14ac:dyDescent="0.25">
      <c r="A15891" t="str">
        <f>T("   ZZZ_Monde")</f>
        <v xml:space="preserve">   ZZZ_Monde</v>
      </c>
      <c r="B15891" t="str">
        <f>T("   ZZZ_Monde")</f>
        <v xml:space="preserve">   ZZZ_Monde</v>
      </c>
      <c r="C15891">
        <v>19993128</v>
      </c>
      <c r="D15891">
        <v>64797</v>
      </c>
    </row>
    <row r="15892" spans="1:4" x14ac:dyDescent="0.25">
      <c r="A15892" t="str">
        <f>T("   CN")</f>
        <v xml:space="preserve">   CN</v>
      </c>
      <c r="B15892" t="str">
        <f>T("   Chine")</f>
        <v xml:space="preserve">   Chine</v>
      </c>
      <c r="C15892">
        <v>7912284</v>
      </c>
      <c r="D15892">
        <v>53380</v>
      </c>
    </row>
    <row r="15893" spans="1:4" x14ac:dyDescent="0.25">
      <c r="A15893" t="str">
        <f>T("   FR")</f>
        <v xml:space="preserve">   FR</v>
      </c>
      <c r="B15893" t="str">
        <f>T("   France")</f>
        <v xml:space="preserve">   France</v>
      </c>
      <c r="C15893">
        <v>4442798</v>
      </c>
      <c r="D15893">
        <v>1062</v>
      </c>
    </row>
    <row r="15894" spans="1:4" x14ac:dyDescent="0.25">
      <c r="A15894" t="str">
        <f>T("   SG")</f>
        <v xml:space="preserve">   SG</v>
      </c>
      <c r="B15894" t="str">
        <f>T("   Singapour")</f>
        <v xml:space="preserve">   Singapour</v>
      </c>
      <c r="C15894">
        <v>7638046</v>
      </c>
      <c r="D15894">
        <v>10355</v>
      </c>
    </row>
    <row r="15895" spans="1:4" x14ac:dyDescent="0.25">
      <c r="A15895" t="str">
        <f>T("960920")</f>
        <v>960920</v>
      </c>
      <c r="B15895" t="str">
        <f>T("Mines pour crayons ou porte-mine")</f>
        <v>Mines pour crayons ou porte-mine</v>
      </c>
    </row>
    <row r="15896" spans="1:4" x14ac:dyDescent="0.25">
      <c r="A15896" t="str">
        <f>T("   ZZZ_Monde")</f>
        <v xml:space="preserve">   ZZZ_Monde</v>
      </c>
      <c r="B15896" t="str">
        <f>T("   ZZZ_Monde")</f>
        <v xml:space="preserve">   ZZZ_Monde</v>
      </c>
      <c r="C15896">
        <v>6000</v>
      </c>
      <c r="D15896">
        <v>20</v>
      </c>
    </row>
    <row r="15897" spans="1:4" x14ac:dyDescent="0.25">
      <c r="A15897" t="str">
        <f>T("   NG")</f>
        <v xml:space="preserve">   NG</v>
      </c>
      <c r="B15897" t="str">
        <f>T("   Nigéria")</f>
        <v xml:space="preserve">   Nigéria</v>
      </c>
      <c r="C15897">
        <v>6000</v>
      </c>
      <c r="D15897">
        <v>20</v>
      </c>
    </row>
    <row r="15898" spans="1:4" x14ac:dyDescent="0.25">
      <c r="A15898" t="str">
        <f>T("960990")</f>
        <v>960990</v>
      </c>
      <c r="B15898" t="str">
        <f>T("Crayons (sauf crayons à gaine), pastels, fusains, craies à écrire ou à dessiner et craies de tailleurs")</f>
        <v>Crayons (sauf crayons à gaine), pastels, fusains, craies à écrire ou à dessiner et craies de tailleurs</v>
      </c>
    </row>
    <row r="15899" spans="1:4" x14ac:dyDescent="0.25">
      <c r="A15899" t="str">
        <f>T("   ZZZ_Monde")</f>
        <v xml:space="preserve">   ZZZ_Monde</v>
      </c>
      <c r="B15899" t="str">
        <f>T("   ZZZ_Monde")</f>
        <v xml:space="preserve">   ZZZ_Monde</v>
      </c>
      <c r="C15899">
        <v>173407808</v>
      </c>
      <c r="D15899">
        <v>843488</v>
      </c>
    </row>
    <row r="15900" spans="1:4" x14ac:dyDescent="0.25">
      <c r="A15900" t="str">
        <f>T("   BD")</f>
        <v xml:space="preserve">   BD</v>
      </c>
      <c r="B15900" t="str">
        <f>T("   Bangladesh")</f>
        <v xml:space="preserve">   Bangladesh</v>
      </c>
      <c r="C15900">
        <v>25000</v>
      </c>
      <c r="D15900">
        <v>9</v>
      </c>
    </row>
    <row r="15901" spans="1:4" x14ac:dyDescent="0.25">
      <c r="A15901" t="str">
        <f>T("   CN")</f>
        <v xml:space="preserve">   CN</v>
      </c>
      <c r="B15901" t="str">
        <f>T("   Chine")</f>
        <v xml:space="preserve">   Chine</v>
      </c>
      <c r="C15901">
        <v>1680774</v>
      </c>
      <c r="D15901">
        <v>8806</v>
      </c>
    </row>
    <row r="15902" spans="1:4" x14ac:dyDescent="0.25">
      <c r="A15902" t="str">
        <f>T("   DE")</f>
        <v xml:space="preserve">   DE</v>
      </c>
      <c r="B15902" t="str">
        <f>T("   Allemagne")</f>
        <v xml:space="preserve">   Allemagne</v>
      </c>
      <c r="C15902">
        <v>10000</v>
      </c>
      <c r="D15902">
        <v>117</v>
      </c>
    </row>
    <row r="15903" spans="1:4" x14ac:dyDescent="0.25">
      <c r="A15903" t="str">
        <f>T("   FR")</f>
        <v xml:space="preserve">   FR</v>
      </c>
      <c r="B15903" t="str">
        <f>T("   France")</f>
        <v xml:space="preserve">   France</v>
      </c>
      <c r="C15903">
        <v>79386159</v>
      </c>
      <c r="D15903">
        <v>457785</v>
      </c>
    </row>
    <row r="15904" spans="1:4" x14ac:dyDescent="0.25">
      <c r="A15904" t="str">
        <f>T("   JO")</f>
        <v xml:space="preserve">   JO</v>
      </c>
      <c r="B15904" t="str">
        <f>T("   Jordanie")</f>
        <v xml:space="preserve">   Jordanie</v>
      </c>
      <c r="C15904">
        <v>6752455</v>
      </c>
      <c r="D15904">
        <v>25600</v>
      </c>
    </row>
    <row r="15905" spans="1:4" x14ac:dyDescent="0.25">
      <c r="A15905" t="str">
        <f>T("   KR")</f>
        <v xml:space="preserve">   KR</v>
      </c>
      <c r="B15905" t="str">
        <f>T("   Corée, République de")</f>
        <v xml:space="preserve">   Corée, République de</v>
      </c>
      <c r="C15905">
        <v>5601748</v>
      </c>
      <c r="D15905">
        <v>22426</v>
      </c>
    </row>
    <row r="15906" spans="1:4" x14ac:dyDescent="0.25">
      <c r="A15906" t="str">
        <f>T("   NG")</f>
        <v xml:space="preserve">   NG</v>
      </c>
      <c r="B15906" t="str">
        <f>T("   Nigéria")</f>
        <v xml:space="preserve">   Nigéria</v>
      </c>
      <c r="C15906">
        <v>79500</v>
      </c>
      <c r="D15906">
        <v>150</v>
      </c>
    </row>
    <row r="15907" spans="1:4" x14ac:dyDescent="0.25">
      <c r="A15907" t="str">
        <f>T("   SG")</f>
        <v xml:space="preserve">   SG</v>
      </c>
      <c r="B15907" t="str">
        <f>T("   Singapour")</f>
        <v xml:space="preserve">   Singapour</v>
      </c>
      <c r="C15907">
        <v>78717876</v>
      </c>
      <c r="D15907">
        <v>321525</v>
      </c>
    </row>
    <row r="15908" spans="1:4" x14ac:dyDescent="0.25">
      <c r="A15908" t="str">
        <f>T("   TG")</f>
        <v xml:space="preserve">   TG</v>
      </c>
      <c r="B15908" t="str">
        <f>T("   Togo")</f>
        <v xml:space="preserve">   Togo</v>
      </c>
      <c r="C15908">
        <v>1154296</v>
      </c>
      <c r="D15908">
        <v>7070</v>
      </c>
    </row>
    <row r="15909" spans="1:4" x14ac:dyDescent="0.25">
      <c r="A15909" t="str">
        <f>T("961000")</f>
        <v>961000</v>
      </c>
      <c r="B15909" t="str">
        <f>T("Ardoises et tableaux pour l'écriture ou le dessin, même encadrés")</f>
        <v>Ardoises et tableaux pour l'écriture ou le dessin, même encadrés</v>
      </c>
    </row>
    <row r="15910" spans="1:4" x14ac:dyDescent="0.25">
      <c r="A15910" t="str">
        <f>T("   ZZZ_Monde")</f>
        <v xml:space="preserve">   ZZZ_Monde</v>
      </c>
      <c r="B15910" t="str">
        <f>T("   ZZZ_Monde")</f>
        <v xml:space="preserve">   ZZZ_Monde</v>
      </c>
      <c r="C15910">
        <v>18519550</v>
      </c>
      <c r="D15910">
        <v>45970</v>
      </c>
    </row>
    <row r="15911" spans="1:4" x14ac:dyDescent="0.25">
      <c r="A15911" t="str">
        <f>T("   CN")</f>
        <v xml:space="preserve">   CN</v>
      </c>
      <c r="B15911" t="str">
        <f>T("   Chine")</f>
        <v xml:space="preserve">   Chine</v>
      </c>
      <c r="C15911">
        <v>5625990</v>
      </c>
      <c r="D15911">
        <v>28265</v>
      </c>
    </row>
    <row r="15912" spans="1:4" x14ac:dyDescent="0.25">
      <c r="A15912" t="str">
        <f>T("   ES")</f>
        <v xml:space="preserve">   ES</v>
      </c>
      <c r="B15912" t="str">
        <f>T("   Espagne")</f>
        <v xml:space="preserve">   Espagne</v>
      </c>
      <c r="C15912">
        <v>13119</v>
      </c>
      <c r="D15912">
        <v>50</v>
      </c>
    </row>
    <row r="15913" spans="1:4" x14ac:dyDescent="0.25">
      <c r="A15913" t="str">
        <f>T("   FI")</f>
        <v xml:space="preserve">   FI</v>
      </c>
      <c r="B15913" t="str">
        <f>T("   Finlande")</f>
        <v xml:space="preserve">   Finlande</v>
      </c>
      <c r="C15913">
        <v>1184008</v>
      </c>
      <c r="D15913">
        <v>93</v>
      </c>
    </row>
    <row r="15914" spans="1:4" x14ac:dyDescent="0.25">
      <c r="A15914" t="str">
        <f>T("   FR")</f>
        <v xml:space="preserve">   FR</v>
      </c>
      <c r="B15914" t="str">
        <f>T("   France")</f>
        <v xml:space="preserve">   France</v>
      </c>
      <c r="C15914">
        <v>9038103</v>
      </c>
      <c r="D15914">
        <v>13262</v>
      </c>
    </row>
    <row r="15915" spans="1:4" x14ac:dyDescent="0.25">
      <c r="A15915" t="str">
        <f>T("   SG")</f>
        <v xml:space="preserve">   SG</v>
      </c>
      <c r="B15915" t="str">
        <f>T("   Singapour")</f>
        <v xml:space="preserve">   Singapour</v>
      </c>
      <c r="C15915">
        <v>2571890</v>
      </c>
      <c r="D15915">
        <v>4180</v>
      </c>
    </row>
    <row r="15916" spans="1:4" x14ac:dyDescent="0.25">
      <c r="A15916" t="str">
        <f>T("   TG")</f>
        <v xml:space="preserve">   TG</v>
      </c>
      <c r="B15916" t="str">
        <f>T("   Togo")</f>
        <v xml:space="preserve">   Togo</v>
      </c>
      <c r="C15916">
        <v>86440</v>
      </c>
      <c r="D15916">
        <v>120</v>
      </c>
    </row>
    <row r="15917" spans="1:4" x14ac:dyDescent="0.25">
      <c r="A15917" t="str">
        <f>T("961100")</f>
        <v>961100</v>
      </c>
      <c r="B15917" t="str">
        <f>T("Dateurs, cachets, numéroteurs, timbres et articles simil., y.c. les appareils pour l'impression d'étiquettes, à main; composteurs et imprimeries comportant des composteurs, à main")</f>
        <v>Dateurs, cachets, numéroteurs, timbres et articles simil., y.c. les appareils pour l'impression d'étiquettes, à main; composteurs et imprimeries comportant des composteurs, à main</v>
      </c>
    </row>
    <row r="15918" spans="1:4" x14ac:dyDescent="0.25">
      <c r="A15918" t="str">
        <f>T("   ZZZ_Monde")</f>
        <v xml:space="preserve">   ZZZ_Monde</v>
      </c>
      <c r="B15918" t="str">
        <f>T("   ZZZ_Monde")</f>
        <v xml:space="preserve">   ZZZ_Monde</v>
      </c>
      <c r="C15918">
        <v>6861675</v>
      </c>
      <c r="D15918">
        <v>2201</v>
      </c>
    </row>
    <row r="15919" spans="1:4" x14ac:dyDescent="0.25">
      <c r="A15919" t="str">
        <f>T("   CA")</f>
        <v xml:space="preserve">   CA</v>
      </c>
      <c r="B15919" t="str">
        <f>T("   Canada")</f>
        <v xml:space="preserve">   Canada</v>
      </c>
      <c r="C15919">
        <v>13119</v>
      </c>
      <c r="D15919">
        <v>14</v>
      </c>
    </row>
    <row r="15920" spans="1:4" x14ac:dyDescent="0.25">
      <c r="A15920" t="str">
        <f>T("   FR")</f>
        <v xml:space="preserve">   FR</v>
      </c>
      <c r="B15920" t="str">
        <f>T("   France")</f>
        <v xml:space="preserve">   France</v>
      </c>
      <c r="C15920">
        <v>6848556</v>
      </c>
      <c r="D15920">
        <v>2187</v>
      </c>
    </row>
    <row r="15921" spans="1:4" x14ac:dyDescent="0.25">
      <c r="A15921" t="str">
        <f>T("961210")</f>
        <v>961210</v>
      </c>
      <c r="B15921" t="str">
        <f>T("Rubans encreurs pour machines à écrire et rubans encreurs simil., encrés ou autrement préparés en vue de laisser des empreintes, même montés sur bobines ou en cartouches")</f>
        <v>Rubans encreurs pour machines à écrire et rubans encreurs simil., encrés ou autrement préparés en vue de laisser des empreintes, même montés sur bobines ou en cartouches</v>
      </c>
    </row>
    <row r="15922" spans="1:4" x14ac:dyDescent="0.25">
      <c r="A15922" t="str">
        <f>T("   ZZZ_Monde")</f>
        <v xml:space="preserve">   ZZZ_Monde</v>
      </c>
      <c r="B15922" t="str">
        <f>T("   ZZZ_Monde")</f>
        <v xml:space="preserve">   ZZZ_Monde</v>
      </c>
      <c r="C15922">
        <v>9850086</v>
      </c>
      <c r="D15922">
        <v>1364.5</v>
      </c>
    </row>
    <row r="15923" spans="1:4" x14ac:dyDescent="0.25">
      <c r="A15923" t="str">
        <f>T("   FR")</f>
        <v xml:space="preserve">   FR</v>
      </c>
      <c r="B15923" t="str">
        <f>T("   France")</f>
        <v xml:space="preserve">   France</v>
      </c>
      <c r="C15923">
        <v>9759541</v>
      </c>
      <c r="D15923">
        <v>396.5</v>
      </c>
    </row>
    <row r="15924" spans="1:4" x14ac:dyDescent="0.25">
      <c r="A15924" t="str">
        <f>T("   LB")</f>
        <v xml:space="preserve">   LB</v>
      </c>
      <c r="B15924" t="str">
        <f>T("   Liban")</f>
        <v xml:space="preserve">   Liban</v>
      </c>
      <c r="C15924">
        <v>10545</v>
      </c>
      <c r="D15924">
        <v>768</v>
      </c>
    </row>
    <row r="15925" spans="1:4" x14ac:dyDescent="0.25">
      <c r="A15925" t="str">
        <f>T("   NG")</f>
        <v xml:space="preserve">   NG</v>
      </c>
      <c r="B15925" t="str">
        <f>T("   Nigéria")</f>
        <v xml:space="preserve">   Nigéria</v>
      </c>
      <c r="C15925">
        <v>80000</v>
      </c>
      <c r="D15925">
        <v>200</v>
      </c>
    </row>
    <row r="15926" spans="1:4" x14ac:dyDescent="0.25">
      <c r="A15926" t="str">
        <f>T("961220")</f>
        <v>961220</v>
      </c>
      <c r="B15926" t="str">
        <f>T("Tampons encreurs, même imprégnés, avec ou sans boîte")</f>
        <v>Tampons encreurs, même imprégnés, avec ou sans boîte</v>
      </c>
    </row>
    <row r="15927" spans="1:4" x14ac:dyDescent="0.25">
      <c r="A15927" t="str">
        <f>T("   ZZZ_Monde")</f>
        <v xml:space="preserve">   ZZZ_Monde</v>
      </c>
      <c r="B15927" t="str">
        <f>T("   ZZZ_Monde")</f>
        <v xml:space="preserve">   ZZZ_Monde</v>
      </c>
      <c r="C15927">
        <v>3733988</v>
      </c>
      <c r="D15927">
        <v>4754</v>
      </c>
    </row>
    <row r="15928" spans="1:4" x14ac:dyDescent="0.25">
      <c r="A15928" t="str">
        <f>T("   CH")</f>
        <v xml:space="preserve">   CH</v>
      </c>
      <c r="B15928" t="str">
        <f>T("   Suisse")</f>
        <v xml:space="preserve">   Suisse</v>
      </c>
      <c r="C15928">
        <v>345132</v>
      </c>
      <c r="D15928">
        <v>18</v>
      </c>
    </row>
    <row r="15929" spans="1:4" x14ac:dyDescent="0.25">
      <c r="A15929" t="str">
        <f>T("   SG")</f>
        <v xml:space="preserve">   SG</v>
      </c>
      <c r="B15929" t="str">
        <f>T("   Singapour")</f>
        <v xml:space="preserve">   Singapour</v>
      </c>
      <c r="C15929">
        <v>3388856</v>
      </c>
      <c r="D15929">
        <v>4736</v>
      </c>
    </row>
    <row r="15930" spans="1:4" x14ac:dyDescent="0.25">
      <c r="A15930" t="str">
        <f>T("961380")</f>
        <v>961380</v>
      </c>
      <c r="B15930" t="str">
        <f>T("Briquets et allumeurs (à l'excl. des briquets de poche à gaz, des mèches et cordeaux détonants pour poudres propulsives et explosifs)")</f>
        <v>Briquets et allumeurs (à l'excl. des briquets de poche à gaz, des mèches et cordeaux détonants pour poudres propulsives et explosifs)</v>
      </c>
    </row>
    <row r="15931" spans="1:4" x14ac:dyDescent="0.25">
      <c r="A15931" t="str">
        <f>T("   ZZZ_Monde")</f>
        <v xml:space="preserve">   ZZZ_Monde</v>
      </c>
      <c r="B15931" t="str">
        <f>T("   ZZZ_Monde")</f>
        <v xml:space="preserve">   ZZZ_Monde</v>
      </c>
      <c r="C15931">
        <v>287566</v>
      </c>
      <c r="D15931">
        <v>112</v>
      </c>
    </row>
    <row r="15932" spans="1:4" x14ac:dyDescent="0.25">
      <c r="A15932" t="str">
        <f>T("   FR")</f>
        <v xml:space="preserve">   FR</v>
      </c>
      <c r="B15932" t="str">
        <f>T("   France")</f>
        <v xml:space="preserve">   France</v>
      </c>
      <c r="C15932">
        <v>287566</v>
      </c>
      <c r="D15932">
        <v>112</v>
      </c>
    </row>
    <row r="15933" spans="1:4" x14ac:dyDescent="0.25">
      <c r="A15933" t="str">
        <f>T("961420")</f>
        <v>961420</v>
      </c>
      <c r="B15933" t="str">
        <f>T("Pipes et têtes de pipes")</f>
        <v>Pipes et têtes de pipes</v>
      </c>
    </row>
    <row r="15934" spans="1:4" x14ac:dyDescent="0.25">
      <c r="A15934" t="str">
        <f>T("   ZZZ_Monde")</f>
        <v xml:space="preserve">   ZZZ_Monde</v>
      </c>
      <c r="B15934" t="str">
        <f>T("   ZZZ_Monde")</f>
        <v xml:space="preserve">   ZZZ_Monde</v>
      </c>
      <c r="C15934">
        <v>152913</v>
      </c>
      <c r="D15934">
        <v>917</v>
      </c>
    </row>
    <row r="15935" spans="1:4" x14ac:dyDescent="0.25">
      <c r="A15935" t="str">
        <f>T("   LB")</f>
        <v xml:space="preserve">   LB</v>
      </c>
      <c r="B15935" t="str">
        <f>T("   Liban")</f>
        <v xml:space="preserve">   Liban</v>
      </c>
      <c r="C15935">
        <v>152913</v>
      </c>
      <c r="D15935">
        <v>917</v>
      </c>
    </row>
    <row r="15936" spans="1:4" x14ac:dyDescent="0.25">
      <c r="A15936" t="str">
        <f>T("961490")</f>
        <v>961490</v>
      </c>
      <c r="B15936" t="str">
        <f>T("Parties de pipes n.d.a.; fume-cigare et fume-cigarette et leurs parties, n.d.a.")</f>
        <v>Parties de pipes n.d.a.; fume-cigare et fume-cigarette et leurs parties, n.d.a.</v>
      </c>
    </row>
    <row r="15937" spans="1:4" x14ac:dyDescent="0.25">
      <c r="A15937" t="str">
        <f>T("   ZZZ_Monde")</f>
        <v xml:space="preserve">   ZZZ_Monde</v>
      </c>
      <c r="B15937" t="str">
        <f>T("   ZZZ_Monde")</f>
        <v xml:space="preserve">   ZZZ_Monde</v>
      </c>
      <c r="C15937">
        <v>284129</v>
      </c>
      <c r="D15937">
        <v>252</v>
      </c>
    </row>
    <row r="15938" spans="1:4" x14ac:dyDescent="0.25">
      <c r="A15938" t="str">
        <f>T("   LB")</f>
        <v xml:space="preserve">   LB</v>
      </c>
      <c r="B15938" t="str">
        <f>T("   Liban")</f>
        <v xml:space="preserve">   Liban</v>
      </c>
      <c r="C15938">
        <v>284129</v>
      </c>
      <c r="D15938">
        <v>252</v>
      </c>
    </row>
    <row r="15939" spans="1:4" x14ac:dyDescent="0.25">
      <c r="A15939" t="str">
        <f>T("961511")</f>
        <v>961511</v>
      </c>
      <c r="B15939" t="str">
        <f>T("PEIGNÉS À COIFFER, PEIGNÉS DE COIFFURE, BARRETTES ET ARTICLES SIMIL., EN CAOUTCHOUC DURCI OU EN MATIÈRES PLASTIQUES")</f>
        <v>PEIGNÉS À COIFFER, PEIGNÉS DE COIFFURE, BARRETTES ET ARTICLES SIMIL., EN CAOUTCHOUC DURCI OU EN MATIÈRES PLASTIQUES</v>
      </c>
    </row>
    <row r="15940" spans="1:4" x14ac:dyDescent="0.25">
      <c r="A15940" t="str">
        <f>T("   ZZZ_Monde")</f>
        <v xml:space="preserve">   ZZZ_Monde</v>
      </c>
      <c r="B15940" t="str">
        <f>T("   ZZZ_Monde")</f>
        <v xml:space="preserve">   ZZZ_Monde</v>
      </c>
      <c r="C15940">
        <v>17305143</v>
      </c>
      <c r="D15940">
        <v>44924</v>
      </c>
    </row>
    <row r="15941" spans="1:4" x14ac:dyDescent="0.25">
      <c r="A15941" t="str">
        <f>T("   CN")</f>
        <v xml:space="preserve">   CN</v>
      </c>
      <c r="B15941" t="str">
        <f>T("   Chine")</f>
        <v xml:space="preserve">   Chine</v>
      </c>
      <c r="C15941">
        <v>12646216</v>
      </c>
      <c r="D15941">
        <v>17780</v>
      </c>
    </row>
    <row r="15942" spans="1:4" x14ac:dyDescent="0.25">
      <c r="A15942" t="str">
        <f>T("   FR")</f>
        <v xml:space="preserve">   FR</v>
      </c>
      <c r="B15942" t="str">
        <f>T("   France")</f>
        <v xml:space="preserve">   France</v>
      </c>
      <c r="C15942">
        <v>52477</v>
      </c>
      <c r="D15942">
        <v>5</v>
      </c>
    </row>
    <row r="15943" spans="1:4" x14ac:dyDescent="0.25">
      <c r="A15943" t="str">
        <f>T("   GH")</f>
        <v xml:space="preserve">   GH</v>
      </c>
      <c r="B15943" t="str">
        <f>T("   Ghana")</f>
        <v xml:space="preserve">   Ghana</v>
      </c>
      <c r="C15943">
        <v>2807000</v>
      </c>
      <c r="D15943">
        <v>18291</v>
      </c>
    </row>
    <row r="15944" spans="1:4" x14ac:dyDescent="0.25">
      <c r="A15944" t="str">
        <f>T("   NG")</f>
        <v xml:space="preserve">   NG</v>
      </c>
      <c r="B15944" t="str">
        <f>T("   Nigéria")</f>
        <v xml:space="preserve">   Nigéria</v>
      </c>
      <c r="C15944">
        <v>31450</v>
      </c>
      <c r="D15944">
        <v>74</v>
      </c>
    </row>
    <row r="15945" spans="1:4" x14ac:dyDescent="0.25">
      <c r="A15945" t="str">
        <f>T("   TG")</f>
        <v xml:space="preserve">   TG</v>
      </c>
      <c r="B15945" t="str">
        <f>T("   Togo")</f>
        <v xml:space="preserve">   Togo</v>
      </c>
      <c r="C15945">
        <v>1768000</v>
      </c>
      <c r="D15945">
        <v>8774</v>
      </c>
    </row>
    <row r="15946" spans="1:4" x14ac:dyDescent="0.25">
      <c r="A15946" t="str">
        <f>T("961519")</f>
        <v>961519</v>
      </c>
      <c r="B15946" t="str">
        <f>T("PEIGNÉS À COIFFER, PEIGNÉS DE COIFFURE, BARRETTES ET ARTICLES SIMIL., EN MATIÈRES (AUTRES QUE CAOUTCHOUC OU MATIÈRES PLASTIQUES)")</f>
        <v>PEIGNÉS À COIFFER, PEIGNÉS DE COIFFURE, BARRETTES ET ARTICLES SIMIL., EN MATIÈRES (AUTRES QUE CAOUTCHOUC OU MATIÈRES PLASTIQUES)</v>
      </c>
    </row>
    <row r="15947" spans="1:4" x14ac:dyDescent="0.25">
      <c r="A15947" t="str">
        <f>T("   ZZZ_Monde")</f>
        <v xml:space="preserve">   ZZZ_Monde</v>
      </c>
      <c r="B15947" t="str">
        <f>T("   ZZZ_Monde")</f>
        <v xml:space="preserve">   ZZZ_Monde</v>
      </c>
      <c r="C15947">
        <v>2514522</v>
      </c>
      <c r="D15947">
        <v>1192</v>
      </c>
    </row>
    <row r="15948" spans="1:4" x14ac:dyDescent="0.25">
      <c r="A15948" t="str">
        <f>T("   CN")</f>
        <v xml:space="preserve">   CN</v>
      </c>
      <c r="B15948" t="str">
        <f>T("   Chine")</f>
        <v xml:space="preserve">   Chine</v>
      </c>
      <c r="C15948">
        <v>202918</v>
      </c>
      <c r="D15948">
        <v>1040</v>
      </c>
    </row>
    <row r="15949" spans="1:4" x14ac:dyDescent="0.25">
      <c r="A15949" t="str">
        <f>T("   FR")</f>
        <v xml:space="preserve">   FR</v>
      </c>
      <c r="B15949" t="str">
        <f>T("   France")</f>
        <v xml:space="preserve">   France</v>
      </c>
      <c r="C15949">
        <v>2311604</v>
      </c>
      <c r="D15949">
        <v>152</v>
      </c>
    </row>
    <row r="15950" spans="1:4" x14ac:dyDescent="0.25">
      <c r="A15950" t="str">
        <f>T("961590")</f>
        <v>961590</v>
      </c>
      <c r="B15950" t="str">
        <f>T("Epingles à cheveux; pince-guiches, ondulateurs, bigoudis et articles pour la coiffure (autres que ceux du n° 8516); parties")</f>
        <v>Epingles à cheveux; pince-guiches, ondulateurs, bigoudis et articles pour la coiffure (autres que ceux du n° 8516); parties</v>
      </c>
    </row>
    <row r="15951" spans="1:4" x14ac:dyDescent="0.25">
      <c r="A15951" t="str">
        <f>T("   ZZZ_Monde")</f>
        <v xml:space="preserve">   ZZZ_Monde</v>
      </c>
      <c r="B15951" t="str">
        <f>T("   ZZZ_Monde")</f>
        <v xml:space="preserve">   ZZZ_Monde</v>
      </c>
      <c r="C15951">
        <v>5179249</v>
      </c>
      <c r="D15951">
        <v>694</v>
      </c>
    </row>
    <row r="15952" spans="1:4" x14ac:dyDescent="0.25">
      <c r="A15952" t="str">
        <f>T("   FR")</f>
        <v xml:space="preserve">   FR</v>
      </c>
      <c r="B15952" t="str">
        <f>T("   France")</f>
        <v xml:space="preserve">   France</v>
      </c>
      <c r="C15952">
        <v>5078443</v>
      </c>
      <c r="D15952">
        <v>568</v>
      </c>
    </row>
    <row r="15953" spans="1:4" x14ac:dyDescent="0.25">
      <c r="A15953" t="str">
        <f>T("   NG")</f>
        <v xml:space="preserve">   NG</v>
      </c>
      <c r="B15953" t="str">
        <f>T("   Nigéria")</f>
        <v xml:space="preserve">   Nigéria</v>
      </c>
      <c r="C15953">
        <v>90000</v>
      </c>
      <c r="D15953">
        <v>90</v>
      </c>
    </row>
    <row r="15954" spans="1:4" x14ac:dyDescent="0.25">
      <c r="A15954" t="str">
        <f>T("   TG")</f>
        <v xml:space="preserve">   TG</v>
      </c>
      <c r="B15954" t="str">
        <f>T("   Togo")</f>
        <v xml:space="preserve">   Togo</v>
      </c>
      <c r="C15954">
        <v>10806</v>
      </c>
      <c r="D15954">
        <v>36</v>
      </c>
    </row>
    <row r="15955" spans="1:4" x14ac:dyDescent="0.25">
      <c r="A15955" t="str">
        <f>T("961610")</f>
        <v>961610</v>
      </c>
      <c r="B15955" t="str">
        <f>T("VAPORISATEURS DE TOILETTE, LEURS MONTURES ET TÊTES DE MONTURES")</f>
        <v>VAPORISATEURS DE TOILETTE, LEURS MONTURES ET TÊTES DE MONTURES</v>
      </c>
    </row>
    <row r="15956" spans="1:4" x14ac:dyDescent="0.25">
      <c r="A15956" t="str">
        <f>T("   ZZZ_Monde")</f>
        <v xml:space="preserve">   ZZZ_Monde</v>
      </c>
      <c r="B15956" t="str">
        <f>T("   ZZZ_Monde")</f>
        <v xml:space="preserve">   ZZZ_Monde</v>
      </c>
      <c r="C15956">
        <v>163080</v>
      </c>
      <c r="D15956">
        <v>358</v>
      </c>
    </row>
    <row r="15957" spans="1:4" x14ac:dyDescent="0.25">
      <c r="A15957" t="str">
        <f>T("   CN")</f>
        <v xml:space="preserve">   CN</v>
      </c>
      <c r="B15957" t="str">
        <f>T("   Chine")</f>
        <v xml:space="preserve">   Chine</v>
      </c>
      <c r="C15957">
        <v>134218</v>
      </c>
      <c r="D15957">
        <v>300</v>
      </c>
    </row>
    <row r="15958" spans="1:4" x14ac:dyDescent="0.25">
      <c r="A15958" t="str">
        <f>T("   FR")</f>
        <v xml:space="preserve">   FR</v>
      </c>
      <c r="B15958" t="str">
        <f>T("   France")</f>
        <v xml:space="preserve">   France</v>
      </c>
      <c r="C15958">
        <v>28862</v>
      </c>
      <c r="D15958">
        <v>58</v>
      </c>
    </row>
    <row r="15959" spans="1:4" x14ac:dyDescent="0.25">
      <c r="A15959" t="str">
        <f>T("961700")</f>
        <v>961700</v>
      </c>
      <c r="B15959" t="str">
        <f>T("Bouteilles isolantes et autres récipients isothermiques montés, dont l'isolation est assurée par le vide, ainsi que leurs parties (à l'excl. des ampoules en verre)")</f>
        <v>Bouteilles isolantes et autres récipients isothermiques montés, dont l'isolation est assurée par le vide, ainsi que leurs parties (à l'excl. des ampoules en verre)</v>
      </c>
    </row>
    <row r="15960" spans="1:4" x14ac:dyDescent="0.25">
      <c r="A15960" t="str">
        <f>T("   ZZZ_Monde")</f>
        <v xml:space="preserve">   ZZZ_Monde</v>
      </c>
      <c r="B15960" t="str">
        <f>T("   ZZZ_Monde")</f>
        <v xml:space="preserve">   ZZZ_Monde</v>
      </c>
      <c r="C15960">
        <v>57549124</v>
      </c>
      <c r="D15960">
        <v>163713</v>
      </c>
    </row>
    <row r="15961" spans="1:4" x14ac:dyDescent="0.25">
      <c r="A15961" t="str">
        <f>T("   CN")</f>
        <v xml:space="preserve">   CN</v>
      </c>
      <c r="B15961" t="str">
        <f>T("   Chine")</f>
        <v xml:space="preserve">   Chine</v>
      </c>
      <c r="C15961">
        <v>23403804</v>
      </c>
      <c r="D15961">
        <v>33098</v>
      </c>
    </row>
    <row r="15962" spans="1:4" x14ac:dyDescent="0.25">
      <c r="A15962" t="str">
        <f>T("   GH")</f>
        <v xml:space="preserve">   GH</v>
      </c>
      <c r="B15962" t="str">
        <f>T("   Ghana")</f>
        <v xml:space="preserve">   Ghana</v>
      </c>
      <c r="C15962">
        <v>4319200</v>
      </c>
      <c r="D15962">
        <v>13982</v>
      </c>
    </row>
    <row r="15963" spans="1:4" x14ac:dyDescent="0.25">
      <c r="A15963" t="str">
        <f>T("   NG")</f>
        <v xml:space="preserve">   NG</v>
      </c>
      <c r="B15963" t="str">
        <f>T("   Nigéria")</f>
        <v xml:space="preserve">   Nigéria</v>
      </c>
      <c r="C15963">
        <v>28192896</v>
      </c>
      <c r="D15963">
        <v>115480</v>
      </c>
    </row>
    <row r="15964" spans="1:4" x14ac:dyDescent="0.25">
      <c r="A15964" t="str">
        <f>T("   TG")</f>
        <v xml:space="preserve">   TG</v>
      </c>
      <c r="B15964" t="str">
        <f>T("   Togo")</f>
        <v xml:space="preserve">   Togo</v>
      </c>
      <c r="C15964">
        <v>216102</v>
      </c>
      <c r="D15964">
        <v>1070</v>
      </c>
    </row>
    <row r="15965" spans="1:4" x14ac:dyDescent="0.25">
      <c r="A15965" t="str">
        <f>T("   US")</f>
        <v xml:space="preserve">   US</v>
      </c>
      <c r="B15965" t="str">
        <f>T("   Etats-Unis")</f>
        <v xml:space="preserve">   Etats-Unis</v>
      </c>
      <c r="C15965">
        <v>1417122</v>
      </c>
      <c r="D15965">
        <v>83</v>
      </c>
    </row>
    <row r="15966" spans="1:4" x14ac:dyDescent="0.25">
      <c r="A15966" t="str">
        <f>T("961800")</f>
        <v>961800</v>
      </c>
      <c r="B15966" t="str">
        <f>T("Mannequins et articles simil.; automates et scènes animées pour étalages (à l'excl. des modèles utilisés pour l'enseignement, des poupées présentant des caractères de jouet et des marchandises présentées sur ces mannequins)")</f>
        <v>Mannequins et articles simil.; automates et scènes animées pour étalages (à l'excl. des modèles utilisés pour l'enseignement, des poupées présentant des caractères de jouet et des marchandises présentées sur ces mannequins)</v>
      </c>
    </row>
    <row r="15967" spans="1:4" x14ac:dyDescent="0.25">
      <c r="A15967" t="str">
        <f>T("   ZZZ_Monde")</f>
        <v xml:space="preserve">   ZZZ_Monde</v>
      </c>
      <c r="B15967" t="str">
        <f>T("   ZZZ_Monde")</f>
        <v xml:space="preserve">   ZZZ_Monde</v>
      </c>
      <c r="C15967">
        <v>23415687</v>
      </c>
      <c r="D15967">
        <v>19758</v>
      </c>
    </row>
    <row r="15968" spans="1:4" x14ac:dyDescent="0.25">
      <c r="A15968" t="str">
        <f>T("   CN")</f>
        <v xml:space="preserve">   CN</v>
      </c>
      <c r="B15968" t="str">
        <f>T("   Chine")</f>
        <v xml:space="preserve">   Chine</v>
      </c>
      <c r="C15968">
        <v>6364017</v>
      </c>
      <c r="D15968">
        <v>12570</v>
      </c>
    </row>
    <row r="15969" spans="1:4" x14ac:dyDescent="0.25">
      <c r="A15969" t="str">
        <f>T("   FR")</f>
        <v xml:space="preserve">   FR</v>
      </c>
      <c r="B15969" t="str">
        <f>T("   France")</f>
        <v xml:space="preserve">   France</v>
      </c>
      <c r="C15969">
        <v>180000</v>
      </c>
      <c r="D15969">
        <v>112</v>
      </c>
    </row>
    <row r="15970" spans="1:4" x14ac:dyDescent="0.25">
      <c r="A15970" t="str">
        <f>T("   GH")</f>
        <v xml:space="preserve">   GH</v>
      </c>
      <c r="B15970" t="str">
        <f>T("   Ghana")</f>
        <v xml:space="preserve">   Ghana</v>
      </c>
      <c r="C15970">
        <v>2736322</v>
      </c>
      <c r="D15970">
        <v>2000</v>
      </c>
    </row>
    <row r="15971" spans="1:4" x14ac:dyDescent="0.25">
      <c r="A15971" t="str">
        <f>T("   NL")</f>
        <v xml:space="preserve">   NL</v>
      </c>
      <c r="B15971" t="str">
        <f>T("   Pays-bas")</f>
        <v xml:space="preserve">   Pays-bas</v>
      </c>
      <c r="C15971">
        <v>9558147</v>
      </c>
      <c r="D15971">
        <v>781</v>
      </c>
    </row>
    <row r="15972" spans="1:4" x14ac:dyDescent="0.25">
      <c r="A15972" t="str">
        <f>T("   TG")</f>
        <v xml:space="preserve">   TG</v>
      </c>
      <c r="B15972" t="str">
        <f>T("   Togo")</f>
        <v xml:space="preserve">   Togo</v>
      </c>
      <c r="C15972">
        <v>334953</v>
      </c>
      <c r="D15972">
        <v>95</v>
      </c>
    </row>
    <row r="15973" spans="1:4" x14ac:dyDescent="0.25">
      <c r="A15973" t="str">
        <f>T("   TH")</f>
        <v xml:space="preserve">   TH</v>
      </c>
      <c r="B15973" t="str">
        <f>T("   Thaïlande")</f>
        <v xml:space="preserve">   Thaïlande</v>
      </c>
      <c r="C15973">
        <v>4100360</v>
      </c>
      <c r="D15973">
        <v>4000</v>
      </c>
    </row>
    <row r="15974" spans="1:4" x14ac:dyDescent="0.25">
      <c r="A15974" t="str">
        <f>T("   TR")</f>
        <v xml:space="preserve">   TR</v>
      </c>
      <c r="B15974" t="str">
        <f>T("   Turquie")</f>
        <v xml:space="preserve">   Turquie</v>
      </c>
      <c r="C15974">
        <v>141888</v>
      </c>
      <c r="D15974">
        <v>200</v>
      </c>
    </row>
    <row r="15975" spans="1:4" x14ac:dyDescent="0.25">
      <c r="A15975" t="str">
        <f>T("970110")</f>
        <v>970110</v>
      </c>
      <c r="B15975" t="str">
        <f>T("Tableaux, p.ex. peintures à l'huile, aquarelles et pastels, et dessins, faits entièrement à la main (à l'excl. des dessins du n° 4906 et des articles manufacturés décorés à la main)")</f>
        <v>Tableaux, p.ex. peintures à l'huile, aquarelles et pastels, et dessins, faits entièrement à la main (à l'excl. des dessins du n° 4906 et des articles manufacturés décorés à la main)</v>
      </c>
    </row>
    <row r="15976" spans="1:4" x14ac:dyDescent="0.25">
      <c r="A15976" t="str">
        <f>T("   ZZZ_Monde")</f>
        <v xml:space="preserve">   ZZZ_Monde</v>
      </c>
      <c r="B15976" t="str">
        <f>T("   ZZZ_Monde")</f>
        <v xml:space="preserve">   ZZZ_Monde</v>
      </c>
      <c r="C15976">
        <v>6293087</v>
      </c>
      <c r="D15976">
        <v>13161</v>
      </c>
    </row>
    <row r="15977" spans="1:4" x14ac:dyDescent="0.25">
      <c r="A15977" t="str">
        <f>T("   AE")</f>
        <v xml:space="preserve">   AE</v>
      </c>
      <c r="B15977" t="str">
        <f>T("   Emirats Arabes Unis")</f>
        <v xml:space="preserve">   Emirats Arabes Unis</v>
      </c>
      <c r="C15977">
        <v>614236</v>
      </c>
      <c r="D15977">
        <v>1446</v>
      </c>
    </row>
    <row r="15978" spans="1:4" x14ac:dyDescent="0.25">
      <c r="A15978" t="str">
        <f>T("   BE")</f>
        <v xml:space="preserve">   BE</v>
      </c>
      <c r="B15978" t="str">
        <f>T("   Belgique")</f>
        <v xml:space="preserve">   Belgique</v>
      </c>
      <c r="C15978">
        <v>228274</v>
      </c>
      <c r="D15978">
        <v>225</v>
      </c>
    </row>
    <row r="15979" spans="1:4" x14ac:dyDescent="0.25">
      <c r="A15979" t="str">
        <f>T("   CN")</f>
        <v xml:space="preserve">   CN</v>
      </c>
      <c r="B15979" t="str">
        <f>T("   Chine")</f>
        <v xml:space="preserve">   Chine</v>
      </c>
      <c r="C15979">
        <v>1231369</v>
      </c>
      <c r="D15979">
        <v>6946</v>
      </c>
    </row>
    <row r="15980" spans="1:4" x14ac:dyDescent="0.25">
      <c r="A15980" t="str">
        <f>T("   FR")</f>
        <v xml:space="preserve">   FR</v>
      </c>
      <c r="B15980" t="str">
        <f>T("   France")</f>
        <v xml:space="preserve">   France</v>
      </c>
      <c r="C15980">
        <v>4033399</v>
      </c>
      <c r="D15980">
        <v>2024</v>
      </c>
    </row>
    <row r="15981" spans="1:4" x14ac:dyDescent="0.25">
      <c r="A15981" t="str">
        <f>T("   MG")</f>
        <v xml:space="preserve">   MG</v>
      </c>
      <c r="B15981" t="str">
        <f>T("   Madagascar")</f>
        <v xml:space="preserve">   Madagascar</v>
      </c>
      <c r="C15981">
        <v>131192</v>
      </c>
      <c r="D15981">
        <v>100</v>
      </c>
    </row>
    <row r="15982" spans="1:4" x14ac:dyDescent="0.25">
      <c r="A15982" t="str">
        <f>T("   TG")</f>
        <v xml:space="preserve">   TG</v>
      </c>
      <c r="B15982" t="str">
        <f>T("   Togo")</f>
        <v xml:space="preserve">   Togo</v>
      </c>
      <c r="C15982">
        <v>54617</v>
      </c>
      <c r="D15982">
        <v>2420</v>
      </c>
    </row>
    <row r="15983" spans="1:4" x14ac:dyDescent="0.25">
      <c r="A15983" t="str">
        <f>T("970190")</f>
        <v>970190</v>
      </c>
      <c r="B15983" t="str">
        <f>T("Collages et tableautins simil.")</f>
        <v>Collages et tableautins simil.</v>
      </c>
    </row>
    <row r="15984" spans="1:4" x14ac:dyDescent="0.25">
      <c r="A15984" t="str">
        <f>T("   ZZZ_Monde")</f>
        <v xml:space="preserve">   ZZZ_Monde</v>
      </c>
      <c r="B15984" t="str">
        <f>T("   ZZZ_Monde")</f>
        <v xml:space="preserve">   ZZZ_Monde</v>
      </c>
      <c r="C15984">
        <v>1350801</v>
      </c>
      <c r="D15984">
        <v>1993</v>
      </c>
    </row>
    <row r="15985" spans="1:4" x14ac:dyDescent="0.25">
      <c r="A15985" t="str">
        <f>T("   CN")</f>
        <v xml:space="preserve">   CN</v>
      </c>
      <c r="B15985" t="str">
        <f>T("   Chine")</f>
        <v xml:space="preserve">   Chine</v>
      </c>
      <c r="C15985">
        <v>1051215</v>
      </c>
      <c r="D15985">
        <v>1863</v>
      </c>
    </row>
    <row r="15986" spans="1:4" x14ac:dyDescent="0.25">
      <c r="A15986" t="str">
        <f>T("   FR")</f>
        <v xml:space="preserve">   FR</v>
      </c>
      <c r="B15986" t="str">
        <f>T("   France")</f>
        <v xml:space="preserve">   France</v>
      </c>
      <c r="C15986">
        <v>249586</v>
      </c>
      <c r="D15986">
        <v>85</v>
      </c>
    </row>
    <row r="15987" spans="1:4" x14ac:dyDescent="0.25">
      <c r="A15987" t="str">
        <f>T("   TC")</f>
        <v xml:space="preserve">   TC</v>
      </c>
      <c r="B15987" t="str">
        <f>T("   Turks et Caïques, îles")</f>
        <v xml:space="preserve">   Turks et Caïques, îles</v>
      </c>
      <c r="C15987">
        <v>50000</v>
      </c>
      <c r="D15987">
        <v>45</v>
      </c>
    </row>
    <row r="15988" spans="1:4" x14ac:dyDescent="0.25">
      <c r="A15988" t="str">
        <f>T("970200")</f>
        <v>970200</v>
      </c>
      <c r="B15988" t="str">
        <f>T("Gravures, estampes et lithographies originales")</f>
        <v>Gravures, estampes et lithographies originales</v>
      </c>
    </row>
    <row r="15989" spans="1:4" x14ac:dyDescent="0.25">
      <c r="A15989" t="str">
        <f>T("   ZZZ_Monde")</f>
        <v xml:space="preserve">   ZZZ_Monde</v>
      </c>
      <c r="B15989" t="str">
        <f>T("   ZZZ_Monde")</f>
        <v xml:space="preserve">   ZZZ_Monde</v>
      </c>
      <c r="C15989">
        <v>1037548</v>
      </c>
      <c r="D15989">
        <v>2734</v>
      </c>
    </row>
    <row r="15990" spans="1:4" x14ac:dyDescent="0.25">
      <c r="A15990" t="str">
        <f>T("   CN")</f>
        <v xml:space="preserve">   CN</v>
      </c>
      <c r="B15990" t="str">
        <f>T("   Chine")</f>
        <v xml:space="preserve">   Chine</v>
      </c>
      <c r="C15990">
        <v>1037548</v>
      </c>
      <c r="D15990">
        <v>2734</v>
      </c>
    </row>
    <row r="15991" spans="1:4" x14ac:dyDescent="0.25">
      <c r="A15991" t="str">
        <f>T("970300")</f>
        <v>970300</v>
      </c>
      <c r="B15991" t="str">
        <f>T("Productions originales de l'art statuaire ou de la sculpture, en toutes matières")</f>
        <v>Productions originales de l'art statuaire ou de la sculpture, en toutes matières</v>
      </c>
    </row>
    <row r="15992" spans="1:4" x14ac:dyDescent="0.25">
      <c r="A15992" t="str">
        <f>T("   ZZZ_Monde")</f>
        <v xml:space="preserve">   ZZZ_Monde</v>
      </c>
      <c r="B15992" t="str">
        <f>T("   ZZZ_Monde")</f>
        <v xml:space="preserve">   ZZZ_Monde</v>
      </c>
      <c r="C15992">
        <v>1284894</v>
      </c>
      <c r="D15992">
        <v>6016</v>
      </c>
    </row>
    <row r="15993" spans="1:4" x14ac:dyDescent="0.25">
      <c r="A15993" t="str">
        <f>T("   CN")</f>
        <v xml:space="preserve">   CN</v>
      </c>
      <c r="B15993" t="str">
        <f>T("   Chine")</f>
        <v xml:space="preserve">   Chine</v>
      </c>
      <c r="C15993">
        <v>349554</v>
      </c>
      <c r="D15993">
        <v>646</v>
      </c>
    </row>
    <row r="15994" spans="1:4" x14ac:dyDescent="0.25">
      <c r="A15994" t="str">
        <f>T("   IT")</f>
        <v xml:space="preserve">   IT</v>
      </c>
      <c r="B15994" t="str">
        <f>T("   Italie")</f>
        <v xml:space="preserve">   Italie</v>
      </c>
      <c r="C15994">
        <v>913497</v>
      </c>
      <c r="D15994">
        <v>4470</v>
      </c>
    </row>
    <row r="15995" spans="1:4" x14ac:dyDescent="0.25">
      <c r="A15995" t="str">
        <f>T("   TG")</f>
        <v xml:space="preserve">   TG</v>
      </c>
      <c r="B15995" t="str">
        <f>T("   Togo")</f>
        <v xml:space="preserve">   Togo</v>
      </c>
      <c r="C15995">
        <v>21843</v>
      </c>
      <c r="D15995">
        <v>900</v>
      </c>
    </row>
    <row r="15996" spans="1:4" x14ac:dyDescent="0.25">
      <c r="A15996" t="str">
        <f>T("970500")</f>
        <v>970500</v>
      </c>
      <c r="B15996" t="str">
        <f>T("Collections et spécimens pour collections de zoologie, de botanique, de minéralogie, d'anatomie, ou présentant un intérêt historique, archéologique, paléontologique, ethnographique ou numismatique")</f>
        <v>Collections et spécimens pour collections de zoologie, de botanique, de minéralogie, d'anatomie, ou présentant un intérêt historique, archéologique, paléontologique, ethnographique ou numismatique</v>
      </c>
    </row>
    <row r="15997" spans="1:4" x14ac:dyDescent="0.25">
      <c r="A15997" t="str">
        <f>T("   ZZZ_Monde")</f>
        <v xml:space="preserve">   ZZZ_Monde</v>
      </c>
      <c r="B15997" t="str">
        <f>T("   ZZZ_Monde")</f>
        <v xml:space="preserve">   ZZZ_Monde</v>
      </c>
      <c r="C15997">
        <v>222000</v>
      </c>
      <c r="D15997">
        <v>332</v>
      </c>
    </row>
    <row r="15998" spans="1:4" x14ac:dyDescent="0.25">
      <c r="A15998" t="str">
        <f>T("   CM")</f>
        <v xml:space="preserve">   CM</v>
      </c>
      <c r="B15998" t="str">
        <f>T("   Cameroun")</f>
        <v xml:space="preserve">   Cameroun</v>
      </c>
      <c r="C15998">
        <v>130000</v>
      </c>
      <c r="D15998">
        <v>171</v>
      </c>
    </row>
    <row r="15999" spans="1:4" x14ac:dyDescent="0.25">
      <c r="A15999" t="str">
        <f>T("   SN")</f>
        <v xml:space="preserve">   SN</v>
      </c>
      <c r="B15999" t="str">
        <f>T("   Sénégal")</f>
        <v xml:space="preserve">   Sénégal</v>
      </c>
      <c r="C15999">
        <v>92000</v>
      </c>
      <c r="D15999">
        <v>161</v>
      </c>
    </row>
    <row r="16000" spans="1:4" x14ac:dyDescent="0.25">
      <c r="A16000" t="str">
        <f>T("970600")</f>
        <v>970600</v>
      </c>
      <c r="B16000" t="str">
        <f>T("Objets d'antiquité ayant plus de cent ans d'âge")</f>
        <v>Objets d'antiquité ayant plus de cent ans d'âge</v>
      </c>
    </row>
    <row r="16001" spans="1:4" x14ac:dyDescent="0.25">
      <c r="A16001" t="str">
        <f>T("   ZZZ_Monde")</f>
        <v xml:space="preserve">   ZZZ_Monde</v>
      </c>
      <c r="B16001" t="str">
        <f>T("   ZZZ_Monde")</f>
        <v xml:space="preserve">   ZZZ_Monde</v>
      </c>
      <c r="C16001">
        <v>174767</v>
      </c>
      <c r="D16001">
        <v>1800</v>
      </c>
    </row>
    <row r="16002" spans="1:4" x14ac:dyDescent="0.25">
      <c r="A16002" t="str">
        <f>T("   TG")</f>
        <v xml:space="preserve">   TG</v>
      </c>
      <c r="B16002" t="str">
        <f>T("   Togo")</f>
        <v xml:space="preserve">   Togo</v>
      </c>
      <c r="C16002">
        <v>174767</v>
      </c>
      <c r="D16002">
        <v>1800</v>
      </c>
    </row>
    <row r="16003" spans="1:4" s="1" customFormat="1" x14ac:dyDescent="0.25">
      <c r="A16003" s="1" t="str">
        <f>T("   ZZZ_Monde")</f>
        <v xml:space="preserve">   ZZZ_Monde</v>
      </c>
      <c r="B16003" s="1" t="str">
        <f>T("   ZZZ_Monde")</f>
        <v xml:space="preserve">   ZZZ_Monde</v>
      </c>
      <c r="C16003" s="1">
        <v>1092045041425.65</v>
      </c>
      <c r="D16003" s="1">
        <v>3508022211.6300001</v>
      </c>
    </row>
    <row r="16005" spans="1:4" x14ac:dyDescent="0.25">
      <c r="A16005" t="s">
        <v>46</v>
      </c>
    </row>
  </sheetData>
  <pageMargins left="0.7" right="0.7" top="0.75" bottom="0.75" header="0.3" footer="0.3"/>
  <pageSetup paperSize="9" orientation="portrait" r:id="rId1"/>
</worksheet>
</file>